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'дод.10'!$B$1:$P$291</definedName>
  </definedNames>
  <calcPr fullCalcOnLoad="1"/>
</workbook>
</file>

<file path=xl/sharedStrings.xml><?xml version="1.0" encoding="utf-8"?>
<sst xmlns="http://schemas.openxmlformats.org/spreadsheetml/2006/main" count="643" uniqueCount="466">
  <si>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</si>
  <si>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</si>
  <si>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</si>
  <si>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</si>
  <si>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</si>
  <si>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</si>
  <si>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</si>
  <si>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</si>
  <si>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</si>
  <si>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</si>
  <si>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</si>
  <si>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</si>
  <si>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</si>
  <si>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</si>
  <si>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</si>
  <si>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</si>
  <si>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</si>
  <si>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</si>
  <si>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</si>
  <si>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</si>
  <si>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</si>
  <si>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</si>
  <si>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</si>
  <si>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</si>
  <si>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</si>
  <si>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</si>
  <si>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</si>
  <si>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</si>
  <si>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</si>
  <si>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</si>
  <si>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</si>
  <si>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</si>
  <si>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</si>
  <si>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</si>
  <si>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</si>
  <si>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</si>
  <si>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</si>
  <si>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</si>
  <si>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</si>
  <si>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</si>
  <si>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</si>
  <si>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</si>
  <si>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</si>
  <si>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</si>
  <si>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</si>
  <si>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</si>
  <si>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</si>
  <si>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</si>
  <si>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</si>
  <si>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</si>
  <si>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</si>
  <si>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</si>
  <si>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</si>
  <si>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</si>
  <si>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</si>
  <si>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</si>
  <si>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</si>
  <si>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</si>
  <si>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</si>
  <si>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</si>
  <si>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</si>
  <si>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</si>
  <si>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</si>
  <si>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</si>
  <si>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</si>
  <si>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</si>
  <si>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</si>
  <si>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</si>
  <si>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</si>
  <si>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</si>
  <si>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</si>
  <si>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</si>
  <si>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</si>
  <si>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</si>
  <si>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</si>
  <si>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</si>
  <si>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</si>
  <si>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</si>
  <si>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</si>
  <si>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</si>
  <si>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</si>
  <si>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</si>
  <si>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</si>
  <si>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</si>
  <si>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</si>
  <si>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</si>
  <si>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</si>
  <si>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</si>
  <si>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</si>
  <si>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</si>
  <si>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</si>
  <si>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</si>
  <si>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</si>
  <si>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</si>
  <si>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</si>
  <si>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</si>
  <si>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</si>
  <si>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</si>
  <si>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</si>
  <si>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</si>
  <si>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</si>
  <si>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</si>
  <si>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</si>
  <si>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</si>
  <si>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</si>
  <si>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</si>
  <si>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</si>
  <si>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</si>
  <si>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</si>
  <si>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</si>
  <si>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</si>
  <si>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</si>
  <si>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</si>
  <si>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</si>
  <si>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</si>
  <si>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</si>
  <si>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</si>
  <si>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</si>
  <si>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</si>
  <si>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</si>
  <si>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</si>
  <si>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</si>
  <si>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</si>
  <si>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</si>
  <si>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</si>
  <si>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</si>
  <si>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</si>
  <si>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</si>
  <si>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</si>
  <si>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</si>
  <si>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</si>
  <si>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</si>
  <si>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</si>
  <si>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</si>
  <si>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</si>
  <si>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</si>
  <si>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</si>
  <si>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</si>
  <si>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</si>
  <si>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</si>
  <si>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</si>
  <si>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</si>
  <si>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</si>
  <si>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</si>
  <si>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</si>
  <si>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</si>
  <si>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</si>
  <si>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</si>
  <si>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</si>
  <si>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</si>
  <si>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</si>
  <si>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</si>
  <si>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</si>
  <si>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</si>
  <si>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</si>
  <si>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</si>
  <si>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</si>
  <si>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</si>
  <si>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</si>
  <si>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</si>
  <si>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</si>
  <si>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</si>
  <si>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</si>
  <si>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</si>
  <si>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</si>
  <si>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</si>
  <si>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</si>
  <si>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</si>
  <si>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</si>
  <si>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</si>
  <si>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</si>
  <si>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</si>
  <si>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</si>
  <si>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</si>
  <si>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</si>
  <si>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</si>
  <si>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</si>
  <si>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</si>
  <si>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</si>
  <si>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</si>
  <si>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</si>
  <si>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</si>
  <si>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</si>
  <si>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</si>
  <si>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</si>
  <si>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</si>
  <si>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</si>
  <si>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</si>
  <si>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</si>
  <si>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</si>
  <si>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</si>
  <si>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</si>
  <si>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</si>
  <si>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</si>
  <si>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</si>
  <si>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</si>
  <si>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</si>
  <si>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</si>
  <si>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</si>
  <si>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</si>
  <si>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</si>
  <si>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</si>
  <si>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</si>
  <si>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</si>
  <si>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</si>
  <si>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</si>
  <si>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</si>
  <si>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</si>
  <si>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</si>
  <si>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</si>
  <si>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</si>
  <si>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</si>
  <si>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</si>
  <si>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</si>
  <si>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</si>
  <si>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</si>
  <si>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</si>
  <si>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</si>
  <si>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</si>
  <si>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</si>
  <si>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</si>
  <si>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</si>
  <si>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</si>
  <si>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</si>
  <si>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</si>
  <si>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</si>
  <si>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</si>
  <si>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</si>
  <si>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</si>
  <si>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</si>
  <si>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</si>
  <si>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</si>
  <si>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</si>
  <si>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</si>
  <si>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</si>
  <si>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</si>
  <si>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</si>
  <si>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</si>
  <si>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</si>
  <si>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</si>
  <si>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</si>
  <si>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</si>
  <si>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</si>
  <si>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</si>
  <si>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</si>
  <si>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</si>
  <si>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</si>
  <si>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</si>
  <si>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</si>
  <si>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</si>
  <si>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</si>
  <si>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</si>
  <si>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</si>
  <si>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</si>
  <si>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</si>
  <si>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</si>
  <si>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</si>
  <si>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</si>
  <si>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</si>
  <si>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</si>
  <si>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</si>
  <si>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</si>
  <si>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</si>
  <si>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</si>
  <si>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</si>
  <si>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</si>
  <si>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</si>
  <si>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</si>
  <si>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</si>
  <si>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</si>
  <si>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</si>
  <si>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</si>
  <si>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</si>
  <si>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</si>
  <si>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</si>
  <si>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</si>
  <si>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</si>
  <si>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</si>
  <si>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</si>
  <si>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</si>
  <si>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</si>
  <si>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</si>
  <si>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</si>
  <si>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</si>
  <si>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</si>
  <si>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</si>
  <si>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</si>
  <si>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</si>
  <si>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</si>
  <si>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</si>
  <si>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</si>
  <si>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</si>
  <si>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</si>
  <si>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</si>
  <si>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</si>
  <si>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</si>
  <si>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</si>
  <si>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</si>
  <si>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</si>
  <si>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</si>
  <si>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</si>
  <si>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</si>
  <si>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</si>
  <si>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</si>
  <si>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</si>
  <si>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</si>
  <si>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</si>
  <si>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</si>
  <si>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</si>
  <si>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</si>
  <si>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</si>
  <si>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</si>
  <si>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</si>
  <si>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</si>
  <si>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</si>
  <si>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</si>
  <si>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</si>
  <si>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</si>
  <si>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</si>
  <si>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</si>
  <si>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</si>
  <si>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</si>
  <si>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</si>
  <si>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</si>
  <si>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</si>
  <si>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</si>
  <si>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</si>
  <si>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</si>
  <si>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</si>
  <si>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</si>
  <si>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</si>
  <si>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</si>
  <si>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</si>
  <si>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</si>
  <si>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</si>
  <si>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</si>
  <si>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до   рішення    Сумської   міської    ради</t>
  </si>
  <si>
    <t xml:space="preserve">             Міський голова</t>
  </si>
  <si>
    <t>О.М. Лисенко</t>
  </si>
  <si>
    <t>Виконавець: Липова С.А.</t>
  </si>
  <si>
    <t xml:space="preserve">___________  </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</si>
  <si>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</si>
  <si>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</si>
  <si>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</si>
  <si>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</si>
  <si>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</si>
  <si>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</si>
  <si>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</si>
  <si>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</si>
  <si>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</si>
  <si>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</si>
  <si>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</si>
  <si>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</si>
  <si>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</si>
  <si>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</si>
  <si>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</si>
  <si>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</si>
  <si>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</si>
  <si>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</si>
  <si>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</si>
  <si>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</si>
  <si>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</si>
  <si>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</si>
  <si>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</si>
  <si>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</si>
  <si>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</si>
  <si>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</si>
  <si>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</si>
  <si>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</si>
  <si>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</si>
  <si>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</si>
  <si>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</si>
  <si>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</si>
  <si>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</si>
  <si>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</si>
  <si>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</si>
  <si>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</si>
  <si>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</si>
  <si>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</si>
  <si>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</si>
  <si>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</si>
  <si>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</si>
  <si>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</si>
  <si>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</si>
  <si>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</si>
  <si>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</si>
  <si>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</si>
  <si>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</si>
  <si>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</si>
  <si>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</si>
  <si>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</si>
  <si>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</si>
  <si>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</si>
  <si>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</si>
  <si>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</si>
  <si>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</si>
  <si>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</si>
  <si>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</si>
  <si>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</si>
  <si>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</si>
  <si>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</si>
  <si>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</si>
  <si>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</si>
  <si>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</si>
  <si>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</si>
  <si>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</si>
  <si>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</si>
  <si>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</si>
  <si>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</si>
  <si>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</si>
  <si>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</si>
  <si>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</si>
  <si>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</si>
  <si>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</si>
  <si>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</si>
  <si>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</si>
  <si>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</si>
  <si>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</si>
  <si>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</si>
  <si>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</si>
  <si>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</si>
  <si>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</si>
  <si>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</si>
  <si>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</si>
  <si>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</si>
  <si>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</si>
  <si>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</si>
  <si>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</si>
  <si>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</si>
  <si>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</si>
  <si>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</si>
  <si>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</si>
  <si>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</si>
  <si>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</si>
  <si>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</si>
  <si>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</si>
  <si>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</si>
  <si>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</si>
  <si>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</si>
  <si>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</si>
  <si>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</si>
  <si>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</si>
  <si>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</si>
  <si>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</si>
  <si>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</si>
  <si>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</si>
  <si>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</si>
  <si>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</si>
  <si>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</si>
  <si>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</si>
  <si>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«Про   внесення     змін   та     доповнень</t>
  </si>
  <si>
    <t>до    міського   бюджету   на   2016  рік»</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</si>
  <si>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</si>
  <si>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</si>
  <si>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</si>
  <si>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</si>
  <si>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</si>
  <si>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</si>
  <si>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</si>
  <si>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</si>
  <si>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</si>
  <si>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</si>
  <si>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</si>
  <si>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</si>
  <si>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 xml:space="preserve">                   Додаток № 10</t>
  </si>
  <si>
    <r>
      <t xml:space="preserve">від  </t>
    </r>
    <r>
      <rPr>
        <sz val="18"/>
        <color indexed="9"/>
        <rFont val="Times New Roman"/>
        <family val="1"/>
      </rPr>
      <t xml:space="preserve"> 16   лютого </t>
    </r>
    <r>
      <rPr>
        <sz val="18"/>
        <rFont val="Times New Roman"/>
        <family val="1"/>
      </rPr>
      <t xml:space="preserve">2016 року    № </t>
    </r>
    <r>
      <rPr>
        <sz val="18"/>
        <color indexed="9"/>
        <rFont val="Times New Roman"/>
        <family val="1"/>
      </rPr>
      <t>322</t>
    </r>
    <r>
      <rPr>
        <sz val="18"/>
        <rFont val="Times New Roman"/>
        <family val="1"/>
      </rPr>
      <t>-МР</t>
    </r>
  </si>
</sst>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49" fontId="32" fillId="0" borderId="14" xfId="0" applyNumberFormat="1" applyFont="1" applyFill="1" applyBorder="1" applyAlignment="1" applyProtection="1">
      <alignment horizontal="center" vertic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49" fontId="34" fillId="0" borderId="0" xfId="0" applyNumberFormat="1" applyFont="1" applyFill="1" applyBorder="1" applyAlignment="1">
      <alignment vertical="center" wrapText="1"/>
    </xf>
    <xf numFmtId="0" fontId="29" fillId="0" borderId="15" xfId="0" applyFont="1" applyFill="1" applyBorder="1" applyAlignment="1">
      <alignment horizontal="center" vertical="center" textRotation="180"/>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41" fillId="0" borderId="15" xfId="0" applyFont="1" applyFill="1" applyBorder="1" applyAlignment="1">
      <alignment horizontal="center" vertical="center" textRotation="180"/>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horizontal="righ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0" fontId="29" fillId="0" borderId="0" xfId="0" applyFont="1" applyFill="1" applyBorder="1" applyAlignment="1">
      <alignment vertical="center" textRotation="180"/>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15" xfId="0" applyFont="1" applyFill="1" applyBorder="1" applyAlignment="1">
      <alignment horizontal="center" vertical="center" textRotation="180"/>
    </xf>
    <xf numFmtId="3" fontId="34" fillId="0" borderId="0" xfId="0" applyNumberFormat="1" applyFont="1" applyFill="1" applyBorder="1" applyAlignment="1">
      <alignment horizontal="center" wrapText="1"/>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textRotation="180"/>
    </xf>
    <xf numFmtId="0" fontId="29" fillId="0" borderId="0" xfId="0" applyFont="1" applyFill="1" applyBorder="1" applyAlignment="1">
      <alignment horizontal="center"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right" vertical="center" wrapText="1"/>
    </xf>
    <xf numFmtId="0" fontId="29" fillId="0" borderId="0" xfId="0" applyFont="1" applyFill="1" applyAlignment="1">
      <alignment horizontal="left"/>
    </xf>
    <xf numFmtId="0" fontId="29" fillId="0" borderId="0" xfId="0" applyFont="1" applyFill="1" applyAlignment="1">
      <alignment vertical="center"/>
    </xf>
    <xf numFmtId="0" fontId="29" fillId="0" borderId="0" xfId="0" applyFont="1" applyFill="1" applyAlignment="1">
      <alignment horizontal="left" vertical="center" wrapText="1"/>
    </xf>
    <xf numFmtId="0" fontId="30"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30"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29" fillId="0" borderId="0"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6"/>
  <sheetViews>
    <sheetView showGridLines="0" showZeros="0" tabSelected="1" view="pageBreakPreview" zoomScale="70" zoomScaleNormal="70" zoomScaleSheetLayoutView="70" zoomScalePageLayoutView="0" workbookViewId="0" topLeftCell="B1">
      <selection activeCell="G296" sqref="G296"/>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5.66015625" style="15" customWidth="1"/>
    <col min="10" max="10" width="17.66015625" style="15" customWidth="1"/>
    <col min="11" max="11" width="17.83203125" style="15" customWidth="1"/>
    <col min="12" max="12" width="16.66015625" style="15" customWidth="1"/>
    <col min="13" max="13" width="14.66015625" style="15" customWidth="1"/>
    <col min="14" max="14" width="17.66015625" style="15" customWidth="1"/>
    <col min="15" max="15" width="18" style="15" customWidth="1"/>
    <col min="16" max="16" width="20.5" style="15" customWidth="1"/>
    <col min="17" max="17" width="7.33203125" style="76" customWidth="1"/>
    <col min="18" max="16384" width="9.16015625" style="81" customWidth="1"/>
  </cols>
  <sheetData>
    <row r="1" spans="1:17" s="14" customFormat="1" ht="12.75" customHeight="1">
      <c r="A1" s="2"/>
      <c r="B1" s="105"/>
      <c r="C1" s="2"/>
      <c r="D1" s="2"/>
      <c r="E1" s="2"/>
      <c r="F1" s="2"/>
      <c r="G1" s="2"/>
      <c r="H1" s="2"/>
      <c r="I1" s="2"/>
      <c r="J1" s="2"/>
      <c r="K1" s="2"/>
      <c r="L1" s="2"/>
      <c r="M1" s="2"/>
      <c r="N1" s="2"/>
      <c r="O1" s="2"/>
      <c r="P1" s="2"/>
      <c r="Q1" s="168"/>
    </row>
    <row r="2" spans="12:17" ht="23.25">
      <c r="L2" s="157" t="s">
        <v>464</v>
      </c>
      <c r="M2" s="157"/>
      <c r="N2" s="157"/>
      <c r="O2" s="157"/>
      <c r="P2" s="106"/>
      <c r="Q2" s="169"/>
    </row>
    <row r="3" spans="1:17" s="14" customFormat="1" ht="23.25">
      <c r="A3" s="79"/>
      <c r="B3" s="107"/>
      <c r="C3" s="79"/>
      <c r="D3" s="79"/>
      <c r="E3" s="79"/>
      <c r="F3" s="79"/>
      <c r="G3" s="79"/>
      <c r="H3" s="79"/>
      <c r="I3" s="79"/>
      <c r="J3" s="79"/>
      <c r="K3" s="79"/>
      <c r="L3" s="66" t="s">
        <v>336</v>
      </c>
      <c r="M3" s="66"/>
      <c r="N3" s="66"/>
      <c r="O3" s="66"/>
      <c r="P3" s="66"/>
      <c r="Q3" s="168"/>
    </row>
    <row r="4" spans="12:17" ht="20.25" customHeight="1">
      <c r="L4" s="158" t="s">
        <v>450</v>
      </c>
      <c r="M4" s="158"/>
      <c r="N4" s="158"/>
      <c r="O4" s="158"/>
      <c r="P4" s="158"/>
      <c r="Q4" s="169"/>
    </row>
    <row r="5" spans="1:17" s="14" customFormat="1" ht="20.25" customHeight="1">
      <c r="A5" s="79"/>
      <c r="B5" s="107"/>
      <c r="C5" s="79"/>
      <c r="D5" s="79"/>
      <c r="E5" s="79"/>
      <c r="F5" s="79"/>
      <c r="G5" s="79"/>
      <c r="H5" s="79"/>
      <c r="I5" s="79"/>
      <c r="J5" s="79"/>
      <c r="K5" s="79"/>
      <c r="L5" s="111" t="s">
        <v>451</v>
      </c>
      <c r="M5" s="111"/>
      <c r="N5" s="111"/>
      <c r="O5" s="111"/>
      <c r="P5" s="111"/>
      <c r="Q5" s="168"/>
    </row>
    <row r="6" spans="12:17" ht="23.25">
      <c r="L6" s="108" t="s">
        <v>465</v>
      </c>
      <c r="M6" s="108"/>
      <c r="N6" s="108"/>
      <c r="O6" s="108"/>
      <c r="P6" s="108"/>
      <c r="Q6" s="169"/>
    </row>
    <row r="7" spans="1:17" s="8" customFormat="1" ht="10.5" customHeight="1">
      <c r="A7" s="7"/>
      <c r="B7" s="38"/>
      <c r="C7" s="160"/>
      <c r="D7" s="160"/>
      <c r="E7" s="160"/>
      <c r="F7" s="160"/>
      <c r="G7" s="160"/>
      <c r="H7" s="160"/>
      <c r="I7" s="160"/>
      <c r="J7" s="160"/>
      <c r="K7" s="160"/>
      <c r="L7" s="160"/>
      <c r="M7" s="160"/>
      <c r="N7" s="160"/>
      <c r="O7" s="160"/>
      <c r="P7" s="160"/>
      <c r="Q7" s="168"/>
    </row>
    <row r="8" spans="5:17" ht="15">
      <c r="E8" s="1"/>
      <c r="F8" s="1"/>
      <c r="G8" s="1"/>
      <c r="H8" s="1"/>
      <c r="I8" s="1"/>
      <c r="J8" s="1"/>
      <c r="K8" s="1"/>
      <c r="L8" s="1"/>
      <c r="M8" s="65"/>
      <c r="N8" s="65"/>
      <c r="O8" s="65"/>
      <c r="P8" s="65"/>
      <c r="Q8" s="169"/>
    </row>
    <row r="9" spans="1:17" s="14" customFormat="1" ht="50.25" customHeight="1">
      <c r="A9" s="79"/>
      <c r="B9" s="107"/>
      <c r="C9" s="162" t="s">
        <v>358</v>
      </c>
      <c r="D9" s="162"/>
      <c r="E9" s="162"/>
      <c r="F9" s="162"/>
      <c r="G9" s="162"/>
      <c r="H9" s="162"/>
      <c r="I9" s="162"/>
      <c r="J9" s="162"/>
      <c r="K9" s="162"/>
      <c r="L9" s="162"/>
      <c r="M9" s="162"/>
      <c r="N9" s="162"/>
      <c r="O9" s="162"/>
      <c r="P9" s="162"/>
      <c r="Q9" s="168"/>
    </row>
    <row r="10" spans="1:17" s="14" customFormat="1" ht="11.25" customHeight="1">
      <c r="A10" s="15"/>
      <c r="B10" s="37"/>
      <c r="C10" s="109"/>
      <c r="D10" s="109"/>
      <c r="E10" s="109"/>
      <c r="F10" s="109"/>
      <c r="G10" s="6"/>
      <c r="H10" s="3"/>
      <c r="I10" s="3"/>
      <c r="J10" s="4"/>
      <c r="K10" s="5"/>
      <c r="L10" s="5"/>
      <c r="M10" s="5"/>
      <c r="N10" s="5"/>
      <c r="O10" s="5"/>
      <c r="P10" s="17" t="s">
        <v>12</v>
      </c>
      <c r="Q10" s="168"/>
    </row>
    <row r="11" spans="1:17" s="20" customFormat="1" ht="21.75" customHeight="1">
      <c r="A11" s="18"/>
      <c r="B11" s="164" t="s">
        <v>97</v>
      </c>
      <c r="C11" s="164" t="s">
        <v>11</v>
      </c>
      <c r="D11" s="159" t="s">
        <v>308</v>
      </c>
      <c r="E11" s="159" t="s">
        <v>0</v>
      </c>
      <c r="F11" s="159"/>
      <c r="G11" s="159"/>
      <c r="H11" s="159"/>
      <c r="I11" s="159"/>
      <c r="J11" s="159" t="s">
        <v>1</v>
      </c>
      <c r="K11" s="159"/>
      <c r="L11" s="159"/>
      <c r="M11" s="159"/>
      <c r="N11" s="159"/>
      <c r="O11" s="159"/>
      <c r="P11" s="159" t="s">
        <v>2</v>
      </c>
      <c r="Q11" s="169"/>
    </row>
    <row r="12" spans="1:17" s="20" customFormat="1" ht="16.5" customHeight="1">
      <c r="A12" s="21"/>
      <c r="B12" s="165"/>
      <c r="C12" s="165"/>
      <c r="D12" s="159"/>
      <c r="E12" s="159" t="s">
        <v>3</v>
      </c>
      <c r="F12" s="167" t="s">
        <v>4</v>
      </c>
      <c r="G12" s="161" t="s">
        <v>5</v>
      </c>
      <c r="H12" s="161"/>
      <c r="I12" s="163" t="s">
        <v>6</v>
      </c>
      <c r="J12" s="159" t="s">
        <v>3</v>
      </c>
      <c r="K12" s="167" t="s">
        <v>4</v>
      </c>
      <c r="L12" s="161" t="s">
        <v>5</v>
      </c>
      <c r="M12" s="161"/>
      <c r="N12" s="163" t="s">
        <v>6</v>
      </c>
      <c r="O12" s="19" t="s">
        <v>5</v>
      </c>
      <c r="P12" s="159"/>
      <c r="Q12" s="169"/>
    </row>
    <row r="13" spans="1:17" s="20" customFormat="1" ht="20.25" customHeight="1">
      <c r="A13" s="22"/>
      <c r="B13" s="165"/>
      <c r="C13" s="165"/>
      <c r="D13" s="159"/>
      <c r="E13" s="159"/>
      <c r="F13" s="167"/>
      <c r="G13" s="161" t="s">
        <v>7</v>
      </c>
      <c r="H13" s="161" t="s">
        <v>8</v>
      </c>
      <c r="I13" s="163"/>
      <c r="J13" s="159"/>
      <c r="K13" s="167"/>
      <c r="L13" s="161" t="s">
        <v>7</v>
      </c>
      <c r="M13" s="161" t="s">
        <v>8</v>
      </c>
      <c r="N13" s="163"/>
      <c r="O13" s="159" t="s">
        <v>10</v>
      </c>
      <c r="P13" s="159"/>
      <c r="Q13" s="169"/>
    </row>
    <row r="14" spans="1:17" s="20" customFormat="1" ht="96" customHeight="1">
      <c r="A14" s="23"/>
      <c r="B14" s="166"/>
      <c r="C14" s="166"/>
      <c r="D14" s="159"/>
      <c r="E14" s="159"/>
      <c r="F14" s="167"/>
      <c r="G14" s="161"/>
      <c r="H14" s="161"/>
      <c r="I14" s="163"/>
      <c r="J14" s="159"/>
      <c r="K14" s="167"/>
      <c r="L14" s="161"/>
      <c r="M14" s="161"/>
      <c r="N14" s="163"/>
      <c r="O14" s="159"/>
      <c r="P14" s="159"/>
      <c r="Q14" s="169"/>
    </row>
    <row r="15" spans="1:17" s="26" customFormat="1" ht="28.5">
      <c r="A15" s="24"/>
      <c r="B15" s="36" t="s">
        <v>98</v>
      </c>
      <c r="C15" s="67"/>
      <c r="D15" s="25" t="s">
        <v>307</v>
      </c>
      <c r="E15" s="58">
        <f>E16</f>
        <v>63108342</v>
      </c>
      <c r="F15" s="58">
        <f aca="true" t="shared" si="0" ref="F15:P15">F16</f>
        <v>49759502</v>
      </c>
      <c r="G15" s="58">
        <f t="shared" si="0"/>
        <v>25015688</v>
      </c>
      <c r="H15" s="58">
        <f t="shared" si="0"/>
        <v>2907608</v>
      </c>
      <c r="I15" s="58">
        <f t="shared" si="0"/>
        <v>13348840</v>
      </c>
      <c r="J15" s="58">
        <f t="shared" si="0"/>
        <v>54210076</v>
      </c>
      <c r="K15" s="58">
        <f t="shared" si="0"/>
        <v>472557</v>
      </c>
      <c r="L15" s="58">
        <f t="shared" si="0"/>
        <v>144491</v>
      </c>
      <c r="M15" s="58">
        <f t="shared" si="0"/>
        <v>98348</v>
      </c>
      <c r="N15" s="58">
        <f t="shared" si="0"/>
        <v>53737519</v>
      </c>
      <c r="O15" s="58">
        <f t="shared" si="0"/>
        <v>53737519</v>
      </c>
      <c r="P15" s="58">
        <f t="shared" si="0"/>
        <v>117318418</v>
      </c>
      <c r="Q15" s="169"/>
    </row>
    <row r="16" spans="1:17" s="101" customFormat="1" ht="30">
      <c r="A16" s="100"/>
      <c r="B16" s="110" t="s">
        <v>99</v>
      </c>
      <c r="C16" s="68"/>
      <c r="D16" s="50" t="s">
        <v>307</v>
      </c>
      <c r="E16" s="70">
        <f>E17+E20+E23+E24+E25+E27+E29+E32+E35+E38+E39+E41+E46+E51+E52+E53+E55+E57+E65+E58+E49+E18+E43+E44+E42+E47+E56+E64</f>
        <v>63108342</v>
      </c>
      <c r="F16" s="70">
        <f aca="true" t="shared" si="1" ref="F16:P16">F17+F20+F23+F24+F25+F27+F29+F32+F35+F38+F39+F41+F46+F51+F52+F53+F55+F57+F65+F58+F49+F18+F43+F44+F42+F47+F56+F64</f>
        <v>49759502</v>
      </c>
      <c r="G16" s="70">
        <f t="shared" si="1"/>
        <v>25015688</v>
      </c>
      <c r="H16" s="70">
        <f t="shared" si="1"/>
        <v>2907608</v>
      </c>
      <c r="I16" s="70">
        <f t="shared" si="1"/>
        <v>13348840</v>
      </c>
      <c r="J16" s="70">
        <f t="shared" si="1"/>
        <v>54210076</v>
      </c>
      <c r="K16" s="70">
        <f t="shared" si="1"/>
        <v>472557</v>
      </c>
      <c r="L16" s="70">
        <f t="shared" si="1"/>
        <v>144491</v>
      </c>
      <c r="M16" s="70">
        <f t="shared" si="1"/>
        <v>98348</v>
      </c>
      <c r="N16" s="70">
        <f t="shared" si="1"/>
        <v>53737519</v>
      </c>
      <c r="O16" s="70">
        <f t="shared" si="1"/>
        <v>53737519</v>
      </c>
      <c r="P16" s="70">
        <f t="shared" si="1"/>
        <v>117318418</v>
      </c>
      <c r="Q16" s="169"/>
    </row>
    <row r="17" spans="1:17" s="26" customFormat="1" ht="45">
      <c r="A17" s="48"/>
      <c r="B17" s="57" t="s">
        <v>101</v>
      </c>
      <c r="C17" s="45" t="s">
        <v>9</v>
      </c>
      <c r="D17" s="49" t="s">
        <v>100</v>
      </c>
      <c r="E17" s="73">
        <f>F17+I17</f>
        <v>27284910</v>
      </c>
      <c r="F17" s="73">
        <v>27284910</v>
      </c>
      <c r="G17" s="98">
        <f>16195850+1873700</f>
        <v>18069550</v>
      </c>
      <c r="H17" s="73">
        <v>1520550</v>
      </c>
      <c r="I17" s="73"/>
      <c r="J17" s="73">
        <f>K17+N17</f>
        <v>1100000</v>
      </c>
      <c r="K17" s="73"/>
      <c r="L17" s="73"/>
      <c r="M17" s="73"/>
      <c r="N17" s="73">
        <v>1100000</v>
      </c>
      <c r="O17" s="73">
        <v>1100000</v>
      </c>
      <c r="P17" s="73">
        <f>E17+J17</f>
        <v>28384910</v>
      </c>
      <c r="Q17" s="169"/>
    </row>
    <row r="18" spans="1:17" s="26" customFormat="1" ht="210">
      <c r="A18" s="24"/>
      <c r="B18" s="36" t="s">
        <v>334</v>
      </c>
      <c r="C18" s="27"/>
      <c r="D18" s="28" t="s">
        <v>210</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69"/>
    </row>
    <row r="19" spans="1:17" s="101" customFormat="1" ht="45">
      <c r="A19" s="100"/>
      <c r="B19" s="110" t="s">
        <v>335</v>
      </c>
      <c r="C19" s="83" t="s">
        <v>72</v>
      </c>
      <c r="D19" s="84" t="s">
        <v>73</v>
      </c>
      <c r="E19" s="64">
        <f>F19+I19</f>
        <v>32500</v>
      </c>
      <c r="F19" s="73">
        <v>32500</v>
      </c>
      <c r="G19" s="69"/>
      <c r="H19" s="69"/>
      <c r="I19" s="69"/>
      <c r="J19" s="69"/>
      <c r="K19" s="69"/>
      <c r="L19" s="69"/>
      <c r="M19" s="69"/>
      <c r="N19" s="69"/>
      <c r="O19" s="69"/>
      <c r="P19" s="69">
        <f>E19+J19</f>
        <v>32500</v>
      </c>
      <c r="Q19" s="169"/>
    </row>
    <row r="20" spans="1:17" s="26" customFormat="1" ht="30">
      <c r="A20" s="48"/>
      <c r="B20" s="57" t="s">
        <v>102</v>
      </c>
      <c r="C20" s="45"/>
      <c r="D20" s="49" t="s">
        <v>103</v>
      </c>
      <c r="E20" s="73">
        <f>E21+E22</f>
        <v>727000</v>
      </c>
      <c r="F20" s="73">
        <f aca="true" t="shared" si="3" ref="F20:P20">F21+F22</f>
        <v>727000</v>
      </c>
      <c r="G20" s="73">
        <f t="shared" si="3"/>
        <v>492950</v>
      </c>
      <c r="H20" s="73">
        <f t="shared" si="3"/>
        <v>55897</v>
      </c>
      <c r="I20" s="73">
        <f t="shared" si="3"/>
        <v>0</v>
      </c>
      <c r="J20" s="73">
        <f t="shared" si="3"/>
        <v>0</v>
      </c>
      <c r="K20" s="73">
        <f t="shared" si="3"/>
        <v>0</v>
      </c>
      <c r="L20" s="73">
        <f t="shared" si="3"/>
        <v>0</v>
      </c>
      <c r="M20" s="73">
        <f t="shared" si="3"/>
        <v>0</v>
      </c>
      <c r="N20" s="73">
        <f t="shared" si="3"/>
        <v>0</v>
      </c>
      <c r="O20" s="73">
        <f t="shared" si="3"/>
        <v>0</v>
      </c>
      <c r="P20" s="73">
        <f t="shared" si="3"/>
        <v>727000</v>
      </c>
      <c r="Q20" s="169"/>
    </row>
    <row r="21" spans="1:17" s="101" customFormat="1" ht="30">
      <c r="A21" s="100"/>
      <c r="B21" s="110" t="s">
        <v>104</v>
      </c>
      <c r="C21" s="83" t="s">
        <v>15</v>
      </c>
      <c r="D21" s="84" t="s">
        <v>107</v>
      </c>
      <c r="E21" s="64">
        <f>F21+I21</f>
        <v>687000</v>
      </c>
      <c r="F21" s="98">
        <f>847250-160250</f>
        <v>687000</v>
      </c>
      <c r="G21" s="98">
        <f>564500-71550</f>
        <v>492950</v>
      </c>
      <c r="H21" s="73">
        <v>55897</v>
      </c>
      <c r="I21" s="69"/>
      <c r="J21" s="69">
        <f>K21+N21</f>
        <v>0</v>
      </c>
      <c r="K21" s="69"/>
      <c r="L21" s="69"/>
      <c r="M21" s="69"/>
      <c r="N21" s="69"/>
      <c r="O21" s="69"/>
      <c r="P21" s="69">
        <f>E21+J21</f>
        <v>687000</v>
      </c>
      <c r="Q21" s="169"/>
    </row>
    <row r="22" spans="1:17" s="101" customFormat="1" ht="30">
      <c r="A22" s="100"/>
      <c r="B22" s="110" t="s">
        <v>105</v>
      </c>
      <c r="C22" s="83" t="s">
        <v>16</v>
      </c>
      <c r="D22" s="84" t="s">
        <v>108</v>
      </c>
      <c r="E22" s="64">
        <f>F22+I22</f>
        <v>40000</v>
      </c>
      <c r="F22" s="73">
        <v>40000</v>
      </c>
      <c r="G22" s="69"/>
      <c r="H22" s="69"/>
      <c r="I22" s="69"/>
      <c r="J22" s="69">
        <f>K22+N22</f>
        <v>0</v>
      </c>
      <c r="K22" s="69"/>
      <c r="L22" s="69"/>
      <c r="M22" s="69"/>
      <c r="N22" s="69"/>
      <c r="O22" s="69"/>
      <c r="P22" s="69">
        <f>E22+J22</f>
        <v>40000</v>
      </c>
      <c r="Q22" s="169"/>
    </row>
    <row r="23" spans="1:17" s="101" customFormat="1" ht="15">
      <c r="A23" s="100"/>
      <c r="B23" s="57" t="s">
        <v>106</v>
      </c>
      <c r="C23" s="45" t="s">
        <v>17</v>
      </c>
      <c r="D23" s="49" t="s">
        <v>109</v>
      </c>
      <c r="E23" s="73">
        <f>F23+I23</f>
        <v>605000</v>
      </c>
      <c r="F23" s="73">
        <f>105000+500000</f>
        <v>605000</v>
      </c>
      <c r="G23" s="73"/>
      <c r="H23" s="73"/>
      <c r="I23" s="73"/>
      <c r="J23" s="73">
        <f>K23+N23</f>
        <v>0</v>
      </c>
      <c r="K23" s="73"/>
      <c r="L23" s="73"/>
      <c r="M23" s="73"/>
      <c r="N23" s="73"/>
      <c r="O23" s="73"/>
      <c r="P23" s="73">
        <f>E23+J23</f>
        <v>605000</v>
      </c>
      <c r="Q23" s="169"/>
    </row>
    <row r="24" spans="1:17" s="101" customFormat="1" ht="75">
      <c r="A24" s="100"/>
      <c r="B24" s="57" t="s">
        <v>110</v>
      </c>
      <c r="C24" s="45" t="s">
        <v>20</v>
      </c>
      <c r="D24" s="113" t="s">
        <v>111</v>
      </c>
      <c r="E24" s="73">
        <f>F24+I24</f>
        <v>189000</v>
      </c>
      <c r="F24" s="73">
        <v>189000</v>
      </c>
      <c r="G24" s="73"/>
      <c r="H24" s="73"/>
      <c r="I24" s="73"/>
      <c r="J24" s="73">
        <f>K24+N24</f>
        <v>0</v>
      </c>
      <c r="K24" s="73"/>
      <c r="L24" s="73"/>
      <c r="M24" s="73"/>
      <c r="N24" s="73"/>
      <c r="O24" s="73"/>
      <c r="P24" s="73">
        <f>E24+J24</f>
        <v>189000</v>
      </c>
      <c r="Q24" s="169"/>
    </row>
    <row r="25" spans="1:17" s="101" customFormat="1" ht="30">
      <c r="A25" s="100"/>
      <c r="B25" s="57" t="s">
        <v>112</v>
      </c>
      <c r="C25" s="45" t="s">
        <v>13</v>
      </c>
      <c r="D25" s="49" t="s">
        <v>14</v>
      </c>
      <c r="E25" s="73">
        <f>E26</f>
        <v>166092</v>
      </c>
      <c r="F25" s="73">
        <f aca="true" t="shared" si="4" ref="F25:P25">F26</f>
        <v>166092</v>
      </c>
      <c r="G25" s="73">
        <f t="shared" si="4"/>
        <v>0</v>
      </c>
      <c r="H25" s="73">
        <f t="shared" si="4"/>
        <v>0</v>
      </c>
      <c r="I25" s="73">
        <f t="shared" si="4"/>
        <v>0</v>
      </c>
      <c r="J25" s="73">
        <f t="shared" si="4"/>
        <v>0</v>
      </c>
      <c r="K25" s="73">
        <f t="shared" si="4"/>
        <v>0</v>
      </c>
      <c r="L25" s="73">
        <f t="shared" si="4"/>
        <v>0</v>
      </c>
      <c r="M25" s="73">
        <f t="shared" si="4"/>
        <v>0</v>
      </c>
      <c r="N25" s="73">
        <f t="shared" si="4"/>
        <v>0</v>
      </c>
      <c r="O25" s="73">
        <f t="shared" si="4"/>
        <v>0</v>
      </c>
      <c r="P25" s="73">
        <f t="shared" si="4"/>
        <v>166092</v>
      </c>
      <c r="Q25" s="148"/>
    </row>
    <row r="26" spans="1:17" s="101" customFormat="1" ht="45">
      <c r="A26" s="100"/>
      <c r="B26" s="110" t="s">
        <v>113</v>
      </c>
      <c r="C26" s="83" t="s">
        <v>13</v>
      </c>
      <c r="D26" s="84" t="s">
        <v>360</v>
      </c>
      <c r="E26" s="64">
        <f>F26+I26</f>
        <v>166092</v>
      </c>
      <c r="F26" s="73">
        <f>143404+22688</f>
        <v>166092</v>
      </c>
      <c r="G26" s="70"/>
      <c r="H26" s="70"/>
      <c r="I26" s="70"/>
      <c r="J26" s="64">
        <f>K26+N26</f>
        <v>0</v>
      </c>
      <c r="K26" s="70"/>
      <c r="L26" s="70"/>
      <c r="M26" s="70"/>
      <c r="N26" s="70"/>
      <c r="O26" s="70"/>
      <c r="P26" s="64">
        <f>E26+J26</f>
        <v>166092</v>
      </c>
      <c r="Q26" s="148"/>
    </row>
    <row r="27" spans="1:17" s="26" customFormat="1" ht="15">
      <c r="A27" s="48"/>
      <c r="B27" s="57" t="s">
        <v>114</v>
      </c>
      <c r="C27" s="45" t="s">
        <v>18</v>
      </c>
      <c r="D27" s="49" t="s">
        <v>19</v>
      </c>
      <c r="E27" s="73">
        <f>E28</f>
        <v>509900</v>
      </c>
      <c r="F27" s="73">
        <f aca="true" t="shared" si="5" ref="F27:P27">F28</f>
        <v>509900</v>
      </c>
      <c r="G27" s="73">
        <f t="shared" si="5"/>
        <v>337300</v>
      </c>
      <c r="H27" s="73">
        <f t="shared" si="5"/>
        <v>72433</v>
      </c>
      <c r="I27" s="73">
        <f t="shared" si="5"/>
        <v>0</v>
      </c>
      <c r="J27" s="73">
        <f t="shared" si="5"/>
        <v>9645</v>
      </c>
      <c r="K27" s="73">
        <f t="shared" si="5"/>
        <v>0</v>
      </c>
      <c r="L27" s="73">
        <f t="shared" si="5"/>
        <v>0</v>
      </c>
      <c r="M27" s="73">
        <f t="shared" si="5"/>
        <v>0</v>
      </c>
      <c r="N27" s="73">
        <f t="shared" si="5"/>
        <v>9645</v>
      </c>
      <c r="O27" s="73">
        <f t="shared" si="5"/>
        <v>9645</v>
      </c>
      <c r="P27" s="73">
        <f t="shared" si="5"/>
        <v>519545</v>
      </c>
      <c r="Q27" s="148"/>
    </row>
    <row r="28" spans="1:17" s="101" customFormat="1" ht="45">
      <c r="A28" s="100"/>
      <c r="B28" s="110" t="s">
        <v>115</v>
      </c>
      <c r="C28" s="83" t="s">
        <v>18</v>
      </c>
      <c r="D28" s="84" t="s">
        <v>361</v>
      </c>
      <c r="E28" s="64">
        <f>F28+I28</f>
        <v>509900</v>
      </c>
      <c r="F28" s="98">
        <f>582100-72200</f>
        <v>509900</v>
      </c>
      <c r="G28" s="98">
        <f>354900-17600</f>
        <v>337300</v>
      </c>
      <c r="H28" s="73">
        <v>72433</v>
      </c>
      <c r="I28" s="69"/>
      <c r="J28" s="69">
        <f>K28+N28</f>
        <v>9645</v>
      </c>
      <c r="K28" s="69"/>
      <c r="L28" s="69"/>
      <c r="M28" s="69"/>
      <c r="N28" s="69">
        <v>9645</v>
      </c>
      <c r="O28" s="69">
        <v>9645</v>
      </c>
      <c r="P28" s="69">
        <f>E28+J28</f>
        <v>519545</v>
      </c>
      <c r="Q28" s="148"/>
    </row>
    <row r="29" spans="1:17" s="26" customFormat="1" ht="15">
      <c r="A29" s="48"/>
      <c r="B29" s="42" t="s">
        <v>117</v>
      </c>
      <c r="C29" s="27" t="s">
        <v>23</v>
      </c>
      <c r="D29" s="28" t="s">
        <v>116</v>
      </c>
      <c r="E29" s="35">
        <f>E30+E31</f>
        <v>1531656</v>
      </c>
      <c r="F29" s="35">
        <f aca="true" t="shared" si="6" ref="F29:P29">F30+F31</f>
        <v>1531656</v>
      </c>
      <c r="G29" s="35">
        <f t="shared" si="6"/>
        <v>996160</v>
      </c>
      <c r="H29" s="35">
        <f t="shared" si="6"/>
        <v>91785</v>
      </c>
      <c r="I29" s="35">
        <f t="shared" si="6"/>
        <v>0</v>
      </c>
      <c r="J29" s="35">
        <f t="shared" si="6"/>
        <v>70000</v>
      </c>
      <c r="K29" s="35">
        <f t="shared" si="6"/>
        <v>0</v>
      </c>
      <c r="L29" s="35">
        <f t="shared" si="6"/>
        <v>0</v>
      </c>
      <c r="M29" s="35">
        <f t="shared" si="6"/>
        <v>0</v>
      </c>
      <c r="N29" s="35">
        <f t="shared" si="6"/>
        <v>70000</v>
      </c>
      <c r="O29" s="35">
        <f t="shared" si="6"/>
        <v>70000</v>
      </c>
      <c r="P29" s="35">
        <f t="shared" si="6"/>
        <v>1601656</v>
      </c>
      <c r="Q29" s="148"/>
    </row>
    <row r="30" spans="1:17" s="26" customFormat="1" ht="30">
      <c r="A30" s="24"/>
      <c r="B30" s="83" t="s">
        <v>120</v>
      </c>
      <c r="C30" s="83" t="s">
        <v>23</v>
      </c>
      <c r="D30" s="102" t="s">
        <v>118</v>
      </c>
      <c r="E30" s="73">
        <f>F30+I30</f>
        <v>634620</v>
      </c>
      <c r="F30" s="98">
        <f>720570-85950</f>
        <v>634620</v>
      </c>
      <c r="G30" s="114">
        <f>387400-25042</f>
        <v>362358</v>
      </c>
      <c r="H30" s="115">
        <v>29252</v>
      </c>
      <c r="I30" s="60"/>
      <c r="J30" s="73">
        <f>K30+N30</f>
        <v>50000</v>
      </c>
      <c r="K30" s="73"/>
      <c r="L30" s="73"/>
      <c r="M30" s="73"/>
      <c r="N30" s="115">
        <v>50000</v>
      </c>
      <c r="O30" s="115">
        <v>50000</v>
      </c>
      <c r="P30" s="73">
        <f>E30+J30</f>
        <v>684620</v>
      </c>
      <c r="Q30" s="148"/>
    </row>
    <row r="31" spans="1:17" s="26" customFormat="1" ht="30">
      <c r="A31" s="24"/>
      <c r="B31" s="83" t="s">
        <v>121</v>
      </c>
      <c r="C31" s="83" t="s">
        <v>23</v>
      </c>
      <c r="D31" s="102" t="s">
        <v>119</v>
      </c>
      <c r="E31" s="73">
        <f>F31</f>
        <v>897036</v>
      </c>
      <c r="F31" s="73">
        <f>971550-74514</f>
        <v>897036</v>
      </c>
      <c r="G31" s="115">
        <f>621975+11827</f>
        <v>633802</v>
      </c>
      <c r="H31" s="115">
        <v>62533</v>
      </c>
      <c r="I31" s="116"/>
      <c r="J31" s="73">
        <f>K31+N31</f>
        <v>20000</v>
      </c>
      <c r="K31" s="116"/>
      <c r="L31" s="116"/>
      <c r="M31" s="116"/>
      <c r="N31" s="115">
        <v>20000</v>
      </c>
      <c r="O31" s="115">
        <v>20000</v>
      </c>
      <c r="P31" s="73">
        <f>E31+J31</f>
        <v>917036</v>
      </c>
      <c r="Q31" s="148"/>
    </row>
    <row r="32" spans="1:17" s="26" customFormat="1" ht="15" customHeight="1">
      <c r="A32" s="24"/>
      <c r="B32" s="33" t="s">
        <v>122</v>
      </c>
      <c r="C32" s="27"/>
      <c r="D32" s="117" t="s">
        <v>123</v>
      </c>
      <c r="E32" s="47">
        <f>E33+E34</f>
        <v>1000000</v>
      </c>
      <c r="F32" s="47">
        <f aca="true" t="shared" si="7" ref="F32:O32">F33+F34</f>
        <v>1000000</v>
      </c>
      <c r="G32" s="47">
        <f t="shared" si="7"/>
        <v>0</v>
      </c>
      <c r="H32" s="47">
        <f t="shared" si="7"/>
        <v>0</v>
      </c>
      <c r="I32" s="47">
        <f t="shared" si="7"/>
        <v>0</v>
      </c>
      <c r="J32" s="47">
        <f t="shared" si="7"/>
        <v>0</v>
      </c>
      <c r="K32" s="47">
        <f t="shared" si="7"/>
        <v>0</v>
      </c>
      <c r="L32" s="47">
        <f t="shared" si="7"/>
        <v>0</v>
      </c>
      <c r="M32" s="47">
        <f t="shared" si="7"/>
        <v>0</v>
      </c>
      <c r="N32" s="47">
        <f t="shared" si="7"/>
        <v>0</v>
      </c>
      <c r="O32" s="47">
        <f t="shared" si="7"/>
        <v>0</v>
      </c>
      <c r="P32" s="47">
        <f>P33+P34</f>
        <v>1000000</v>
      </c>
      <c r="Q32" s="148"/>
    </row>
    <row r="33" spans="1:17" s="101" customFormat="1" ht="45">
      <c r="A33" s="100"/>
      <c r="B33" s="99" t="s">
        <v>124</v>
      </c>
      <c r="C33" s="88" t="s">
        <v>24</v>
      </c>
      <c r="D33" s="118" t="s">
        <v>126</v>
      </c>
      <c r="E33" s="62">
        <f>F33+I33</f>
        <v>500000</v>
      </c>
      <c r="F33" s="73">
        <v>500000</v>
      </c>
      <c r="G33" s="119"/>
      <c r="H33" s="119"/>
      <c r="I33" s="120"/>
      <c r="J33" s="62">
        <f>K33+N33</f>
        <v>0</v>
      </c>
      <c r="K33" s="62"/>
      <c r="L33" s="62"/>
      <c r="M33" s="62"/>
      <c r="N33" s="61"/>
      <c r="O33" s="61"/>
      <c r="P33" s="62">
        <f>E33+J33</f>
        <v>500000</v>
      </c>
      <c r="Q33" s="148"/>
    </row>
    <row r="34" spans="1:17" s="101" customFormat="1" ht="45">
      <c r="A34" s="100"/>
      <c r="B34" s="99" t="s">
        <v>125</v>
      </c>
      <c r="C34" s="83" t="s">
        <v>25</v>
      </c>
      <c r="D34" s="84" t="s">
        <v>26</v>
      </c>
      <c r="E34" s="64">
        <f>F34+I34</f>
        <v>500000</v>
      </c>
      <c r="F34" s="73">
        <v>500000</v>
      </c>
      <c r="G34" s="121"/>
      <c r="H34" s="121"/>
      <c r="I34" s="122"/>
      <c r="J34" s="64">
        <f>K34+N34</f>
        <v>0</v>
      </c>
      <c r="K34" s="64"/>
      <c r="L34" s="64"/>
      <c r="M34" s="64"/>
      <c r="N34" s="63"/>
      <c r="O34" s="63"/>
      <c r="P34" s="64">
        <f>E34+J34</f>
        <v>500000</v>
      </c>
      <c r="Q34" s="148"/>
    </row>
    <row r="35" spans="1:17" s="26" customFormat="1" ht="30">
      <c r="A35" s="48"/>
      <c r="B35" s="46" t="s">
        <v>128</v>
      </c>
      <c r="C35" s="45"/>
      <c r="D35" s="49" t="s">
        <v>127</v>
      </c>
      <c r="E35" s="73">
        <f>E36+E37</f>
        <v>9170909</v>
      </c>
      <c r="F35" s="73">
        <f aca="true" t="shared" si="8" ref="F35:P35">F36+F37</f>
        <v>9170909</v>
      </c>
      <c r="G35" s="73">
        <f t="shared" si="8"/>
        <v>3551322</v>
      </c>
      <c r="H35" s="73">
        <f t="shared" si="8"/>
        <v>410216</v>
      </c>
      <c r="I35" s="73">
        <f t="shared" si="8"/>
        <v>0</v>
      </c>
      <c r="J35" s="73">
        <f t="shared" si="8"/>
        <v>200000</v>
      </c>
      <c r="K35" s="73">
        <f t="shared" si="8"/>
        <v>0</v>
      </c>
      <c r="L35" s="73">
        <f t="shared" si="8"/>
        <v>0</v>
      </c>
      <c r="M35" s="73">
        <f t="shared" si="8"/>
        <v>0</v>
      </c>
      <c r="N35" s="73">
        <f t="shared" si="8"/>
        <v>200000</v>
      </c>
      <c r="O35" s="73">
        <f t="shared" si="8"/>
        <v>200000</v>
      </c>
      <c r="P35" s="73">
        <f t="shared" si="8"/>
        <v>9370909</v>
      </c>
      <c r="Q35" s="148"/>
    </row>
    <row r="36" spans="1:17" s="101" customFormat="1" ht="45">
      <c r="A36" s="100"/>
      <c r="B36" s="99" t="s">
        <v>131</v>
      </c>
      <c r="C36" s="83" t="s">
        <v>27</v>
      </c>
      <c r="D36" s="84" t="s">
        <v>129</v>
      </c>
      <c r="E36" s="64">
        <f>F36+I36</f>
        <v>5084691</v>
      </c>
      <c r="F36" s="98">
        <f>5633420-548729</f>
        <v>5084691</v>
      </c>
      <c r="G36" s="98">
        <f>3602473-51151</f>
        <v>3551322</v>
      </c>
      <c r="H36" s="73">
        <v>410216</v>
      </c>
      <c r="I36" s="122"/>
      <c r="J36" s="64">
        <f>K36+N36</f>
        <v>200000</v>
      </c>
      <c r="K36" s="70"/>
      <c r="L36" s="70"/>
      <c r="M36" s="70"/>
      <c r="N36" s="63">
        <v>200000</v>
      </c>
      <c r="O36" s="63">
        <v>200000</v>
      </c>
      <c r="P36" s="64">
        <f>E36+J36</f>
        <v>5284691</v>
      </c>
      <c r="Q36" s="148"/>
    </row>
    <row r="37" spans="1:17" s="101" customFormat="1" ht="45">
      <c r="A37" s="100"/>
      <c r="B37" s="99" t="s">
        <v>132</v>
      </c>
      <c r="C37" s="83" t="s">
        <v>30</v>
      </c>
      <c r="D37" s="84" t="s">
        <v>130</v>
      </c>
      <c r="E37" s="64">
        <f>F37+I37</f>
        <v>4086218</v>
      </c>
      <c r="F37" s="73">
        <f>4485660-399442</f>
        <v>4086218</v>
      </c>
      <c r="G37" s="121"/>
      <c r="H37" s="121"/>
      <c r="I37" s="122"/>
      <c r="J37" s="64">
        <f>K37+N37</f>
        <v>0</v>
      </c>
      <c r="K37" s="70"/>
      <c r="L37" s="70"/>
      <c r="M37" s="70"/>
      <c r="N37" s="63"/>
      <c r="O37" s="63"/>
      <c r="P37" s="64">
        <f>E37+J37</f>
        <v>4086218</v>
      </c>
      <c r="Q37" s="148"/>
    </row>
    <row r="38" spans="1:17" s="101" customFormat="1" ht="30">
      <c r="A38" s="100"/>
      <c r="B38" s="46" t="s">
        <v>134</v>
      </c>
      <c r="C38" s="45" t="s">
        <v>29</v>
      </c>
      <c r="D38" s="49" t="s">
        <v>133</v>
      </c>
      <c r="E38" s="73">
        <f>F38+I38</f>
        <v>1687339</v>
      </c>
      <c r="F38" s="98">
        <f>1995340-308001</f>
        <v>1687339</v>
      </c>
      <c r="G38" s="98">
        <f>1058675-128369</f>
        <v>930306</v>
      </c>
      <c r="H38" s="73">
        <v>384290</v>
      </c>
      <c r="I38" s="60"/>
      <c r="J38" s="73">
        <f>K38+N38</f>
        <v>817714</v>
      </c>
      <c r="K38" s="73">
        <v>317714</v>
      </c>
      <c r="L38" s="73">
        <v>144491</v>
      </c>
      <c r="M38" s="73">
        <v>97628</v>
      </c>
      <c r="N38" s="115">
        <v>500000</v>
      </c>
      <c r="O38" s="115">
        <v>500000</v>
      </c>
      <c r="P38" s="73">
        <f>E38+J38</f>
        <v>2505053</v>
      </c>
      <c r="Q38" s="148"/>
    </row>
    <row r="39" spans="1:17" s="26" customFormat="1" ht="15">
      <c r="A39" s="48"/>
      <c r="B39" s="46" t="s">
        <v>135</v>
      </c>
      <c r="C39" s="45" t="s">
        <v>28</v>
      </c>
      <c r="D39" s="49" t="s">
        <v>19</v>
      </c>
      <c r="E39" s="73">
        <f>E40</f>
        <v>2347168</v>
      </c>
      <c r="F39" s="73">
        <f>F40</f>
        <v>2347168</v>
      </c>
      <c r="G39" s="73">
        <f>G40</f>
        <v>0</v>
      </c>
      <c r="H39" s="73">
        <f aca="true" t="shared" si="9" ref="H39:P39">H40</f>
        <v>0</v>
      </c>
      <c r="I39" s="73">
        <f t="shared" si="9"/>
        <v>0</v>
      </c>
      <c r="J39" s="73">
        <f t="shared" si="9"/>
        <v>0</v>
      </c>
      <c r="K39" s="73">
        <f t="shared" si="9"/>
        <v>0</v>
      </c>
      <c r="L39" s="73">
        <f t="shared" si="9"/>
        <v>0</v>
      </c>
      <c r="M39" s="73">
        <f t="shared" si="9"/>
        <v>0</v>
      </c>
      <c r="N39" s="73">
        <f t="shared" si="9"/>
        <v>0</v>
      </c>
      <c r="O39" s="73">
        <f t="shared" si="9"/>
        <v>0</v>
      </c>
      <c r="P39" s="73">
        <f t="shared" si="9"/>
        <v>2347168</v>
      </c>
      <c r="Q39" s="148"/>
    </row>
    <row r="40" spans="1:17" s="26" customFormat="1" ht="45">
      <c r="A40" s="24"/>
      <c r="B40" s="83" t="s">
        <v>136</v>
      </c>
      <c r="C40" s="83" t="s">
        <v>28</v>
      </c>
      <c r="D40" s="102" t="s">
        <v>359</v>
      </c>
      <c r="E40" s="73">
        <f>F40+I40</f>
        <v>2347168</v>
      </c>
      <c r="F40" s="98">
        <f>2545380-198212</f>
        <v>2347168</v>
      </c>
      <c r="G40" s="115"/>
      <c r="H40" s="115"/>
      <c r="I40" s="60"/>
      <c r="J40" s="73">
        <f>K40+N40</f>
        <v>0</v>
      </c>
      <c r="K40" s="58"/>
      <c r="L40" s="58"/>
      <c r="M40" s="58"/>
      <c r="N40" s="115"/>
      <c r="O40" s="115"/>
      <c r="P40" s="73">
        <f>E40+J40</f>
        <v>2347168</v>
      </c>
      <c r="Q40" s="148"/>
    </row>
    <row r="41" spans="1:17" s="26" customFormat="1" ht="15">
      <c r="A41" s="24"/>
      <c r="B41" s="33" t="s">
        <v>138</v>
      </c>
      <c r="C41" s="27" t="s">
        <v>21</v>
      </c>
      <c r="D41" s="28" t="s">
        <v>137</v>
      </c>
      <c r="E41" s="35">
        <f>F41+I41</f>
        <v>125140</v>
      </c>
      <c r="F41" s="35">
        <v>125140</v>
      </c>
      <c r="G41" s="35"/>
      <c r="H41" s="35">
        <v>124940</v>
      </c>
      <c r="I41" s="35"/>
      <c r="J41" s="35">
        <f>K41+N41</f>
        <v>0</v>
      </c>
      <c r="K41" s="35"/>
      <c r="L41" s="35"/>
      <c r="M41" s="35"/>
      <c r="N41" s="35"/>
      <c r="O41" s="35"/>
      <c r="P41" s="35">
        <f>E41+J41</f>
        <v>125140</v>
      </c>
      <c r="Q41" s="148"/>
    </row>
    <row r="42" spans="1:17" s="26" customFormat="1" ht="30">
      <c r="A42" s="24"/>
      <c r="B42" s="95" t="s">
        <v>443</v>
      </c>
      <c r="C42" s="27" t="s">
        <v>320</v>
      </c>
      <c r="D42" s="28" t="s">
        <v>321</v>
      </c>
      <c r="E42" s="35">
        <f>F42+I42</f>
        <v>99000</v>
      </c>
      <c r="F42" s="35">
        <v>99000</v>
      </c>
      <c r="G42" s="35"/>
      <c r="H42" s="35"/>
      <c r="I42" s="35"/>
      <c r="J42" s="35"/>
      <c r="K42" s="35"/>
      <c r="L42" s="35"/>
      <c r="M42" s="35"/>
      <c r="N42" s="35"/>
      <c r="O42" s="35"/>
      <c r="P42" s="35">
        <f>E42+J42</f>
        <v>99000</v>
      </c>
      <c r="Q42" s="148"/>
    </row>
    <row r="43" spans="1:17" s="26" customFormat="1" ht="30">
      <c r="A43" s="24"/>
      <c r="B43" s="33" t="s">
        <v>329</v>
      </c>
      <c r="C43" s="27" t="s">
        <v>326</v>
      </c>
      <c r="D43" s="28" t="s">
        <v>328</v>
      </c>
      <c r="E43" s="35">
        <f>F43+I43</f>
        <v>1642000</v>
      </c>
      <c r="F43" s="35"/>
      <c r="G43" s="35"/>
      <c r="H43" s="35"/>
      <c r="I43" s="35">
        <v>1642000</v>
      </c>
      <c r="J43" s="35"/>
      <c r="K43" s="35"/>
      <c r="L43" s="35"/>
      <c r="M43" s="35"/>
      <c r="N43" s="35"/>
      <c r="O43" s="35"/>
      <c r="P43" s="35">
        <f>E43+J43</f>
        <v>1642000</v>
      </c>
      <c r="Q43" s="148"/>
    </row>
    <row r="44" spans="1:17" s="26" customFormat="1" ht="30">
      <c r="A44" s="24"/>
      <c r="B44" s="33" t="s">
        <v>331</v>
      </c>
      <c r="C44" s="27"/>
      <c r="D44" s="28" t="s">
        <v>330</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48"/>
    </row>
    <row r="45" spans="1:17" s="101" customFormat="1" ht="30">
      <c r="A45" s="100"/>
      <c r="B45" s="99" t="s">
        <v>332</v>
      </c>
      <c r="C45" s="83" t="s">
        <v>327</v>
      </c>
      <c r="D45" s="84" t="s">
        <v>333</v>
      </c>
      <c r="E45" s="64">
        <f>F45+I45</f>
        <v>3607600</v>
      </c>
      <c r="F45" s="64"/>
      <c r="G45" s="64"/>
      <c r="H45" s="64"/>
      <c r="I45" s="73">
        <v>3607600</v>
      </c>
      <c r="J45" s="69"/>
      <c r="K45" s="69"/>
      <c r="L45" s="69"/>
      <c r="M45" s="69"/>
      <c r="N45" s="69"/>
      <c r="O45" s="69"/>
      <c r="P45" s="69">
        <f>E45+J45</f>
        <v>3607600</v>
      </c>
      <c r="Q45" s="148"/>
    </row>
    <row r="46" spans="1:17" s="26" customFormat="1" ht="15">
      <c r="A46" s="48"/>
      <c r="B46" s="46" t="s">
        <v>139</v>
      </c>
      <c r="C46" s="45" t="s">
        <v>31</v>
      </c>
      <c r="D46" s="49" t="s">
        <v>32</v>
      </c>
      <c r="E46" s="73">
        <f>F46+I46</f>
        <v>7592840</v>
      </c>
      <c r="F46" s="73"/>
      <c r="G46" s="58"/>
      <c r="H46" s="58"/>
      <c r="I46" s="73">
        <f>2000000+1600000+2098040+420000+1474800</f>
        <v>7592840</v>
      </c>
      <c r="J46" s="73">
        <f>K46+N46</f>
        <v>0</v>
      </c>
      <c r="K46" s="73"/>
      <c r="L46" s="73"/>
      <c r="M46" s="73"/>
      <c r="N46" s="73"/>
      <c r="O46" s="73"/>
      <c r="P46" s="73">
        <f>E46+J46</f>
        <v>7592840</v>
      </c>
      <c r="Q46" s="148"/>
    </row>
    <row r="47" spans="1:17" s="26" customFormat="1" ht="30">
      <c r="A47" s="24"/>
      <c r="B47" s="33" t="s">
        <v>452</v>
      </c>
      <c r="C47" s="27" t="s">
        <v>453</v>
      </c>
      <c r="D47" s="28" t="s">
        <v>454</v>
      </c>
      <c r="E47" s="35">
        <f>E48</f>
        <v>506400</v>
      </c>
      <c r="F47" s="35">
        <f aca="true" t="shared" si="11" ref="F47:P47">F48</f>
        <v>0</v>
      </c>
      <c r="G47" s="35">
        <f t="shared" si="11"/>
        <v>0</v>
      </c>
      <c r="H47" s="35">
        <f t="shared" si="11"/>
        <v>0</v>
      </c>
      <c r="I47" s="35">
        <f t="shared" si="11"/>
        <v>506400</v>
      </c>
      <c r="J47" s="35">
        <f t="shared" si="11"/>
        <v>0</v>
      </c>
      <c r="K47" s="35">
        <f t="shared" si="11"/>
        <v>0</v>
      </c>
      <c r="L47" s="35">
        <f t="shared" si="11"/>
        <v>0</v>
      </c>
      <c r="M47" s="35">
        <f t="shared" si="11"/>
        <v>0</v>
      </c>
      <c r="N47" s="35">
        <f t="shared" si="11"/>
        <v>0</v>
      </c>
      <c r="O47" s="35">
        <f t="shared" si="11"/>
        <v>0</v>
      </c>
      <c r="P47" s="35">
        <f t="shared" si="11"/>
        <v>506400</v>
      </c>
      <c r="Q47" s="148"/>
    </row>
    <row r="48" spans="1:17" s="101" customFormat="1" ht="30">
      <c r="A48" s="100"/>
      <c r="B48" s="99" t="s">
        <v>456</v>
      </c>
      <c r="C48" s="83" t="s">
        <v>453</v>
      </c>
      <c r="D48" s="84" t="s">
        <v>455</v>
      </c>
      <c r="E48" s="64">
        <f>F48+I48</f>
        <v>506400</v>
      </c>
      <c r="F48" s="64"/>
      <c r="G48" s="70"/>
      <c r="H48" s="70"/>
      <c r="I48" s="64">
        <f>350000+156400</f>
        <v>506400</v>
      </c>
      <c r="J48" s="64"/>
      <c r="K48" s="64"/>
      <c r="L48" s="64"/>
      <c r="M48" s="64"/>
      <c r="N48" s="64"/>
      <c r="O48" s="64"/>
      <c r="P48" s="64">
        <f>E48+J48</f>
        <v>506400</v>
      </c>
      <c r="Q48" s="148"/>
    </row>
    <row r="49" spans="1:17" s="26" customFormat="1" ht="15">
      <c r="A49" s="48"/>
      <c r="B49" s="46" t="s">
        <v>316</v>
      </c>
      <c r="C49" s="45"/>
      <c r="D49" s="49" t="s">
        <v>315</v>
      </c>
      <c r="E49" s="73">
        <f>E50</f>
        <v>90300</v>
      </c>
      <c r="F49" s="73">
        <f aca="true" t="shared" si="12" ref="F49:P49">F50</f>
        <v>90300</v>
      </c>
      <c r="G49" s="73">
        <f t="shared" si="12"/>
        <v>0</v>
      </c>
      <c r="H49" s="73">
        <f t="shared" si="12"/>
        <v>0</v>
      </c>
      <c r="I49" s="73">
        <f t="shared" si="12"/>
        <v>0</v>
      </c>
      <c r="J49" s="73">
        <f t="shared" si="12"/>
        <v>0</v>
      </c>
      <c r="K49" s="73">
        <f t="shared" si="12"/>
        <v>0</v>
      </c>
      <c r="L49" s="73">
        <f t="shared" si="12"/>
        <v>0</v>
      </c>
      <c r="M49" s="73">
        <f t="shared" si="12"/>
        <v>0</v>
      </c>
      <c r="N49" s="73">
        <f t="shared" si="12"/>
        <v>0</v>
      </c>
      <c r="O49" s="73">
        <f t="shared" si="12"/>
        <v>0</v>
      </c>
      <c r="P49" s="73">
        <f t="shared" si="12"/>
        <v>90300</v>
      </c>
      <c r="Q49" s="148"/>
    </row>
    <row r="50" spans="1:17" s="101" customFormat="1" ht="15">
      <c r="A50" s="100"/>
      <c r="B50" s="99" t="s">
        <v>318</v>
      </c>
      <c r="C50" s="83" t="s">
        <v>319</v>
      </c>
      <c r="D50" s="84" t="s">
        <v>317</v>
      </c>
      <c r="E50" s="64">
        <f>F50+I50</f>
        <v>90300</v>
      </c>
      <c r="F50" s="73">
        <v>90300</v>
      </c>
      <c r="G50" s="70"/>
      <c r="H50" s="70"/>
      <c r="I50" s="70"/>
      <c r="J50" s="64"/>
      <c r="K50" s="64"/>
      <c r="L50" s="64"/>
      <c r="M50" s="64"/>
      <c r="N50" s="64"/>
      <c r="O50" s="64"/>
      <c r="P50" s="64">
        <f>E50+J50</f>
        <v>90300</v>
      </c>
      <c r="Q50" s="148"/>
    </row>
    <row r="51" spans="1:17" s="26" customFormat="1" ht="30">
      <c r="A51" s="48"/>
      <c r="B51" s="46" t="s">
        <v>141</v>
      </c>
      <c r="C51" s="45" t="s">
        <v>33</v>
      </c>
      <c r="D51" s="49" t="s">
        <v>140</v>
      </c>
      <c r="E51" s="73">
        <f>F51+I51</f>
        <v>85000</v>
      </c>
      <c r="F51" s="73">
        <v>85000</v>
      </c>
      <c r="G51" s="58"/>
      <c r="H51" s="58"/>
      <c r="I51" s="58"/>
      <c r="J51" s="73">
        <f>K51+N51</f>
        <v>0</v>
      </c>
      <c r="K51" s="58"/>
      <c r="L51" s="58"/>
      <c r="M51" s="58"/>
      <c r="N51" s="73"/>
      <c r="O51" s="73"/>
      <c r="P51" s="73">
        <f>E51+J51</f>
        <v>85000</v>
      </c>
      <c r="Q51" s="148"/>
    </row>
    <row r="52" spans="1:17" s="26" customFormat="1" ht="30">
      <c r="A52" s="24"/>
      <c r="B52" s="33" t="s">
        <v>143</v>
      </c>
      <c r="C52" s="27" t="s">
        <v>34</v>
      </c>
      <c r="D52" s="28" t="s">
        <v>142</v>
      </c>
      <c r="E52" s="35">
        <f>F52+I52</f>
        <v>0</v>
      </c>
      <c r="F52" s="58"/>
      <c r="G52" s="58"/>
      <c r="H52" s="58"/>
      <c r="I52" s="58"/>
      <c r="J52" s="73">
        <f>K52+N52</f>
        <v>51400000</v>
      </c>
      <c r="K52" s="58"/>
      <c r="L52" s="58"/>
      <c r="M52" s="58"/>
      <c r="N52" s="73">
        <f>46000000+5400000</f>
        <v>51400000</v>
      </c>
      <c r="O52" s="73">
        <f>46000000+5400000</f>
        <v>51400000</v>
      </c>
      <c r="P52" s="73">
        <f>E52+J52</f>
        <v>51400000</v>
      </c>
      <c r="Q52" s="148"/>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48"/>
    </row>
    <row r="54" spans="1:17" s="101" customFormat="1" ht="45">
      <c r="A54" s="100"/>
      <c r="B54" s="99" t="s">
        <v>145</v>
      </c>
      <c r="C54" s="45" t="s">
        <v>35</v>
      </c>
      <c r="D54" s="43" t="s">
        <v>344</v>
      </c>
      <c r="E54" s="35">
        <f>F54+I54</f>
        <v>837300</v>
      </c>
      <c r="F54" s="35">
        <v>837300</v>
      </c>
      <c r="G54" s="58"/>
      <c r="H54" s="58"/>
      <c r="I54" s="58"/>
      <c r="J54" s="73">
        <f>K54+N54</f>
        <v>0</v>
      </c>
      <c r="K54" s="58"/>
      <c r="L54" s="58"/>
      <c r="M54" s="58"/>
      <c r="N54" s="58"/>
      <c r="O54" s="58"/>
      <c r="P54" s="73">
        <f>E54+J54</f>
        <v>837300</v>
      </c>
      <c r="Q54" s="148"/>
    </row>
    <row r="55" spans="1:17" s="26" customFormat="1" ht="45">
      <c r="A55" s="48"/>
      <c r="B55" s="46" t="s">
        <v>149</v>
      </c>
      <c r="C55" s="45" t="s">
        <v>37</v>
      </c>
      <c r="D55" s="49" t="s">
        <v>148</v>
      </c>
      <c r="E55" s="73">
        <f>F55+I55</f>
        <v>162726</v>
      </c>
      <c r="F55" s="73">
        <v>162726</v>
      </c>
      <c r="G55" s="58"/>
      <c r="H55" s="73">
        <v>4300</v>
      </c>
      <c r="I55" s="58"/>
      <c r="J55" s="73">
        <f>K55+N55</f>
        <v>343874</v>
      </c>
      <c r="K55" s="73"/>
      <c r="L55" s="73"/>
      <c r="M55" s="73"/>
      <c r="N55" s="73">
        <v>343874</v>
      </c>
      <c r="O55" s="73">
        <v>343874</v>
      </c>
      <c r="P55" s="73">
        <f>E55+J55</f>
        <v>506600</v>
      </c>
      <c r="Q55" s="148"/>
    </row>
    <row r="56" spans="1:17" s="26" customFormat="1" ht="60">
      <c r="A56" s="24"/>
      <c r="B56" s="104" t="s">
        <v>458</v>
      </c>
      <c r="C56" s="123" t="s">
        <v>459</v>
      </c>
      <c r="D56" s="124" t="s">
        <v>460</v>
      </c>
      <c r="E56" s="35">
        <f>F56+I56</f>
        <v>100000</v>
      </c>
      <c r="F56" s="35">
        <v>100000</v>
      </c>
      <c r="G56" s="58"/>
      <c r="H56" s="73"/>
      <c r="I56" s="58"/>
      <c r="J56" s="73"/>
      <c r="K56" s="73"/>
      <c r="L56" s="73"/>
      <c r="M56" s="73"/>
      <c r="N56" s="73"/>
      <c r="O56" s="73"/>
      <c r="P56" s="73">
        <f>E56+J56</f>
        <v>100000</v>
      </c>
      <c r="Q56" s="148"/>
    </row>
    <row r="57" spans="1:17" s="26" customFormat="1" ht="15">
      <c r="A57" s="24"/>
      <c r="B57" s="33" t="s">
        <v>147</v>
      </c>
      <c r="C57" s="30" t="s">
        <v>38</v>
      </c>
      <c r="D57" s="28" t="s">
        <v>146</v>
      </c>
      <c r="E57" s="35">
        <f>F57+I57</f>
        <v>897100</v>
      </c>
      <c r="F57" s="93">
        <f>1027600-160500+30000</f>
        <v>897100</v>
      </c>
      <c r="G57" s="93">
        <f>690800-52700</f>
        <v>638100</v>
      </c>
      <c r="H57" s="35">
        <v>46377</v>
      </c>
      <c r="I57" s="35"/>
      <c r="J57" s="35">
        <f>K57+N57</f>
        <v>4700</v>
      </c>
      <c r="K57" s="35">
        <v>4700</v>
      </c>
      <c r="L57" s="35"/>
      <c r="M57" s="35">
        <v>720</v>
      </c>
      <c r="N57" s="35"/>
      <c r="O57" s="35"/>
      <c r="P57" s="35">
        <f>E57+J57</f>
        <v>901800</v>
      </c>
      <c r="Q57" s="148"/>
    </row>
    <row r="58" spans="1:17" s="26" customFormat="1" ht="15">
      <c r="A58" s="24"/>
      <c r="B58" s="33" t="s">
        <v>157</v>
      </c>
      <c r="C58" s="27" t="s">
        <v>42</v>
      </c>
      <c r="D58" s="28" t="s">
        <v>19</v>
      </c>
      <c r="E58" s="35">
        <f>E59+E60+E61+E62+E63</f>
        <v>2111462</v>
      </c>
      <c r="F58" s="35">
        <f aca="true" t="shared" si="14" ref="F58:P58">F59+F60+F61+F62+F63</f>
        <v>2111462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2225462</v>
      </c>
      <c r="Q58" s="148"/>
    </row>
    <row r="59" spans="1:17" s="26" customFormat="1" ht="45">
      <c r="A59" s="24"/>
      <c r="B59" s="83" t="s">
        <v>152</v>
      </c>
      <c r="C59" s="90" t="s">
        <v>42</v>
      </c>
      <c r="D59" s="103" t="s">
        <v>341</v>
      </c>
      <c r="E59" s="64">
        <f aca="true" t="shared" si="15" ref="E59:E64">F59+I59</f>
        <v>572644</v>
      </c>
      <c r="F59" s="92">
        <f>572644</f>
        <v>572644</v>
      </c>
      <c r="G59" s="63"/>
      <c r="H59" s="73">
        <v>196820</v>
      </c>
      <c r="I59" s="70"/>
      <c r="J59" s="64">
        <f aca="true" t="shared" si="16" ref="J59:J64">K59+N59</f>
        <v>89000</v>
      </c>
      <c r="K59" s="70"/>
      <c r="L59" s="70"/>
      <c r="M59" s="70"/>
      <c r="N59" s="70">
        <v>89000</v>
      </c>
      <c r="O59" s="70">
        <v>89000</v>
      </c>
      <c r="P59" s="64">
        <f aca="true" t="shared" si="17" ref="P59:P64">E59+J59</f>
        <v>661644</v>
      </c>
      <c r="Q59" s="148"/>
    </row>
    <row r="60" spans="1:17" s="26" customFormat="1" ht="45">
      <c r="A60" s="24"/>
      <c r="B60" s="83" t="s">
        <v>153</v>
      </c>
      <c r="C60" s="90" t="s">
        <v>42</v>
      </c>
      <c r="D60" s="103" t="s">
        <v>342</v>
      </c>
      <c r="E60" s="64">
        <f t="shared" si="15"/>
        <v>80580</v>
      </c>
      <c r="F60" s="64">
        <v>80580</v>
      </c>
      <c r="G60" s="63"/>
      <c r="H60" s="63"/>
      <c r="I60" s="70"/>
      <c r="J60" s="64">
        <f t="shared" si="16"/>
        <v>0</v>
      </c>
      <c r="K60" s="70"/>
      <c r="L60" s="70"/>
      <c r="M60" s="70"/>
      <c r="N60" s="70"/>
      <c r="O60" s="70"/>
      <c r="P60" s="64">
        <f t="shared" si="17"/>
        <v>80580</v>
      </c>
      <c r="Q60" s="148"/>
    </row>
    <row r="61" spans="1:17" s="26" customFormat="1" ht="60">
      <c r="A61" s="24"/>
      <c r="B61" s="83" t="s">
        <v>154</v>
      </c>
      <c r="C61" s="90" t="s">
        <v>42</v>
      </c>
      <c r="D61" s="103" t="s">
        <v>343</v>
      </c>
      <c r="E61" s="64">
        <f t="shared" si="15"/>
        <v>130200</v>
      </c>
      <c r="F61" s="64">
        <v>130200</v>
      </c>
      <c r="G61" s="63"/>
      <c r="H61" s="63"/>
      <c r="I61" s="70"/>
      <c r="J61" s="64">
        <f t="shared" si="16"/>
        <v>25000</v>
      </c>
      <c r="K61" s="70"/>
      <c r="L61" s="70"/>
      <c r="M61" s="70"/>
      <c r="N61" s="70">
        <v>25000</v>
      </c>
      <c r="O61" s="70">
        <v>25000</v>
      </c>
      <c r="P61" s="64">
        <f t="shared" si="17"/>
        <v>155200</v>
      </c>
      <c r="Q61" s="148"/>
    </row>
    <row r="62" spans="1:17" s="26" customFormat="1" ht="45">
      <c r="A62" s="24"/>
      <c r="B62" s="83" t="s">
        <v>155</v>
      </c>
      <c r="C62" s="90" t="s">
        <v>42</v>
      </c>
      <c r="D62" s="103" t="s">
        <v>344</v>
      </c>
      <c r="E62" s="64">
        <f t="shared" si="15"/>
        <v>822500</v>
      </c>
      <c r="F62" s="64">
        <v>822500</v>
      </c>
      <c r="G62" s="63"/>
      <c r="H62" s="63"/>
      <c r="I62" s="70"/>
      <c r="J62" s="64">
        <f t="shared" si="16"/>
        <v>0</v>
      </c>
      <c r="K62" s="70"/>
      <c r="L62" s="70"/>
      <c r="M62" s="70"/>
      <c r="N62" s="35"/>
      <c r="O62" s="35"/>
      <c r="P62" s="64">
        <f t="shared" si="17"/>
        <v>822500</v>
      </c>
      <c r="Q62" s="148"/>
    </row>
    <row r="63" spans="1:17" s="26" customFormat="1" ht="45">
      <c r="A63" s="24"/>
      <c r="B63" s="83" t="s">
        <v>156</v>
      </c>
      <c r="C63" s="90" t="s">
        <v>42</v>
      </c>
      <c r="D63" s="103" t="s">
        <v>345</v>
      </c>
      <c r="E63" s="64">
        <f t="shared" si="15"/>
        <v>505538</v>
      </c>
      <c r="F63" s="64">
        <f>602640-97102</f>
        <v>505538</v>
      </c>
      <c r="G63" s="63"/>
      <c r="H63" s="63"/>
      <c r="I63" s="70"/>
      <c r="J63" s="64">
        <f t="shared" si="16"/>
        <v>0</v>
      </c>
      <c r="K63" s="70"/>
      <c r="L63" s="70"/>
      <c r="M63" s="70"/>
      <c r="N63" s="70"/>
      <c r="O63" s="70"/>
      <c r="P63" s="64">
        <f t="shared" si="17"/>
        <v>505538</v>
      </c>
      <c r="Q63" s="148"/>
    </row>
    <row r="64" spans="1:17" s="26" customFormat="1" ht="30">
      <c r="A64" s="24"/>
      <c r="B64" s="95" t="s">
        <v>463</v>
      </c>
      <c r="C64" s="27" t="s">
        <v>437</v>
      </c>
      <c r="D64" s="28" t="s">
        <v>438</v>
      </c>
      <c r="E64" s="35">
        <f t="shared" si="15"/>
        <v>0</v>
      </c>
      <c r="F64" s="35"/>
      <c r="G64" s="59"/>
      <c r="H64" s="59"/>
      <c r="I64" s="35"/>
      <c r="J64" s="35">
        <f t="shared" si="16"/>
        <v>30600</v>
      </c>
      <c r="K64" s="35">
        <v>30600</v>
      </c>
      <c r="L64" s="35"/>
      <c r="M64" s="35"/>
      <c r="N64" s="35"/>
      <c r="O64" s="35"/>
      <c r="P64" s="35">
        <f t="shared" si="17"/>
        <v>30600</v>
      </c>
      <c r="Q64" s="148"/>
    </row>
    <row r="65" spans="1:17" s="26" customFormat="1" ht="60">
      <c r="A65" s="24"/>
      <c r="B65" s="33" t="s">
        <v>150</v>
      </c>
      <c r="C65" s="27" t="s">
        <v>39</v>
      </c>
      <c r="D65" s="28" t="s">
        <v>40</v>
      </c>
      <c r="E65" s="47">
        <f aca="true" t="shared" si="18" ref="E65:P65">E66</f>
        <v>0</v>
      </c>
      <c r="F65" s="47">
        <f t="shared" si="18"/>
        <v>0</v>
      </c>
      <c r="G65" s="47">
        <f t="shared" si="18"/>
        <v>0</v>
      </c>
      <c r="H65" s="47">
        <f t="shared" si="18"/>
        <v>0</v>
      </c>
      <c r="I65" s="47">
        <f t="shared" si="18"/>
        <v>0</v>
      </c>
      <c r="J65" s="47">
        <f t="shared" si="18"/>
        <v>119543</v>
      </c>
      <c r="K65" s="47">
        <f t="shared" si="18"/>
        <v>119543</v>
      </c>
      <c r="L65" s="47">
        <f t="shared" si="18"/>
        <v>0</v>
      </c>
      <c r="M65" s="47">
        <f t="shared" si="18"/>
        <v>0</v>
      </c>
      <c r="N65" s="47">
        <f t="shared" si="18"/>
        <v>0</v>
      </c>
      <c r="O65" s="47">
        <f t="shared" si="18"/>
        <v>0</v>
      </c>
      <c r="P65" s="47">
        <f t="shared" si="18"/>
        <v>119543</v>
      </c>
      <c r="Q65" s="148"/>
    </row>
    <row r="66" spans="1:17" s="101" customFormat="1" ht="60">
      <c r="A66" s="100"/>
      <c r="B66" s="99" t="s">
        <v>151</v>
      </c>
      <c r="C66" s="83" t="s">
        <v>39</v>
      </c>
      <c r="D66" s="84" t="s">
        <v>40</v>
      </c>
      <c r="E66" s="64">
        <f>F66+I66</f>
        <v>0</v>
      </c>
      <c r="F66" s="64"/>
      <c r="G66" s="64"/>
      <c r="H66" s="64"/>
      <c r="I66" s="64"/>
      <c r="J66" s="64">
        <f>K66+N66</f>
        <v>119543</v>
      </c>
      <c r="K66" s="64">
        <v>119543</v>
      </c>
      <c r="L66" s="64"/>
      <c r="M66" s="64"/>
      <c r="N66" s="64"/>
      <c r="O66" s="64"/>
      <c r="P66" s="64">
        <f>E66+J66</f>
        <v>119543</v>
      </c>
      <c r="Q66" s="148"/>
    </row>
    <row r="67" spans="1:17" s="26" customFormat="1" ht="28.5">
      <c r="A67" s="48"/>
      <c r="B67" s="45" t="s">
        <v>168</v>
      </c>
      <c r="C67" s="31"/>
      <c r="D67" s="32" t="s">
        <v>158</v>
      </c>
      <c r="E67" s="58">
        <f>E68</f>
        <v>421137972</v>
      </c>
      <c r="F67" s="58">
        <f aca="true" t="shared" si="19" ref="F67:P67">F68</f>
        <v>421137972</v>
      </c>
      <c r="G67" s="58">
        <f t="shared" si="19"/>
        <v>249253969</v>
      </c>
      <c r="H67" s="58">
        <f t="shared" si="19"/>
        <v>59900211</v>
      </c>
      <c r="I67" s="58">
        <f t="shared" si="19"/>
        <v>0</v>
      </c>
      <c r="J67" s="58">
        <f t="shared" si="19"/>
        <v>50335581</v>
      </c>
      <c r="K67" s="58">
        <f t="shared" si="19"/>
        <v>36441117</v>
      </c>
      <c r="L67" s="58">
        <f t="shared" si="19"/>
        <v>2470383</v>
      </c>
      <c r="M67" s="58">
        <f t="shared" si="19"/>
        <v>1518188</v>
      </c>
      <c r="N67" s="58">
        <f t="shared" si="19"/>
        <v>13894464</v>
      </c>
      <c r="O67" s="58">
        <f t="shared" si="19"/>
        <v>13469464</v>
      </c>
      <c r="P67" s="58">
        <f t="shared" si="19"/>
        <v>471473553</v>
      </c>
      <c r="Q67" s="148"/>
    </row>
    <row r="68" spans="1:17" s="101" customFormat="1" ht="30">
      <c r="A68" s="100"/>
      <c r="B68" s="83" t="s">
        <v>169</v>
      </c>
      <c r="C68" s="51"/>
      <c r="D68" s="52" t="s">
        <v>158</v>
      </c>
      <c r="E68" s="70">
        <f>E70+E71+E72+E74+E76+E78+E80+E81+E82+E83+E84+E86+E87+E88+E79+E90+E91</f>
        <v>421137972</v>
      </c>
      <c r="F68" s="70">
        <f aca="true" t="shared" si="20" ref="F68:P68">F70+F71+F72+F74+F76+F78+F80+F81+F82+F83+F84+F86+F87+F88+F79+F90+F91</f>
        <v>421137972</v>
      </c>
      <c r="G68" s="70">
        <f t="shared" si="20"/>
        <v>249253969</v>
      </c>
      <c r="H68" s="70">
        <f t="shared" si="20"/>
        <v>59900211</v>
      </c>
      <c r="I68" s="70">
        <f t="shared" si="20"/>
        <v>0</v>
      </c>
      <c r="J68" s="70">
        <f t="shared" si="20"/>
        <v>50335581</v>
      </c>
      <c r="K68" s="70">
        <f t="shared" si="20"/>
        <v>36441117</v>
      </c>
      <c r="L68" s="70">
        <f t="shared" si="20"/>
        <v>2470383</v>
      </c>
      <c r="M68" s="70">
        <f t="shared" si="20"/>
        <v>1518188</v>
      </c>
      <c r="N68" s="70">
        <f t="shared" si="20"/>
        <v>13894464</v>
      </c>
      <c r="O68" s="70">
        <f t="shared" si="20"/>
        <v>13469464</v>
      </c>
      <c r="P68" s="70">
        <f t="shared" si="20"/>
        <v>471473553</v>
      </c>
      <c r="Q68" s="148"/>
    </row>
    <row r="69" spans="1:17" s="26" customFormat="1" ht="15">
      <c r="A69" s="48"/>
      <c r="B69" s="54"/>
      <c r="C69" s="31"/>
      <c r="D69" s="49" t="s">
        <v>41</v>
      </c>
      <c r="E69" s="73">
        <f>E73+E75+E77</f>
        <v>192447200</v>
      </c>
      <c r="F69" s="73">
        <f aca="true" t="shared" si="21" ref="F69:P69">F73+F75+F77</f>
        <v>192447200</v>
      </c>
      <c r="G69" s="73">
        <f t="shared" si="21"/>
        <v>132708061</v>
      </c>
      <c r="H69" s="73">
        <f t="shared" si="21"/>
        <v>28492381</v>
      </c>
      <c r="I69" s="73">
        <f t="shared" si="21"/>
        <v>0</v>
      </c>
      <c r="J69" s="73">
        <f t="shared" si="21"/>
        <v>0</v>
      </c>
      <c r="K69" s="73">
        <f t="shared" si="21"/>
        <v>0</v>
      </c>
      <c r="L69" s="73">
        <f t="shared" si="21"/>
        <v>0</v>
      </c>
      <c r="M69" s="73">
        <f t="shared" si="21"/>
        <v>0</v>
      </c>
      <c r="N69" s="73">
        <f t="shared" si="21"/>
        <v>0</v>
      </c>
      <c r="O69" s="73">
        <f t="shared" si="21"/>
        <v>0</v>
      </c>
      <c r="P69" s="73">
        <f t="shared" si="21"/>
        <v>192447200</v>
      </c>
      <c r="Q69" s="148"/>
    </row>
    <row r="70" spans="1:17" s="26" customFormat="1" ht="45">
      <c r="A70" s="24"/>
      <c r="B70" s="36" t="s">
        <v>170</v>
      </c>
      <c r="C70" s="27" t="s">
        <v>9</v>
      </c>
      <c r="D70" s="28" t="s">
        <v>100</v>
      </c>
      <c r="E70" s="35">
        <f>F70+I70</f>
        <v>891270</v>
      </c>
      <c r="F70" s="93">
        <f>1009660-118390</f>
        <v>891270</v>
      </c>
      <c r="G70" s="93">
        <f>667920-18750</f>
        <v>649170</v>
      </c>
      <c r="H70" s="35">
        <v>24724</v>
      </c>
      <c r="I70" s="58"/>
      <c r="J70" s="73">
        <f aca="true" t="shared" si="22" ref="J70:J91">K70+N70</f>
        <v>170000</v>
      </c>
      <c r="K70" s="58"/>
      <c r="L70" s="58"/>
      <c r="M70" s="58"/>
      <c r="N70" s="73">
        <v>170000</v>
      </c>
      <c r="O70" s="73">
        <v>170000</v>
      </c>
      <c r="P70" s="73">
        <f aca="true" t="shared" si="23" ref="P70:P83">E70+J70</f>
        <v>1061270</v>
      </c>
      <c r="Q70" s="148"/>
    </row>
    <row r="71" spans="1:17" s="26" customFormat="1" ht="15">
      <c r="A71" s="24"/>
      <c r="B71" s="36" t="s">
        <v>171</v>
      </c>
      <c r="C71" s="27" t="s">
        <v>43</v>
      </c>
      <c r="D71" s="28" t="s">
        <v>159</v>
      </c>
      <c r="E71" s="35">
        <f aca="true" t="shared" si="24" ref="E71:E89">F71+I71</f>
        <v>109921820</v>
      </c>
      <c r="F71" s="93">
        <f>127615802+181800-17960782+85000</f>
        <v>109921820</v>
      </c>
      <c r="G71" s="93">
        <f>70161106-6341216</f>
        <v>63819890</v>
      </c>
      <c r="H71" s="35">
        <v>19789563</v>
      </c>
      <c r="I71" s="58"/>
      <c r="J71" s="73">
        <f t="shared" si="22"/>
        <v>15009686</v>
      </c>
      <c r="K71" s="73">
        <v>11284686</v>
      </c>
      <c r="L71" s="73"/>
      <c r="M71" s="73"/>
      <c r="N71" s="73">
        <f>2750000+850000+125000</f>
        <v>3725000</v>
      </c>
      <c r="O71" s="73">
        <f>2750000+850000+125000</f>
        <v>3725000</v>
      </c>
      <c r="P71" s="73">
        <f t="shared" si="23"/>
        <v>124931506</v>
      </c>
      <c r="Q71" s="148"/>
    </row>
    <row r="72" spans="1:17" s="26" customFormat="1" ht="75">
      <c r="A72" s="24"/>
      <c r="B72" s="36" t="s">
        <v>172</v>
      </c>
      <c r="C72" s="27" t="s">
        <v>44</v>
      </c>
      <c r="D72" s="28" t="s">
        <v>160</v>
      </c>
      <c r="E72" s="35">
        <f t="shared" si="24"/>
        <v>226835777</v>
      </c>
      <c r="F72" s="93">
        <f>241356212+318200+8795512-27766183+3940000+192036</f>
        <v>226835777</v>
      </c>
      <c r="G72" s="93">
        <f>142701242+16080119-18252562</f>
        <v>140528799</v>
      </c>
      <c r="H72" s="93">
        <f>31014749+1000000-1000000</f>
        <v>31014749</v>
      </c>
      <c r="I72" s="58"/>
      <c r="J72" s="73">
        <f t="shared" si="22"/>
        <v>27061635</v>
      </c>
      <c r="K72" s="73">
        <v>18497171</v>
      </c>
      <c r="L72" s="73">
        <v>740455</v>
      </c>
      <c r="M72" s="73">
        <v>47940</v>
      </c>
      <c r="N72" s="73">
        <f>6090000+2150000+190000+134464</f>
        <v>8564464</v>
      </c>
      <c r="O72" s="73">
        <f>6090000+2150000+190000+134464</f>
        <v>8564464</v>
      </c>
      <c r="P72" s="73">
        <f t="shared" si="23"/>
        <v>253897412</v>
      </c>
      <c r="Q72" s="148"/>
    </row>
    <row r="73" spans="1:17" s="26" customFormat="1" ht="15">
      <c r="A73" s="24"/>
      <c r="B73" s="40"/>
      <c r="C73" s="27"/>
      <c r="D73" s="28" t="s">
        <v>41</v>
      </c>
      <c r="E73" s="35">
        <f t="shared" si="24"/>
        <v>187894811</v>
      </c>
      <c r="F73" s="93">
        <f>179099299+8795512</f>
        <v>187894811</v>
      </c>
      <c r="G73" s="93">
        <f>113504164+16080119</f>
        <v>129584283</v>
      </c>
      <c r="H73" s="93">
        <f>19360798+1000000+7664491</f>
        <v>28025289</v>
      </c>
      <c r="I73" s="58"/>
      <c r="J73" s="73">
        <f t="shared" si="22"/>
        <v>0</v>
      </c>
      <c r="K73" s="73"/>
      <c r="L73" s="73"/>
      <c r="M73" s="73"/>
      <c r="N73" s="73"/>
      <c r="O73" s="73"/>
      <c r="P73" s="73">
        <f t="shared" si="23"/>
        <v>187894811</v>
      </c>
      <c r="Q73" s="148"/>
    </row>
    <row r="74" spans="1:17" s="26" customFormat="1" ht="30">
      <c r="A74" s="24"/>
      <c r="B74" s="36" t="s">
        <v>173</v>
      </c>
      <c r="C74" s="27" t="s">
        <v>45</v>
      </c>
      <c r="D74" s="28" t="s">
        <v>161</v>
      </c>
      <c r="E74" s="35">
        <f t="shared" si="24"/>
        <v>357724</v>
      </c>
      <c r="F74" s="93">
        <f>372150+25184-39610</f>
        <v>357724</v>
      </c>
      <c r="G74" s="93">
        <f>277448+45301-29836</f>
        <v>292913</v>
      </c>
      <c r="H74" s="35"/>
      <c r="I74" s="58"/>
      <c r="J74" s="73">
        <f t="shared" si="22"/>
        <v>0</v>
      </c>
      <c r="K74" s="73"/>
      <c r="L74" s="73"/>
      <c r="M74" s="73"/>
      <c r="N74" s="73"/>
      <c r="O74" s="73"/>
      <c r="P74" s="73">
        <f t="shared" si="23"/>
        <v>357724</v>
      </c>
      <c r="Q74" s="148"/>
    </row>
    <row r="75" spans="1:17" s="26" customFormat="1" ht="15" customHeight="1">
      <c r="A75" s="24"/>
      <c r="B75" s="40"/>
      <c r="C75" s="27"/>
      <c r="D75" s="28" t="s">
        <v>41</v>
      </c>
      <c r="E75" s="35">
        <f t="shared" si="24"/>
        <v>357354</v>
      </c>
      <c r="F75" s="93">
        <f>332170+25184</f>
        <v>357354</v>
      </c>
      <c r="G75" s="93">
        <f>247612+45301</f>
        <v>292913</v>
      </c>
      <c r="H75" s="35"/>
      <c r="I75" s="58"/>
      <c r="J75" s="73">
        <f t="shared" si="22"/>
        <v>0</v>
      </c>
      <c r="K75" s="73"/>
      <c r="L75" s="73"/>
      <c r="M75" s="73"/>
      <c r="N75" s="73"/>
      <c r="O75" s="73">
        <f>N74-N75</f>
        <v>0</v>
      </c>
      <c r="P75" s="73">
        <f t="shared" si="23"/>
        <v>357354</v>
      </c>
      <c r="Q75" s="148"/>
    </row>
    <row r="76" spans="1:17" s="26" customFormat="1" ht="90">
      <c r="A76" s="24"/>
      <c r="B76" s="36" t="s">
        <v>174</v>
      </c>
      <c r="C76" s="27" t="s">
        <v>46</v>
      </c>
      <c r="D76" s="28" t="s">
        <v>162</v>
      </c>
      <c r="E76" s="35">
        <f t="shared" si="24"/>
        <v>4373883</v>
      </c>
      <c r="F76" s="93">
        <f>4650387+37304-403808+60000+30000</f>
        <v>4373883</v>
      </c>
      <c r="G76" s="93">
        <f>2854137+321793-345065</f>
        <v>2830865</v>
      </c>
      <c r="H76" s="35">
        <v>517072</v>
      </c>
      <c r="I76" s="58"/>
      <c r="J76" s="73">
        <f t="shared" si="22"/>
        <v>150000</v>
      </c>
      <c r="K76" s="73"/>
      <c r="L76" s="73"/>
      <c r="M76" s="73"/>
      <c r="N76" s="73">
        <v>150000</v>
      </c>
      <c r="O76" s="73">
        <v>150000</v>
      </c>
      <c r="P76" s="73">
        <f t="shared" si="23"/>
        <v>4523883</v>
      </c>
      <c r="Q76" s="148"/>
    </row>
    <row r="77" spans="1:17" s="26" customFormat="1" ht="15" customHeight="1">
      <c r="A77" s="24"/>
      <c r="B77" s="40"/>
      <c r="C77" s="27"/>
      <c r="D77" s="28" t="s">
        <v>41</v>
      </c>
      <c r="E77" s="35">
        <f t="shared" si="24"/>
        <v>4195035</v>
      </c>
      <c r="F77" s="93">
        <f>4157731+37304</f>
        <v>4195035</v>
      </c>
      <c r="G77" s="93">
        <f>2509072+321793</f>
        <v>2830865</v>
      </c>
      <c r="H77" s="35">
        <f>517072-49980</f>
        <v>467092</v>
      </c>
      <c r="I77" s="58"/>
      <c r="J77" s="73">
        <f t="shared" si="22"/>
        <v>0</v>
      </c>
      <c r="K77" s="73"/>
      <c r="L77" s="73"/>
      <c r="M77" s="73"/>
      <c r="N77" s="73"/>
      <c r="O77" s="73"/>
      <c r="P77" s="73">
        <f t="shared" si="23"/>
        <v>4195035</v>
      </c>
      <c r="Q77" s="148"/>
    </row>
    <row r="78" spans="1:17" s="26" customFormat="1" ht="45">
      <c r="A78" s="24"/>
      <c r="B78" s="36" t="s">
        <v>175</v>
      </c>
      <c r="C78" s="27" t="s">
        <v>47</v>
      </c>
      <c r="D78" s="28" t="s">
        <v>163</v>
      </c>
      <c r="E78" s="35">
        <f t="shared" si="24"/>
        <v>12192993</v>
      </c>
      <c r="F78" s="93">
        <f>14471495-2278502</f>
        <v>12192993</v>
      </c>
      <c r="G78" s="93">
        <f>9257594-784442</f>
        <v>8473152</v>
      </c>
      <c r="H78" s="35">
        <v>1785662</v>
      </c>
      <c r="I78" s="58"/>
      <c r="J78" s="73">
        <f t="shared" si="22"/>
        <v>525000</v>
      </c>
      <c r="K78" s="73"/>
      <c r="L78" s="73"/>
      <c r="M78" s="73"/>
      <c r="N78" s="73">
        <v>525000</v>
      </c>
      <c r="O78" s="73">
        <v>525000</v>
      </c>
      <c r="P78" s="73">
        <f t="shared" si="23"/>
        <v>12717993</v>
      </c>
      <c r="Q78" s="148"/>
    </row>
    <row r="79" spans="1:17" s="26" customFormat="1" ht="30">
      <c r="A79" s="24"/>
      <c r="B79" s="36" t="s">
        <v>377</v>
      </c>
      <c r="C79" s="27" t="s">
        <v>378</v>
      </c>
      <c r="D79" s="28" t="s">
        <v>379</v>
      </c>
      <c r="E79" s="35">
        <f t="shared" si="24"/>
        <v>55886018</v>
      </c>
      <c r="F79" s="93">
        <v>55886018</v>
      </c>
      <c r="G79" s="93">
        <v>26608329</v>
      </c>
      <c r="H79" s="93">
        <v>6083140</v>
      </c>
      <c r="I79" s="58"/>
      <c r="J79" s="73">
        <f t="shared" si="22"/>
        <v>6764260</v>
      </c>
      <c r="K79" s="73">
        <v>6459260</v>
      </c>
      <c r="L79" s="73">
        <v>1729928</v>
      </c>
      <c r="M79" s="73">
        <v>1470248</v>
      </c>
      <c r="N79" s="73">
        <v>305000</v>
      </c>
      <c r="O79" s="98"/>
      <c r="P79" s="73">
        <f t="shared" si="23"/>
        <v>62650278</v>
      </c>
      <c r="Q79" s="148"/>
    </row>
    <row r="80" spans="1:17" s="26" customFormat="1" ht="45">
      <c r="A80" s="24"/>
      <c r="B80" s="36" t="s">
        <v>176</v>
      </c>
      <c r="C80" s="27" t="s">
        <v>48</v>
      </c>
      <c r="D80" s="28" t="s">
        <v>164</v>
      </c>
      <c r="E80" s="35">
        <f t="shared" si="24"/>
        <v>1764624</v>
      </c>
      <c r="F80" s="93">
        <f>2094920-330296</f>
        <v>1764624</v>
      </c>
      <c r="G80" s="93">
        <f>1451158-100640</f>
        <v>1350518</v>
      </c>
      <c r="H80" s="35">
        <v>79885</v>
      </c>
      <c r="I80" s="58"/>
      <c r="J80" s="73">
        <f t="shared" si="22"/>
        <v>110000</v>
      </c>
      <c r="K80" s="73"/>
      <c r="L80" s="73"/>
      <c r="M80" s="73"/>
      <c r="N80" s="73">
        <v>110000</v>
      </c>
      <c r="O80" s="73">
        <v>110000</v>
      </c>
      <c r="P80" s="73">
        <f t="shared" si="23"/>
        <v>1874624</v>
      </c>
      <c r="Q80" s="148"/>
    </row>
    <row r="81" spans="1:17" s="26" customFormat="1" ht="30">
      <c r="A81" s="24"/>
      <c r="B81" s="36" t="s">
        <v>177</v>
      </c>
      <c r="C81" s="27" t="s">
        <v>49</v>
      </c>
      <c r="D81" s="28" t="s">
        <v>165</v>
      </c>
      <c r="E81" s="35">
        <f t="shared" si="24"/>
        <v>1540670</v>
      </c>
      <c r="F81" s="93">
        <f>1911767-371097</f>
        <v>1540670</v>
      </c>
      <c r="G81" s="93">
        <f>1242033-158595</f>
        <v>1083438</v>
      </c>
      <c r="H81" s="35">
        <v>82225</v>
      </c>
      <c r="I81" s="58"/>
      <c r="J81" s="73">
        <f t="shared" si="22"/>
        <v>75000</v>
      </c>
      <c r="K81" s="73"/>
      <c r="L81" s="73"/>
      <c r="M81" s="73"/>
      <c r="N81" s="73">
        <v>75000</v>
      </c>
      <c r="O81" s="73">
        <v>75000</v>
      </c>
      <c r="P81" s="73">
        <f t="shared" si="23"/>
        <v>1615670</v>
      </c>
      <c r="Q81" s="148"/>
    </row>
    <row r="82" spans="1:17" s="26" customFormat="1" ht="30">
      <c r="A82" s="24"/>
      <c r="B82" s="36" t="s">
        <v>178</v>
      </c>
      <c r="C82" s="27" t="s">
        <v>50</v>
      </c>
      <c r="D82" s="28" t="s">
        <v>166</v>
      </c>
      <c r="E82" s="35">
        <f t="shared" si="24"/>
        <v>162138</v>
      </c>
      <c r="F82" s="93">
        <f>206673-44535</f>
        <v>162138</v>
      </c>
      <c r="G82" s="93">
        <f>145804-19414</f>
        <v>126390</v>
      </c>
      <c r="H82" s="35">
        <v>5147</v>
      </c>
      <c r="I82" s="58"/>
      <c r="J82" s="73">
        <f t="shared" si="22"/>
        <v>0</v>
      </c>
      <c r="K82" s="73"/>
      <c r="L82" s="73"/>
      <c r="M82" s="73"/>
      <c r="N82" s="73"/>
      <c r="O82" s="73"/>
      <c r="P82" s="73">
        <f t="shared" si="23"/>
        <v>162138</v>
      </c>
      <c r="Q82" s="148"/>
    </row>
    <row r="83" spans="1:17" s="26" customFormat="1" ht="15">
      <c r="A83" s="24"/>
      <c r="B83" s="36" t="s">
        <v>179</v>
      </c>
      <c r="C83" s="27" t="s">
        <v>51</v>
      </c>
      <c r="D83" s="28" t="s">
        <v>167</v>
      </c>
      <c r="E83" s="35">
        <f t="shared" si="24"/>
        <v>2530123</v>
      </c>
      <c r="F83" s="93">
        <f>2955196-425073</f>
        <v>2530123</v>
      </c>
      <c r="G83" s="93">
        <f>1837478-145690</f>
        <v>1691788</v>
      </c>
      <c r="H83" s="35">
        <v>335643</v>
      </c>
      <c r="I83" s="58"/>
      <c r="J83" s="73">
        <f t="shared" si="22"/>
        <v>150000</v>
      </c>
      <c r="K83" s="73"/>
      <c r="L83" s="73"/>
      <c r="M83" s="73"/>
      <c r="N83" s="73">
        <v>150000</v>
      </c>
      <c r="O83" s="73">
        <v>150000</v>
      </c>
      <c r="P83" s="73">
        <f t="shared" si="23"/>
        <v>2680123</v>
      </c>
      <c r="Q83" s="148"/>
    </row>
    <row r="84" spans="1:17" s="26" customFormat="1" ht="15">
      <c r="A84" s="24"/>
      <c r="B84" s="36" t="s">
        <v>180</v>
      </c>
      <c r="C84" s="27" t="s">
        <v>52</v>
      </c>
      <c r="D84" s="28" t="s">
        <v>53</v>
      </c>
      <c r="E84" s="35">
        <f t="shared" si="24"/>
        <v>73148</v>
      </c>
      <c r="F84" s="35">
        <f aca="true" t="shared" si="25" ref="F84:P84">F85</f>
        <v>73148</v>
      </c>
      <c r="G84" s="35">
        <f t="shared" si="25"/>
        <v>0</v>
      </c>
      <c r="H84" s="35">
        <f t="shared" si="25"/>
        <v>0</v>
      </c>
      <c r="I84" s="35">
        <f t="shared" si="25"/>
        <v>0</v>
      </c>
      <c r="J84" s="35">
        <f t="shared" si="22"/>
        <v>0</v>
      </c>
      <c r="K84" s="35">
        <f t="shared" si="25"/>
        <v>0</v>
      </c>
      <c r="L84" s="35">
        <f t="shared" si="25"/>
        <v>0</v>
      </c>
      <c r="M84" s="35">
        <f t="shared" si="25"/>
        <v>0</v>
      </c>
      <c r="N84" s="35">
        <f t="shared" si="25"/>
        <v>0</v>
      </c>
      <c r="O84" s="35">
        <f t="shared" si="25"/>
        <v>0</v>
      </c>
      <c r="P84" s="35">
        <f t="shared" si="25"/>
        <v>73148</v>
      </c>
      <c r="Q84" s="148"/>
    </row>
    <row r="85" spans="1:17" s="101" customFormat="1" ht="45">
      <c r="A85" s="100"/>
      <c r="B85" s="110" t="s">
        <v>181</v>
      </c>
      <c r="C85" s="83" t="s">
        <v>52</v>
      </c>
      <c r="D85" s="102" t="s">
        <v>363</v>
      </c>
      <c r="E85" s="73">
        <f t="shared" si="24"/>
        <v>73148</v>
      </c>
      <c r="F85" s="73">
        <v>73148</v>
      </c>
      <c r="G85" s="69"/>
      <c r="H85" s="69"/>
      <c r="I85" s="70"/>
      <c r="J85" s="35">
        <f t="shared" si="22"/>
        <v>0</v>
      </c>
      <c r="K85" s="64"/>
      <c r="L85" s="64"/>
      <c r="M85" s="64"/>
      <c r="N85" s="64"/>
      <c r="O85" s="64"/>
      <c r="P85" s="64">
        <f>E85+J85</f>
        <v>73148</v>
      </c>
      <c r="Q85" s="148"/>
    </row>
    <row r="86" spans="1:17" s="26" customFormat="1" ht="49.5" customHeight="1">
      <c r="A86" s="48"/>
      <c r="B86" s="57" t="s">
        <v>183</v>
      </c>
      <c r="C86" s="45" t="s">
        <v>54</v>
      </c>
      <c r="D86" s="49" t="s">
        <v>182</v>
      </c>
      <c r="E86" s="73">
        <f t="shared" si="24"/>
        <v>45250</v>
      </c>
      <c r="F86" s="73">
        <v>45250</v>
      </c>
      <c r="G86" s="73"/>
      <c r="H86" s="73"/>
      <c r="I86" s="58"/>
      <c r="J86" s="73">
        <f t="shared" si="22"/>
        <v>0</v>
      </c>
      <c r="K86" s="73"/>
      <c r="L86" s="73"/>
      <c r="M86" s="73"/>
      <c r="N86" s="73"/>
      <c r="O86" s="73"/>
      <c r="P86" s="73">
        <f>E86+J86</f>
        <v>45250</v>
      </c>
      <c r="Q86" s="148"/>
    </row>
    <row r="87" spans="1:17" s="26" customFormat="1" ht="75">
      <c r="A87" s="24"/>
      <c r="B87" s="36" t="s">
        <v>184</v>
      </c>
      <c r="C87" s="27" t="s">
        <v>20</v>
      </c>
      <c r="D87" s="29" t="s">
        <v>111</v>
      </c>
      <c r="E87" s="35">
        <f t="shared" si="24"/>
        <v>2000000</v>
      </c>
      <c r="F87" s="35">
        <v>2000000</v>
      </c>
      <c r="G87" s="35"/>
      <c r="H87" s="35"/>
      <c r="I87" s="58"/>
      <c r="J87" s="73">
        <f t="shared" si="22"/>
        <v>0</v>
      </c>
      <c r="K87" s="73"/>
      <c r="L87" s="73"/>
      <c r="M87" s="73"/>
      <c r="N87" s="73"/>
      <c r="O87" s="73"/>
      <c r="P87" s="73">
        <f>E87+J87</f>
        <v>2000000</v>
      </c>
      <c r="Q87" s="148"/>
    </row>
    <row r="88" spans="1:17" s="26" customFormat="1" ht="30">
      <c r="A88" s="24"/>
      <c r="B88" s="36" t="s">
        <v>185</v>
      </c>
      <c r="C88" s="27"/>
      <c r="D88" s="34" t="s">
        <v>127</v>
      </c>
      <c r="E88" s="35">
        <f t="shared" si="24"/>
        <v>2562534</v>
      </c>
      <c r="F88" s="35">
        <f aca="true" t="shared" si="26" ref="F88:P88">F89</f>
        <v>2562534</v>
      </c>
      <c r="G88" s="35">
        <f t="shared" si="26"/>
        <v>1798717</v>
      </c>
      <c r="H88" s="35">
        <f t="shared" si="26"/>
        <v>182401</v>
      </c>
      <c r="I88" s="35">
        <f t="shared" si="26"/>
        <v>0</v>
      </c>
      <c r="J88" s="35">
        <f t="shared" si="22"/>
        <v>0</v>
      </c>
      <c r="K88" s="35">
        <f t="shared" si="26"/>
        <v>0</v>
      </c>
      <c r="L88" s="35">
        <f t="shared" si="26"/>
        <v>0</v>
      </c>
      <c r="M88" s="35">
        <f t="shared" si="26"/>
        <v>0</v>
      </c>
      <c r="N88" s="35">
        <f t="shared" si="26"/>
        <v>0</v>
      </c>
      <c r="O88" s="35">
        <f t="shared" si="26"/>
        <v>0</v>
      </c>
      <c r="P88" s="35">
        <f t="shared" si="26"/>
        <v>2562534</v>
      </c>
      <c r="Q88" s="148"/>
    </row>
    <row r="89" spans="1:17" s="101" customFormat="1" ht="45">
      <c r="A89" s="100"/>
      <c r="B89" s="110" t="s">
        <v>186</v>
      </c>
      <c r="C89" s="83" t="s">
        <v>27</v>
      </c>
      <c r="D89" s="84" t="s">
        <v>129</v>
      </c>
      <c r="E89" s="64">
        <f t="shared" si="24"/>
        <v>2562534</v>
      </c>
      <c r="F89" s="98">
        <f>2940630-378096</f>
        <v>2562534</v>
      </c>
      <c r="G89" s="98">
        <f>1887404-88687</f>
        <v>1798717</v>
      </c>
      <c r="H89" s="73">
        <v>182401</v>
      </c>
      <c r="I89" s="70"/>
      <c r="J89" s="35">
        <f t="shared" si="22"/>
        <v>0</v>
      </c>
      <c r="K89" s="70"/>
      <c r="L89" s="70"/>
      <c r="M89" s="70"/>
      <c r="N89" s="70"/>
      <c r="O89" s="70"/>
      <c r="P89" s="64">
        <f>E89+J89</f>
        <v>2562534</v>
      </c>
      <c r="Q89" s="148"/>
    </row>
    <row r="90" spans="1:17" s="101" customFormat="1" ht="30">
      <c r="A90" s="100"/>
      <c r="B90" s="125" t="s">
        <v>441</v>
      </c>
      <c r="C90" s="45" t="s">
        <v>437</v>
      </c>
      <c r="D90" s="49" t="s">
        <v>438</v>
      </c>
      <c r="E90" s="69"/>
      <c r="F90" s="35"/>
      <c r="G90" s="35"/>
      <c r="H90" s="35"/>
      <c r="I90" s="70"/>
      <c r="J90" s="35">
        <f t="shared" si="22"/>
        <v>70000</v>
      </c>
      <c r="K90" s="35">
        <v>40000</v>
      </c>
      <c r="L90" s="35"/>
      <c r="M90" s="35"/>
      <c r="N90" s="35">
        <v>30000</v>
      </c>
      <c r="O90" s="35"/>
      <c r="P90" s="35">
        <f>E90+J90</f>
        <v>70000</v>
      </c>
      <c r="Q90" s="78"/>
    </row>
    <row r="91" spans="1:17" s="101" customFormat="1" ht="15">
      <c r="A91" s="100"/>
      <c r="B91" s="125" t="s">
        <v>442</v>
      </c>
      <c r="C91" s="45" t="s">
        <v>440</v>
      </c>
      <c r="D91" s="49" t="s">
        <v>55</v>
      </c>
      <c r="E91" s="69"/>
      <c r="F91" s="35"/>
      <c r="G91" s="35"/>
      <c r="H91" s="35"/>
      <c r="I91" s="70"/>
      <c r="J91" s="35">
        <f t="shared" si="22"/>
        <v>250000</v>
      </c>
      <c r="K91" s="35">
        <v>160000</v>
      </c>
      <c r="L91" s="35"/>
      <c r="M91" s="35"/>
      <c r="N91" s="35">
        <v>90000</v>
      </c>
      <c r="O91" s="35"/>
      <c r="P91" s="35">
        <f>E91+J91</f>
        <v>250000</v>
      </c>
      <c r="Q91" s="78"/>
    </row>
    <row r="92" spans="1:17" s="26" customFormat="1" ht="28.5">
      <c r="A92" s="48"/>
      <c r="B92" s="57" t="s">
        <v>188</v>
      </c>
      <c r="C92" s="31"/>
      <c r="D92" s="32" t="s">
        <v>187</v>
      </c>
      <c r="E92" s="58">
        <f>E93</f>
        <v>210942182.43</v>
      </c>
      <c r="F92" s="58">
        <f aca="true" t="shared" si="27" ref="F92:P92">F93</f>
        <v>210942182.43</v>
      </c>
      <c r="G92" s="58">
        <f t="shared" si="27"/>
        <v>126635189</v>
      </c>
      <c r="H92" s="58">
        <f t="shared" si="27"/>
        <v>19133584</v>
      </c>
      <c r="I92" s="58">
        <f t="shared" si="27"/>
        <v>0</v>
      </c>
      <c r="J92" s="58">
        <f t="shared" si="27"/>
        <v>33915814</v>
      </c>
      <c r="K92" s="58">
        <f t="shared" si="27"/>
        <v>11785214</v>
      </c>
      <c r="L92" s="58">
        <f t="shared" si="27"/>
        <v>6366242</v>
      </c>
      <c r="M92" s="58">
        <f t="shared" si="27"/>
        <v>500810</v>
      </c>
      <c r="N92" s="58">
        <f t="shared" si="27"/>
        <v>22130600</v>
      </c>
      <c r="O92" s="58">
        <f t="shared" si="27"/>
        <v>22130600</v>
      </c>
      <c r="P92" s="58">
        <f t="shared" si="27"/>
        <v>244857996.43</v>
      </c>
      <c r="Q92" s="148"/>
    </row>
    <row r="93" spans="1:17" s="101" customFormat="1" ht="30">
      <c r="A93" s="100"/>
      <c r="B93" s="57" t="s">
        <v>189</v>
      </c>
      <c r="C93" s="51"/>
      <c r="D93" s="52" t="s">
        <v>187</v>
      </c>
      <c r="E93" s="70">
        <f>E95+E96+E98+E102+E104+E106+E110+E100+E108</f>
        <v>210942182.43</v>
      </c>
      <c r="F93" s="70">
        <f aca="true" t="shared" si="28" ref="F93:P93">F95+F96+F98+F102+F104+F106+F110+F100+F108</f>
        <v>210942182.43</v>
      </c>
      <c r="G93" s="70">
        <f t="shared" si="28"/>
        <v>126635189</v>
      </c>
      <c r="H93" s="70">
        <f t="shared" si="28"/>
        <v>19133584</v>
      </c>
      <c r="I93" s="70">
        <f t="shared" si="28"/>
        <v>0</v>
      </c>
      <c r="J93" s="70">
        <f t="shared" si="28"/>
        <v>33915814</v>
      </c>
      <c r="K93" s="70">
        <f t="shared" si="28"/>
        <v>11785214</v>
      </c>
      <c r="L93" s="70">
        <f t="shared" si="28"/>
        <v>6366242</v>
      </c>
      <c r="M93" s="70">
        <f t="shared" si="28"/>
        <v>500810</v>
      </c>
      <c r="N93" s="70">
        <f t="shared" si="28"/>
        <v>22130600</v>
      </c>
      <c r="O93" s="70">
        <f t="shared" si="28"/>
        <v>22130600</v>
      </c>
      <c r="P93" s="70">
        <f t="shared" si="28"/>
        <v>244857996.43</v>
      </c>
      <c r="Q93" s="148"/>
    </row>
    <row r="94" spans="1:17" s="26" customFormat="1" ht="15">
      <c r="A94" s="48"/>
      <c r="B94" s="54"/>
      <c r="C94" s="31"/>
      <c r="D94" s="49" t="s">
        <v>96</v>
      </c>
      <c r="E94" s="73">
        <f aca="true" t="shared" si="29" ref="E94:P94">E97+E99+E103+E105+E111+E107+E101</f>
        <v>178452564.43</v>
      </c>
      <c r="F94" s="73">
        <f t="shared" si="29"/>
        <v>178452564.43</v>
      </c>
      <c r="G94" s="73">
        <f t="shared" si="29"/>
        <v>125877607</v>
      </c>
      <c r="H94" s="73">
        <f t="shared" si="29"/>
        <v>19055634</v>
      </c>
      <c r="I94" s="73">
        <f t="shared" si="29"/>
        <v>0</v>
      </c>
      <c r="J94" s="73">
        <f t="shared" si="29"/>
        <v>0</v>
      </c>
      <c r="K94" s="73">
        <f t="shared" si="29"/>
        <v>0</v>
      </c>
      <c r="L94" s="73">
        <f t="shared" si="29"/>
        <v>0</v>
      </c>
      <c r="M94" s="73">
        <f t="shared" si="29"/>
        <v>0</v>
      </c>
      <c r="N94" s="73">
        <f t="shared" si="29"/>
        <v>0</v>
      </c>
      <c r="O94" s="73">
        <f t="shared" si="29"/>
        <v>0</v>
      </c>
      <c r="P94" s="73">
        <f t="shared" si="29"/>
        <v>178452564.43</v>
      </c>
      <c r="Q94" s="148"/>
    </row>
    <row r="95" spans="1:17" s="26" customFormat="1" ht="50.25" customHeight="1">
      <c r="A95" s="24"/>
      <c r="B95" s="36" t="s">
        <v>190</v>
      </c>
      <c r="C95" s="27" t="s">
        <v>9</v>
      </c>
      <c r="D95" s="28" t="s">
        <v>100</v>
      </c>
      <c r="E95" s="35">
        <f aca="true" t="shared" si="30" ref="E95:E115">F95+I95</f>
        <v>474515</v>
      </c>
      <c r="F95" s="93">
        <f>501690-36350+9175</f>
        <v>474515</v>
      </c>
      <c r="G95" s="93">
        <f>324260+3570</f>
        <v>327830</v>
      </c>
      <c r="H95" s="35">
        <v>18179</v>
      </c>
      <c r="I95" s="58"/>
      <c r="J95" s="73">
        <f aca="true" t="shared" si="31" ref="J95:J107">K95+N95</f>
        <v>320200</v>
      </c>
      <c r="K95" s="58"/>
      <c r="L95" s="58"/>
      <c r="M95" s="58"/>
      <c r="N95" s="73">
        <v>320200</v>
      </c>
      <c r="O95" s="73">
        <v>320200</v>
      </c>
      <c r="P95" s="73">
        <f aca="true" t="shared" si="32" ref="P95:P109">E95+J95</f>
        <v>794715</v>
      </c>
      <c r="Q95" s="148"/>
    </row>
    <row r="96" spans="1:17" s="26" customFormat="1" ht="30">
      <c r="A96" s="24"/>
      <c r="B96" s="36" t="s">
        <v>192</v>
      </c>
      <c r="C96" s="27" t="s">
        <v>56</v>
      </c>
      <c r="D96" s="28" t="s">
        <v>191</v>
      </c>
      <c r="E96" s="35">
        <f t="shared" si="30"/>
        <v>169135288.43</v>
      </c>
      <c r="F96" s="93">
        <f>185364829+8898601-3182667-22578004-57471+416936+263064.43+10000</f>
        <v>169135288.43</v>
      </c>
      <c r="G96" s="93">
        <f>111910141+7414009-15923234</f>
        <v>103400916</v>
      </c>
      <c r="H96" s="35">
        <v>15447851</v>
      </c>
      <c r="I96" s="58"/>
      <c r="J96" s="73">
        <f t="shared" si="31"/>
        <v>24175582</v>
      </c>
      <c r="K96" s="73">
        <v>7844182</v>
      </c>
      <c r="L96" s="73">
        <v>4083407</v>
      </c>
      <c r="M96" s="73">
        <v>177480</v>
      </c>
      <c r="N96" s="73">
        <f>12000000+4331400</f>
        <v>16331400</v>
      </c>
      <c r="O96" s="73">
        <f>12000000+4331400</f>
        <v>16331400</v>
      </c>
      <c r="P96" s="73">
        <f t="shared" si="32"/>
        <v>193310870.43</v>
      </c>
      <c r="Q96" s="148"/>
    </row>
    <row r="97" spans="1:17" s="26" customFormat="1" ht="15">
      <c r="A97" s="24"/>
      <c r="B97" s="40"/>
      <c r="C97" s="27"/>
      <c r="D97" s="28" t="s">
        <v>96</v>
      </c>
      <c r="E97" s="35">
        <f t="shared" si="30"/>
        <v>145857912.43</v>
      </c>
      <c r="F97" s="93">
        <f>148777515-3182667+263064.43</f>
        <v>145857912.43</v>
      </c>
      <c r="G97" s="93">
        <f>95557155+7414009</f>
        <v>102971164</v>
      </c>
      <c r="H97" s="35">
        <v>15388080</v>
      </c>
      <c r="I97" s="58"/>
      <c r="J97" s="73">
        <f t="shared" si="31"/>
        <v>0</v>
      </c>
      <c r="K97" s="73"/>
      <c r="L97" s="73"/>
      <c r="M97" s="73"/>
      <c r="N97" s="73"/>
      <c r="O97" s="73"/>
      <c r="P97" s="73">
        <f t="shared" si="32"/>
        <v>145857912.43</v>
      </c>
      <c r="Q97" s="148"/>
    </row>
    <row r="98" spans="1:17" s="26" customFormat="1" ht="30">
      <c r="A98" s="24"/>
      <c r="B98" s="36" t="s">
        <v>194</v>
      </c>
      <c r="C98" s="27" t="s">
        <v>57</v>
      </c>
      <c r="D98" s="28" t="s">
        <v>193</v>
      </c>
      <c r="E98" s="35">
        <f t="shared" si="30"/>
        <v>18280764</v>
      </c>
      <c r="F98" s="93">
        <f>21492078-514223-2712091+15000</f>
        <v>18280764</v>
      </c>
      <c r="G98" s="93">
        <f>12880040+855030-1989840</f>
        <v>11745230</v>
      </c>
      <c r="H98" s="35">
        <v>2655803</v>
      </c>
      <c r="I98" s="58"/>
      <c r="J98" s="73">
        <f t="shared" si="31"/>
        <v>2025240</v>
      </c>
      <c r="K98" s="73">
        <v>25240</v>
      </c>
      <c r="L98" s="73">
        <v>9460</v>
      </c>
      <c r="M98" s="73">
        <v>4150</v>
      </c>
      <c r="N98" s="73">
        <f>1500000+500000</f>
        <v>2000000</v>
      </c>
      <c r="O98" s="73">
        <f>1500000+500000</f>
        <v>2000000</v>
      </c>
      <c r="P98" s="73">
        <f t="shared" si="32"/>
        <v>20306004</v>
      </c>
      <c r="Q98" s="148"/>
    </row>
    <row r="99" spans="1:17" s="26" customFormat="1" ht="15">
      <c r="A99" s="24"/>
      <c r="B99" s="40"/>
      <c r="C99" s="27"/>
      <c r="D99" s="28" t="s">
        <v>96</v>
      </c>
      <c r="E99" s="35">
        <f t="shared" si="30"/>
        <v>17257714</v>
      </c>
      <c r="F99" s="93">
        <f>17756937-514223+15000</f>
        <v>17257714</v>
      </c>
      <c r="G99" s="93">
        <f>10890200+855030</f>
        <v>11745230</v>
      </c>
      <c r="H99" s="35">
        <v>2655803</v>
      </c>
      <c r="I99" s="58"/>
      <c r="J99" s="73">
        <f t="shared" si="31"/>
        <v>0</v>
      </c>
      <c r="K99" s="73"/>
      <c r="L99" s="73"/>
      <c r="M99" s="73"/>
      <c r="N99" s="73"/>
      <c r="O99" s="73"/>
      <c r="P99" s="73">
        <f t="shared" si="32"/>
        <v>17257714</v>
      </c>
      <c r="Q99" s="148"/>
    </row>
    <row r="100" spans="1:17" s="26" customFormat="1" ht="45">
      <c r="A100" s="24"/>
      <c r="B100" s="27" t="s">
        <v>312</v>
      </c>
      <c r="C100" s="27" t="s">
        <v>313</v>
      </c>
      <c r="D100" s="28" t="s">
        <v>314</v>
      </c>
      <c r="E100" s="35">
        <f t="shared" si="30"/>
        <v>1612438</v>
      </c>
      <c r="F100" s="93">
        <f>2196578-72487-512653+1000</f>
        <v>1612438</v>
      </c>
      <c r="G100" s="93">
        <f>1538529+67981-378621</f>
        <v>1227889</v>
      </c>
      <c r="H100" s="35">
        <v>76813</v>
      </c>
      <c r="I100" s="58"/>
      <c r="J100" s="73">
        <f t="shared" si="31"/>
        <v>407000</v>
      </c>
      <c r="K100" s="73">
        <v>407000</v>
      </c>
      <c r="L100" s="73">
        <v>98000</v>
      </c>
      <c r="M100" s="73">
        <v>132800</v>
      </c>
      <c r="N100" s="73">
        <f>N74</f>
        <v>0</v>
      </c>
      <c r="O100" s="73">
        <f>O74</f>
        <v>0</v>
      </c>
      <c r="P100" s="73">
        <f t="shared" si="32"/>
        <v>2019438</v>
      </c>
      <c r="Q100" s="148"/>
    </row>
    <row r="101" spans="1:17" s="26" customFormat="1" ht="15" customHeight="1">
      <c r="A101" s="24"/>
      <c r="B101" s="27"/>
      <c r="C101" s="27"/>
      <c r="D101" s="28" t="s">
        <v>96</v>
      </c>
      <c r="E101" s="35">
        <f t="shared" si="30"/>
        <v>1581988</v>
      </c>
      <c r="F101" s="93">
        <f>1653475-72487+1000</f>
        <v>1581988</v>
      </c>
      <c r="G101" s="93">
        <f>1159908+67981</f>
        <v>1227889</v>
      </c>
      <c r="H101" s="35">
        <v>76813</v>
      </c>
      <c r="I101" s="58"/>
      <c r="J101" s="73">
        <f t="shared" si="31"/>
        <v>0</v>
      </c>
      <c r="K101" s="73">
        <f>K75</f>
        <v>0</v>
      </c>
      <c r="L101" s="73">
        <f>L75</f>
        <v>0</v>
      </c>
      <c r="M101" s="73">
        <f>M75</f>
        <v>0</v>
      </c>
      <c r="N101" s="73">
        <f>N75</f>
        <v>0</v>
      </c>
      <c r="O101" s="73">
        <f>O75</f>
        <v>0</v>
      </c>
      <c r="P101" s="73">
        <f t="shared" si="32"/>
        <v>1581988</v>
      </c>
      <c r="Q101" s="148"/>
    </row>
    <row r="102" spans="1:17" s="26" customFormat="1" ht="30">
      <c r="A102" s="24"/>
      <c r="B102" s="36" t="s">
        <v>196</v>
      </c>
      <c r="C102" s="27" t="s">
        <v>58</v>
      </c>
      <c r="D102" s="28" t="s">
        <v>195</v>
      </c>
      <c r="E102" s="35">
        <f t="shared" si="30"/>
        <v>4283280</v>
      </c>
      <c r="F102" s="93">
        <f>5135524-113812-743432+5000</f>
        <v>4283280</v>
      </c>
      <c r="G102" s="93">
        <f>3329538+233048-545438</f>
        <v>3017148</v>
      </c>
      <c r="H102" s="35">
        <v>339954</v>
      </c>
      <c r="I102" s="58"/>
      <c r="J102" s="73">
        <f t="shared" si="31"/>
        <v>4353292</v>
      </c>
      <c r="K102" s="73">
        <v>3353292</v>
      </c>
      <c r="L102" s="73">
        <v>2153375</v>
      </c>
      <c r="M102" s="73">
        <v>166719</v>
      </c>
      <c r="N102" s="73">
        <v>1000000</v>
      </c>
      <c r="O102" s="73">
        <v>1000000</v>
      </c>
      <c r="P102" s="73">
        <f t="shared" si="32"/>
        <v>8636572</v>
      </c>
      <c r="Q102" s="148"/>
    </row>
    <row r="103" spans="1:17" s="26" customFormat="1" ht="15">
      <c r="A103" s="24"/>
      <c r="B103" s="40"/>
      <c r="C103" s="27"/>
      <c r="D103" s="28" t="s">
        <v>96</v>
      </c>
      <c r="E103" s="35">
        <f t="shared" si="30"/>
        <v>4103275</v>
      </c>
      <c r="F103" s="93">
        <f>4212087-113812+5000</f>
        <v>4103275</v>
      </c>
      <c r="G103" s="93">
        <f>2784100+233048</f>
        <v>3017148</v>
      </c>
      <c r="H103" s="35">
        <v>339954</v>
      </c>
      <c r="I103" s="58"/>
      <c r="J103" s="73">
        <f t="shared" si="31"/>
        <v>0</v>
      </c>
      <c r="K103" s="73"/>
      <c r="L103" s="73"/>
      <c r="M103" s="73"/>
      <c r="N103" s="73"/>
      <c r="O103" s="73"/>
      <c r="P103" s="73">
        <f t="shared" si="32"/>
        <v>4103275</v>
      </c>
      <c r="Q103" s="148"/>
    </row>
    <row r="104" spans="1:17" s="26" customFormat="1" ht="15">
      <c r="A104" s="24"/>
      <c r="B104" s="36" t="s">
        <v>198</v>
      </c>
      <c r="C104" s="27" t="s">
        <v>59</v>
      </c>
      <c r="D104" s="28" t="s">
        <v>197</v>
      </c>
      <c r="E104" s="35">
        <f t="shared" si="30"/>
        <v>9308474</v>
      </c>
      <c r="F104" s="93">
        <f>10647211-240883-1135554+37700</f>
        <v>9308474</v>
      </c>
      <c r="G104" s="35">
        <v>6060985</v>
      </c>
      <c r="H104" s="35">
        <v>564989</v>
      </c>
      <c r="I104" s="58"/>
      <c r="J104" s="73">
        <f t="shared" si="31"/>
        <v>2574500</v>
      </c>
      <c r="K104" s="73">
        <v>155500</v>
      </c>
      <c r="L104" s="73">
        <v>22000</v>
      </c>
      <c r="M104" s="73">
        <v>19661</v>
      </c>
      <c r="N104" s="73">
        <f>1700000+719000</f>
        <v>2419000</v>
      </c>
      <c r="O104" s="73">
        <f>1700000+719000</f>
        <v>2419000</v>
      </c>
      <c r="P104" s="73">
        <f t="shared" si="32"/>
        <v>11882974</v>
      </c>
      <c r="Q104" s="148"/>
    </row>
    <row r="105" spans="1:17" s="26" customFormat="1" ht="15">
      <c r="A105" s="24"/>
      <c r="B105" s="40"/>
      <c r="C105" s="27"/>
      <c r="D105" s="28" t="s">
        <v>96</v>
      </c>
      <c r="E105" s="35">
        <f t="shared" si="30"/>
        <v>8308340</v>
      </c>
      <c r="F105" s="93">
        <f>8511523-240883+37700</f>
        <v>8308340</v>
      </c>
      <c r="G105" s="35">
        <v>6060985</v>
      </c>
      <c r="H105" s="35">
        <v>564989</v>
      </c>
      <c r="I105" s="58"/>
      <c r="J105" s="73">
        <f t="shared" si="31"/>
        <v>0</v>
      </c>
      <c r="K105" s="58"/>
      <c r="L105" s="58"/>
      <c r="M105" s="58"/>
      <c r="N105" s="58"/>
      <c r="O105" s="58"/>
      <c r="P105" s="73">
        <f t="shared" si="32"/>
        <v>8308340</v>
      </c>
      <c r="Q105" s="148"/>
    </row>
    <row r="106" spans="1:17" s="26" customFormat="1" ht="75">
      <c r="A106" s="24"/>
      <c r="B106" s="27" t="s">
        <v>205</v>
      </c>
      <c r="C106" s="27" t="s">
        <v>61</v>
      </c>
      <c r="D106" s="28" t="s">
        <v>62</v>
      </c>
      <c r="E106" s="35">
        <f t="shared" si="30"/>
        <v>650274</v>
      </c>
      <c r="F106" s="93">
        <f>701177-6802-44101</f>
        <v>650274</v>
      </c>
      <c r="G106" s="93">
        <f>430788+37639-32613</f>
        <v>435814</v>
      </c>
      <c r="H106" s="35">
        <v>18580</v>
      </c>
      <c r="I106" s="58"/>
      <c r="J106" s="73">
        <f t="shared" si="31"/>
        <v>40000</v>
      </c>
      <c r="K106" s="58"/>
      <c r="L106" s="58"/>
      <c r="M106" s="58"/>
      <c r="N106" s="73">
        <v>40000</v>
      </c>
      <c r="O106" s="73">
        <v>40000</v>
      </c>
      <c r="P106" s="73">
        <f t="shared" si="32"/>
        <v>690274</v>
      </c>
      <c r="Q106" s="148"/>
    </row>
    <row r="107" spans="1:17" s="26" customFormat="1" ht="15">
      <c r="A107" s="24"/>
      <c r="B107" s="40"/>
      <c r="C107" s="27"/>
      <c r="D107" s="28" t="s">
        <v>96</v>
      </c>
      <c r="E107" s="35">
        <f t="shared" si="30"/>
        <v>575270</v>
      </c>
      <c r="F107" s="93">
        <f>582072-6802</f>
        <v>575270</v>
      </c>
      <c r="G107" s="93">
        <f>398175+37639</f>
        <v>435814</v>
      </c>
      <c r="H107" s="35">
        <v>18580</v>
      </c>
      <c r="I107" s="58"/>
      <c r="J107" s="73">
        <f t="shared" si="31"/>
        <v>0</v>
      </c>
      <c r="K107" s="58"/>
      <c r="L107" s="58"/>
      <c r="M107" s="58"/>
      <c r="N107" s="58"/>
      <c r="O107" s="58"/>
      <c r="P107" s="73">
        <f t="shared" si="32"/>
        <v>575270</v>
      </c>
      <c r="Q107" s="148"/>
    </row>
    <row r="108" spans="1:17" s="26" customFormat="1" ht="30">
      <c r="A108" s="24"/>
      <c r="B108" s="40">
        <v>1412210</v>
      </c>
      <c r="C108" s="27"/>
      <c r="D108" s="28" t="s">
        <v>374</v>
      </c>
      <c r="E108" s="35">
        <f>E109</f>
        <v>5218000</v>
      </c>
      <c r="F108" s="35">
        <f aca="true" t="shared" si="33" ref="F108:O108">F109</f>
        <v>5218000</v>
      </c>
      <c r="G108" s="35">
        <f t="shared" si="33"/>
        <v>0</v>
      </c>
      <c r="H108" s="35">
        <f t="shared" si="33"/>
        <v>0</v>
      </c>
      <c r="I108" s="35">
        <f t="shared" si="33"/>
        <v>0</v>
      </c>
      <c r="J108" s="35">
        <f t="shared" si="33"/>
        <v>0</v>
      </c>
      <c r="K108" s="35">
        <f t="shared" si="33"/>
        <v>0</v>
      </c>
      <c r="L108" s="35">
        <f t="shared" si="33"/>
        <v>0</v>
      </c>
      <c r="M108" s="35">
        <f t="shared" si="33"/>
        <v>0</v>
      </c>
      <c r="N108" s="35">
        <f t="shared" si="33"/>
        <v>0</v>
      </c>
      <c r="O108" s="35">
        <f t="shared" si="33"/>
        <v>0</v>
      </c>
      <c r="P108" s="35">
        <f t="shared" si="32"/>
        <v>5218000</v>
      </c>
      <c r="Q108" s="148"/>
    </row>
    <row r="109" spans="1:17" s="26" customFormat="1" ht="45">
      <c r="A109" s="24"/>
      <c r="B109" s="82">
        <v>1412214</v>
      </c>
      <c r="C109" s="83" t="s">
        <v>375</v>
      </c>
      <c r="D109" s="84" t="s">
        <v>376</v>
      </c>
      <c r="E109" s="64">
        <f t="shared" si="30"/>
        <v>5218000</v>
      </c>
      <c r="F109" s="92">
        <f>4846847+371153</f>
        <v>5218000</v>
      </c>
      <c r="G109" s="64"/>
      <c r="H109" s="64"/>
      <c r="I109" s="70"/>
      <c r="J109" s="64">
        <f aca="true" t="shared" si="34" ref="G109:P111">J111+J113</f>
        <v>0</v>
      </c>
      <c r="K109" s="70"/>
      <c r="L109" s="70"/>
      <c r="M109" s="70"/>
      <c r="N109" s="70"/>
      <c r="O109" s="70"/>
      <c r="P109" s="64">
        <f t="shared" si="32"/>
        <v>5218000</v>
      </c>
      <c r="Q109" s="148"/>
    </row>
    <row r="110" spans="1:17" s="26" customFormat="1" ht="15">
      <c r="A110" s="24"/>
      <c r="B110" s="36" t="s">
        <v>200</v>
      </c>
      <c r="C110" s="27" t="s">
        <v>60</v>
      </c>
      <c r="D110" s="28" t="s">
        <v>199</v>
      </c>
      <c r="E110" s="35">
        <f t="shared" si="30"/>
        <v>1979149</v>
      </c>
      <c r="F110" s="35">
        <f>F112+F114</f>
        <v>1979149</v>
      </c>
      <c r="G110" s="35">
        <f t="shared" si="34"/>
        <v>419377</v>
      </c>
      <c r="H110" s="35">
        <f t="shared" si="34"/>
        <v>11415</v>
      </c>
      <c r="I110" s="35">
        <f t="shared" si="34"/>
        <v>0</v>
      </c>
      <c r="J110" s="35">
        <f t="shared" si="34"/>
        <v>20000</v>
      </c>
      <c r="K110" s="35">
        <f t="shared" si="34"/>
        <v>0</v>
      </c>
      <c r="L110" s="35">
        <f t="shared" si="34"/>
        <v>0</v>
      </c>
      <c r="M110" s="35">
        <f t="shared" si="34"/>
        <v>0</v>
      </c>
      <c r="N110" s="35">
        <f t="shared" si="34"/>
        <v>20000</v>
      </c>
      <c r="O110" s="35">
        <f t="shared" si="34"/>
        <v>20000</v>
      </c>
      <c r="P110" s="35">
        <f t="shared" si="34"/>
        <v>1999149</v>
      </c>
      <c r="Q110" s="148"/>
    </row>
    <row r="111" spans="1:17" s="26" customFormat="1" ht="15">
      <c r="A111" s="24"/>
      <c r="B111" s="40"/>
      <c r="C111" s="27"/>
      <c r="D111" s="28" t="s">
        <v>96</v>
      </c>
      <c r="E111" s="35">
        <f t="shared" si="30"/>
        <v>768065</v>
      </c>
      <c r="F111" s="35">
        <f>F113+F115</f>
        <v>768065</v>
      </c>
      <c r="G111" s="35">
        <f t="shared" si="34"/>
        <v>419377</v>
      </c>
      <c r="H111" s="35">
        <f t="shared" si="34"/>
        <v>11415</v>
      </c>
      <c r="I111" s="35">
        <f t="shared" si="34"/>
        <v>0</v>
      </c>
      <c r="J111" s="35">
        <f t="shared" si="34"/>
        <v>0</v>
      </c>
      <c r="K111" s="35">
        <f t="shared" si="34"/>
        <v>0</v>
      </c>
      <c r="L111" s="35">
        <f t="shared" si="34"/>
        <v>0</v>
      </c>
      <c r="M111" s="35">
        <f t="shared" si="34"/>
        <v>0</v>
      </c>
      <c r="N111" s="35">
        <f t="shared" si="34"/>
        <v>0</v>
      </c>
      <c r="O111" s="35">
        <f t="shared" si="34"/>
        <v>0</v>
      </c>
      <c r="P111" s="35">
        <f t="shared" si="34"/>
        <v>768065</v>
      </c>
      <c r="Q111" s="148"/>
    </row>
    <row r="112" spans="1:17" s="101" customFormat="1" ht="30">
      <c r="A112" s="100"/>
      <c r="B112" s="91" t="s">
        <v>203</v>
      </c>
      <c r="C112" s="83" t="s">
        <v>60</v>
      </c>
      <c r="D112" s="84" t="s">
        <v>201</v>
      </c>
      <c r="E112" s="64">
        <f t="shared" si="30"/>
        <v>553055</v>
      </c>
      <c r="F112" s="92">
        <f>605063-9626-42382</f>
        <v>553055</v>
      </c>
      <c r="G112" s="92">
        <f>415979+34677-31279</f>
        <v>419377</v>
      </c>
      <c r="H112" s="64">
        <v>11415</v>
      </c>
      <c r="I112" s="70"/>
      <c r="J112" s="64">
        <f>K112+N112</f>
        <v>20000</v>
      </c>
      <c r="K112" s="70"/>
      <c r="L112" s="70"/>
      <c r="M112" s="70"/>
      <c r="N112" s="70">
        <v>20000</v>
      </c>
      <c r="O112" s="70">
        <v>20000</v>
      </c>
      <c r="P112" s="64">
        <f>E112+J112</f>
        <v>573055</v>
      </c>
      <c r="Q112" s="148"/>
    </row>
    <row r="113" spans="1:17" s="101" customFormat="1" ht="15">
      <c r="A113" s="100"/>
      <c r="B113" s="83"/>
      <c r="C113" s="83"/>
      <c r="D113" s="84" t="s">
        <v>96</v>
      </c>
      <c r="E113" s="64">
        <f t="shared" si="30"/>
        <v>530552</v>
      </c>
      <c r="F113" s="92">
        <f>540178-9626</f>
        <v>530552</v>
      </c>
      <c r="G113" s="92">
        <f>384700+34677</f>
        <v>419377</v>
      </c>
      <c r="H113" s="64">
        <v>11415</v>
      </c>
      <c r="I113" s="70"/>
      <c r="J113" s="64">
        <f>K113+N113</f>
        <v>0</v>
      </c>
      <c r="K113" s="70"/>
      <c r="L113" s="70"/>
      <c r="M113" s="70"/>
      <c r="N113" s="70"/>
      <c r="O113" s="70"/>
      <c r="P113" s="64">
        <f>E113+J113</f>
        <v>530552</v>
      </c>
      <c r="Q113" s="148"/>
    </row>
    <row r="114" spans="1:17" s="101" customFormat="1" ht="30">
      <c r="A114" s="100"/>
      <c r="B114" s="83" t="s">
        <v>204</v>
      </c>
      <c r="C114" s="83" t="s">
        <v>60</v>
      </c>
      <c r="D114" s="84" t="s">
        <v>202</v>
      </c>
      <c r="E114" s="64">
        <f t="shared" si="30"/>
        <v>1426094</v>
      </c>
      <c r="F114" s="64">
        <f>1276094+150000</f>
        <v>1426094</v>
      </c>
      <c r="G114" s="64"/>
      <c r="H114" s="64"/>
      <c r="I114" s="70"/>
      <c r="J114" s="64">
        <f>K114+N114</f>
        <v>0</v>
      </c>
      <c r="K114" s="70"/>
      <c r="L114" s="70"/>
      <c r="M114" s="70"/>
      <c r="N114" s="70"/>
      <c r="O114" s="70"/>
      <c r="P114" s="64">
        <f>E114+J114</f>
        <v>1426094</v>
      </c>
      <c r="Q114" s="148"/>
    </row>
    <row r="115" spans="1:17" s="101" customFormat="1" ht="15">
      <c r="A115" s="100"/>
      <c r="B115" s="82"/>
      <c r="C115" s="83"/>
      <c r="D115" s="84" t="s">
        <v>96</v>
      </c>
      <c r="E115" s="64">
        <f t="shared" si="30"/>
        <v>237513</v>
      </c>
      <c r="F115" s="64">
        <v>237513</v>
      </c>
      <c r="G115" s="64"/>
      <c r="H115" s="64"/>
      <c r="I115" s="70"/>
      <c r="J115" s="64">
        <f>K115+N115</f>
        <v>0</v>
      </c>
      <c r="K115" s="70"/>
      <c r="L115" s="70"/>
      <c r="M115" s="70"/>
      <c r="N115" s="70"/>
      <c r="O115" s="70"/>
      <c r="P115" s="64">
        <f>E115+J115</f>
        <v>237513</v>
      </c>
      <c r="Q115" s="148"/>
    </row>
    <row r="116" spans="1:17" s="26" customFormat="1" ht="28.5">
      <c r="A116" s="48"/>
      <c r="B116" s="57" t="s">
        <v>207</v>
      </c>
      <c r="C116" s="31"/>
      <c r="D116" s="32" t="s">
        <v>206</v>
      </c>
      <c r="E116" s="58">
        <f>E117</f>
        <v>705273930</v>
      </c>
      <c r="F116" s="58">
        <f aca="true" t="shared" si="35" ref="F116:P116">F117</f>
        <v>705273930</v>
      </c>
      <c r="G116" s="58">
        <f t="shared" si="35"/>
        <v>15723513</v>
      </c>
      <c r="H116" s="58">
        <f t="shared" si="35"/>
        <v>653269</v>
      </c>
      <c r="I116" s="58">
        <f t="shared" si="35"/>
        <v>0</v>
      </c>
      <c r="J116" s="58">
        <f t="shared" si="35"/>
        <v>724800</v>
      </c>
      <c r="K116" s="58">
        <f t="shared" si="35"/>
        <v>27800</v>
      </c>
      <c r="L116" s="58">
        <f t="shared" si="35"/>
        <v>18822</v>
      </c>
      <c r="M116" s="58">
        <f t="shared" si="35"/>
        <v>0</v>
      </c>
      <c r="N116" s="58">
        <f t="shared" si="35"/>
        <v>697000</v>
      </c>
      <c r="O116" s="58">
        <f t="shared" si="35"/>
        <v>697000</v>
      </c>
      <c r="P116" s="58">
        <f t="shared" si="35"/>
        <v>705998730</v>
      </c>
      <c r="Q116" s="148"/>
    </row>
    <row r="117" spans="1:17" s="101" customFormat="1" ht="30">
      <c r="A117" s="100"/>
      <c r="B117" s="110" t="s">
        <v>208</v>
      </c>
      <c r="C117" s="51"/>
      <c r="D117" s="52" t="s">
        <v>206</v>
      </c>
      <c r="E117" s="70">
        <f>E119+E147+E169+E173+E175+E179+E180+E184+E186+E189+E183+E120+E122+E137+E149+E170+E172</f>
        <v>705273930</v>
      </c>
      <c r="F117" s="70">
        <f aca="true" t="shared" si="36" ref="F117:P117">F119+F147+F169+F173+F175+F179+F180+F184+F186+F189+F183+F120+F122+F137+F149+F170+F172</f>
        <v>705273930</v>
      </c>
      <c r="G117" s="70">
        <f t="shared" si="36"/>
        <v>15723513</v>
      </c>
      <c r="H117" s="70">
        <f t="shared" si="36"/>
        <v>653269</v>
      </c>
      <c r="I117" s="70">
        <f t="shared" si="36"/>
        <v>0</v>
      </c>
      <c r="J117" s="70">
        <f t="shared" si="36"/>
        <v>724800</v>
      </c>
      <c r="K117" s="70">
        <f t="shared" si="36"/>
        <v>27800</v>
      </c>
      <c r="L117" s="70">
        <f t="shared" si="36"/>
        <v>18822</v>
      </c>
      <c r="M117" s="70">
        <f t="shared" si="36"/>
        <v>0</v>
      </c>
      <c r="N117" s="70">
        <f t="shared" si="36"/>
        <v>697000</v>
      </c>
      <c r="O117" s="70">
        <f t="shared" si="36"/>
        <v>697000</v>
      </c>
      <c r="P117" s="70">
        <f t="shared" si="36"/>
        <v>705998730</v>
      </c>
      <c r="Q117" s="148"/>
    </row>
    <row r="118" spans="1:17" s="101" customFormat="1" ht="15">
      <c r="A118" s="100"/>
      <c r="B118" s="110"/>
      <c r="C118" s="51"/>
      <c r="D118" s="28" t="s">
        <v>41</v>
      </c>
      <c r="E118" s="70">
        <f>E121+E123+E138+E150+E171</f>
        <v>674494730</v>
      </c>
      <c r="F118" s="70">
        <f aca="true" t="shared" si="37" ref="F118:P118">F121+F123+F138+F150+F171</f>
        <v>674494730</v>
      </c>
      <c r="G118" s="70">
        <f t="shared" si="37"/>
        <v>0</v>
      </c>
      <c r="H118" s="70">
        <f t="shared" si="37"/>
        <v>0</v>
      </c>
      <c r="I118" s="70">
        <f t="shared" si="37"/>
        <v>0</v>
      </c>
      <c r="J118" s="70">
        <f t="shared" si="37"/>
        <v>0</v>
      </c>
      <c r="K118" s="70">
        <f t="shared" si="37"/>
        <v>0</v>
      </c>
      <c r="L118" s="70">
        <f t="shared" si="37"/>
        <v>0</v>
      </c>
      <c r="M118" s="70">
        <f t="shared" si="37"/>
        <v>0</v>
      </c>
      <c r="N118" s="70">
        <f t="shared" si="37"/>
        <v>0</v>
      </c>
      <c r="O118" s="70">
        <f t="shared" si="37"/>
        <v>0</v>
      </c>
      <c r="P118" s="70">
        <f t="shared" si="37"/>
        <v>674494730</v>
      </c>
      <c r="Q118" s="78"/>
    </row>
    <row r="119" spans="1:17" s="26" customFormat="1" ht="45" customHeight="1">
      <c r="A119" s="48"/>
      <c r="B119" s="57" t="s">
        <v>209</v>
      </c>
      <c r="C119" s="45" t="s">
        <v>9</v>
      </c>
      <c r="D119" s="49" t="s">
        <v>100</v>
      </c>
      <c r="E119" s="73">
        <f>F119+I119</f>
        <v>14394045</v>
      </c>
      <c r="F119" s="98">
        <f>15846830-1812790+360005</f>
        <v>14394045</v>
      </c>
      <c r="G119" s="98">
        <f>10990800-210790</f>
        <v>10780010</v>
      </c>
      <c r="H119" s="73">
        <v>369473</v>
      </c>
      <c r="I119" s="73"/>
      <c r="J119" s="73">
        <f>K119+N119</f>
        <v>200000</v>
      </c>
      <c r="K119" s="73"/>
      <c r="L119" s="73"/>
      <c r="M119" s="73"/>
      <c r="N119" s="73">
        <v>200000</v>
      </c>
      <c r="O119" s="73">
        <v>200000</v>
      </c>
      <c r="P119" s="73">
        <f>E119+J119</f>
        <v>14594045</v>
      </c>
      <c r="Q119" s="78"/>
    </row>
    <row r="120" spans="1:17" s="26" customFormat="1" ht="76.5" customHeight="1">
      <c r="A120" s="24"/>
      <c r="B120" s="36" t="s">
        <v>407</v>
      </c>
      <c r="C120" s="27" t="s">
        <v>408</v>
      </c>
      <c r="D120" s="28" t="s">
        <v>409</v>
      </c>
      <c r="E120" s="35">
        <f aca="true" t="shared" si="38" ref="E120:E139">F120+I120</f>
        <v>1678900</v>
      </c>
      <c r="F120" s="35">
        <v>1678900</v>
      </c>
      <c r="G120" s="35"/>
      <c r="H120" s="35"/>
      <c r="I120" s="35"/>
      <c r="J120" s="35"/>
      <c r="K120" s="35"/>
      <c r="L120" s="35"/>
      <c r="M120" s="35"/>
      <c r="N120" s="35"/>
      <c r="O120" s="35"/>
      <c r="P120" s="35">
        <f aca="true" t="shared" si="39" ref="P120:P136">E120+J120</f>
        <v>1678900</v>
      </c>
      <c r="Q120" s="78"/>
    </row>
    <row r="121" spans="1:17" s="26" customFormat="1" ht="20.25" customHeight="1">
      <c r="A121" s="24"/>
      <c r="B121" s="40"/>
      <c r="C121" s="27"/>
      <c r="D121" s="28" t="s">
        <v>41</v>
      </c>
      <c r="E121" s="35">
        <f t="shared" si="38"/>
        <v>1678900</v>
      </c>
      <c r="F121" s="35">
        <v>1678900</v>
      </c>
      <c r="G121" s="35"/>
      <c r="H121" s="35"/>
      <c r="I121" s="35"/>
      <c r="J121" s="35"/>
      <c r="K121" s="35"/>
      <c r="L121" s="35"/>
      <c r="M121" s="35"/>
      <c r="N121" s="35"/>
      <c r="O121" s="35"/>
      <c r="P121" s="35">
        <f t="shared" si="39"/>
        <v>1678900</v>
      </c>
      <c r="Q121" s="78"/>
    </row>
    <row r="122" spans="1:17" s="26" customFormat="1" ht="90">
      <c r="A122" s="24"/>
      <c r="B122" s="40">
        <v>1513010</v>
      </c>
      <c r="C122" s="27"/>
      <c r="D122" s="28" t="s">
        <v>410</v>
      </c>
      <c r="E122" s="35">
        <f>E124+E126+E129+E131+E133+E135</f>
        <v>412917900</v>
      </c>
      <c r="F122" s="35">
        <f aca="true" t="shared" si="40" ref="F122:P122">F124+F126+F129+F131+F133+F135</f>
        <v>412917900</v>
      </c>
      <c r="G122" s="35">
        <f t="shared" si="40"/>
        <v>0</v>
      </c>
      <c r="H122" s="35">
        <f t="shared" si="40"/>
        <v>0</v>
      </c>
      <c r="I122" s="35">
        <f t="shared" si="40"/>
        <v>0</v>
      </c>
      <c r="J122" s="35">
        <f t="shared" si="40"/>
        <v>0</v>
      </c>
      <c r="K122" s="35">
        <f t="shared" si="40"/>
        <v>0</v>
      </c>
      <c r="L122" s="35">
        <f t="shared" si="40"/>
        <v>0</v>
      </c>
      <c r="M122" s="35">
        <f t="shared" si="40"/>
        <v>0</v>
      </c>
      <c r="N122" s="35">
        <f t="shared" si="40"/>
        <v>0</v>
      </c>
      <c r="O122" s="35">
        <f t="shared" si="40"/>
        <v>0</v>
      </c>
      <c r="P122" s="35">
        <f t="shared" si="40"/>
        <v>412917900</v>
      </c>
      <c r="Q122" s="78"/>
    </row>
    <row r="123" spans="1:17" s="26" customFormat="1" ht="15">
      <c r="A123" s="24"/>
      <c r="B123" s="40"/>
      <c r="C123" s="27"/>
      <c r="D123" s="28" t="s">
        <v>41</v>
      </c>
      <c r="E123" s="35">
        <f>E125+E128+E130+E132+E134+E136</f>
        <v>412917900</v>
      </c>
      <c r="F123" s="35">
        <f aca="true" t="shared" si="41" ref="F123:P123">F125+F128+F130+F132+F134+F136</f>
        <v>412917900</v>
      </c>
      <c r="G123" s="35">
        <f t="shared" si="41"/>
        <v>0</v>
      </c>
      <c r="H123" s="35">
        <f t="shared" si="41"/>
        <v>0</v>
      </c>
      <c r="I123" s="35">
        <f t="shared" si="41"/>
        <v>0</v>
      </c>
      <c r="J123" s="35">
        <f t="shared" si="41"/>
        <v>0</v>
      </c>
      <c r="K123" s="35">
        <f t="shared" si="41"/>
        <v>0</v>
      </c>
      <c r="L123" s="35">
        <f t="shared" si="41"/>
        <v>0</v>
      </c>
      <c r="M123" s="35">
        <f t="shared" si="41"/>
        <v>0</v>
      </c>
      <c r="N123" s="35">
        <f t="shared" si="41"/>
        <v>0</v>
      </c>
      <c r="O123" s="35">
        <f t="shared" si="41"/>
        <v>0</v>
      </c>
      <c r="P123" s="35">
        <f t="shared" si="41"/>
        <v>412917900</v>
      </c>
      <c r="Q123" s="78"/>
    </row>
    <row r="124" spans="1:17" s="26" customFormat="1" ht="257.25" customHeight="1">
      <c r="A124" s="24"/>
      <c r="B124" s="82">
        <v>1513011</v>
      </c>
      <c r="C124" s="83" t="s">
        <v>411</v>
      </c>
      <c r="D124" s="84" t="s">
        <v>412</v>
      </c>
      <c r="E124" s="73">
        <f>F124+I124</f>
        <v>35619200</v>
      </c>
      <c r="F124" s="73">
        <v>35619200</v>
      </c>
      <c r="G124" s="73"/>
      <c r="H124" s="73"/>
      <c r="I124" s="73"/>
      <c r="J124" s="73"/>
      <c r="K124" s="73"/>
      <c r="L124" s="73"/>
      <c r="M124" s="73"/>
      <c r="N124" s="73"/>
      <c r="O124" s="73"/>
      <c r="P124" s="73">
        <f t="shared" si="39"/>
        <v>35619200</v>
      </c>
      <c r="Q124" s="78"/>
    </row>
    <row r="125" spans="1:17" s="26" customFormat="1" ht="24.75" customHeight="1">
      <c r="A125" s="24"/>
      <c r="B125" s="82"/>
      <c r="C125" s="83"/>
      <c r="D125" s="84" t="s">
        <v>41</v>
      </c>
      <c r="E125" s="73">
        <f>F125+I125</f>
        <v>35619200</v>
      </c>
      <c r="F125" s="73">
        <v>35619200</v>
      </c>
      <c r="G125" s="73"/>
      <c r="H125" s="73"/>
      <c r="I125" s="73"/>
      <c r="J125" s="73"/>
      <c r="K125" s="73"/>
      <c r="L125" s="73"/>
      <c r="M125" s="73"/>
      <c r="N125" s="73"/>
      <c r="O125" s="73"/>
      <c r="P125" s="73">
        <f t="shared" si="39"/>
        <v>35619200</v>
      </c>
      <c r="Q125" s="78"/>
    </row>
    <row r="126" spans="1:17" s="26" customFormat="1" ht="213" customHeight="1">
      <c r="A126" s="24"/>
      <c r="B126" s="112">
        <v>1513012</v>
      </c>
      <c r="C126" s="173" t="s">
        <v>413</v>
      </c>
      <c r="D126" s="126" t="s">
        <v>414</v>
      </c>
      <c r="E126" s="170">
        <f>F126+I126</f>
        <v>5469100</v>
      </c>
      <c r="F126" s="170">
        <v>5469100</v>
      </c>
      <c r="G126" s="127"/>
      <c r="H126" s="127"/>
      <c r="I126" s="127"/>
      <c r="J126" s="127"/>
      <c r="K126" s="127"/>
      <c r="L126" s="127"/>
      <c r="M126" s="127"/>
      <c r="N126" s="127"/>
      <c r="O126" s="127"/>
      <c r="P126" s="170">
        <f t="shared" si="39"/>
        <v>5469100</v>
      </c>
      <c r="Q126" s="78"/>
    </row>
    <row r="127" spans="1:17" s="26" customFormat="1" ht="300">
      <c r="A127" s="24"/>
      <c r="B127" s="172"/>
      <c r="C127" s="172"/>
      <c r="D127" s="128" t="s">
        <v>415</v>
      </c>
      <c r="E127" s="171"/>
      <c r="F127" s="171"/>
      <c r="G127" s="129"/>
      <c r="H127" s="129"/>
      <c r="I127" s="129"/>
      <c r="J127" s="129"/>
      <c r="K127" s="129"/>
      <c r="L127" s="129"/>
      <c r="M127" s="129"/>
      <c r="N127" s="129"/>
      <c r="O127" s="129"/>
      <c r="P127" s="171"/>
      <c r="Q127" s="78"/>
    </row>
    <row r="128" spans="1:17" s="26" customFormat="1" ht="15">
      <c r="A128" s="24"/>
      <c r="B128" s="82"/>
      <c r="C128" s="88"/>
      <c r="D128" s="84" t="s">
        <v>41</v>
      </c>
      <c r="E128" s="73">
        <f t="shared" si="38"/>
        <v>5469100</v>
      </c>
      <c r="F128" s="73">
        <v>5469100</v>
      </c>
      <c r="G128" s="73"/>
      <c r="H128" s="73"/>
      <c r="I128" s="73"/>
      <c r="J128" s="73"/>
      <c r="K128" s="73"/>
      <c r="L128" s="73"/>
      <c r="M128" s="73"/>
      <c r="N128" s="73"/>
      <c r="O128" s="73"/>
      <c r="P128" s="73">
        <f t="shared" si="39"/>
        <v>5469100</v>
      </c>
      <c r="Q128" s="78"/>
    </row>
    <row r="129" spans="1:17" s="26" customFormat="1" ht="112.5" customHeight="1">
      <c r="A129" s="24"/>
      <c r="B129" s="82">
        <v>1513013</v>
      </c>
      <c r="C129" s="83" t="s">
        <v>416</v>
      </c>
      <c r="D129" s="84" t="s">
        <v>417</v>
      </c>
      <c r="E129" s="73">
        <f t="shared" si="38"/>
        <v>4278400</v>
      </c>
      <c r="F129" s="73">
        <v>4278400</v>
      </c>
      <c r="G129" s="73"/>
      <c r="H129" s="73"/>
      <c r="I129" s="73"/>
      <c r="J129" s="73"/>
      <c r="K129" s="73"/>
      <c r="L129" s="73"/>
      <c r="M129" s="73"/>
      <c r="N129" s="73"/>
      <c r="O129" s="73"/>
      <c r="P129" s="73">
        <f t="shared" si="39"/>
        <v>4278400</v>
      </c>
      <c r="Q129" s="78"/>
    </row>
    <row r="130" spans="1:17" s="26" customFormat="1" ht="15">
      <c r="A130" s="24"/>
      <c r="B130" s="82"/>
      <c r="C130" s="83"/>
      <c r="D130" s="84" t="s">
        <v>41</v>
      </c>
      <c r="E130" s="73">
        <f t="shared" si="38"/>
        <v>4278400</v>
      </c>
      <c r="F130" s="73">
        <v>4278400</v>
      </c>
      <c r="G130" s="73"/>
      <c r="H130" s="73"/>
      <c r="I130" s="73"/>
      <c r="J130" s="73"/>
      <c r="K130" s="73"/>
      <c r="L130" s="73"/>
      <c r="M130" s="73"/>
      <c r="N130" s="73"/>
      <c r="O130" s="73"/>
      <c r="P130" s="73">
        <f t="shared" si="39"/>
        <v>4278400</v>
      </c>
      <c r="Q130" s="78"/>
    </row>
    <row r="131" spans="1:17" s="26" customFormat="1" ht="212.25" customHeight="1">
      <c r="A131" s="24"/>
      <c r="B131" s="82">
        <v>1513014</v>
      </c>
      <c r="C131" s="83" t="s">
        <v>418</v>
      </c>
      <c r="D131" s="84" t="s">
        <v>419</v>
      </c>
      <c r="E131" s="73">
        <f t="shared" si="38"/>
        <v>110300</v>
      </c>
      <c r="F131" s="73">
        <v>110300</v>
      </c>
      <c r="G131" s="73"/>
      <c r="H131" s="73"/>
      <c r="I131" s="73"/>
      <c r="J131" s="73"/>
      <c r="K131" s="73"/>
      <c r="L131" s="73"/>
      <c r="M131" s="73"/>
      <c r="N131" s="73"/>
      <c r="O131" s="73"/>
      <c r="P131" s="73">
        <f t="shared" si="39"/>
        <v>110300</v>
      </c>
      <c r="Q131" s="78"/>
    </row>
    <row r="132" spans="1:17" s="26" customFormat="1" ht="15">
      <c r="A132" s="24"/>
      <c r="B132" s="82"/>
      <c r="C132" s="83"/>
      <c r="D132" s="84" t="s">
        <v>41</v>
      </c>
      <c r="E132" s="73">
        <f t="shared" si="38"/>
        <v>110300</v>
      </c>
      <c r="F132" s="73">
        <v>110300</v>
      </c>
      <c r="G132" s="73"/>
      <c r="H132" s="73"/>
      <c r="I132" s="73"/>
      <c r="J132" s="73"/>
      <c r="K132" s="73"/>
      <c r="L132" s="73"/>
      <c r="M132" s="73"/>
      <c r="N132" s="73"/>
      <c r="O132" s="73"/>
      <c r="P132" s="73">
        <f t="shared" si="39"/>
        <v>110300</v>
      </c>
      <c r="Q132" s="78"/>
    </row>
    <row r="133" spans="1:17" s="26" customFormat="1" ht="30">
      <c r="A133" s="24"/>
      <c r="B133" s="82">
        <v>1513015</v>
      </c>
      <c r="C133" s="83" t="s">
        <v>420</v>
      </c>
      <c r="D133" s="84" t="s">
        <v>421</v>
      </c>
      <c r="E133" s="73">
        <f t="shared" si="38"/>
        <v>2195200</v>
      </c>
      <c r="F133" s="73">
        <v>2195200</v>
      </c>
      <c r="G133" s="73"/>
      <c r="H133" s="73"/>
      <c r="I133" s="73"/>
      <c r="J133" s="73"/>
      <c r="K133" s="73"/>
      <c r="L133" s="73"/>
      <c r="M133" s="73"/>
      <c r="N133" s="73"/>
      <c r="O133" s="73"/>
      <c r="P133" s="73">
        <f t="shared" si="39"/>
        <v>2195200</v>
      </c>
      <c r="Q133" s="78"/>
    </row>
    <row r="134" spans="1:17" s="26" customFormat="1" ht="15">
      <c r="A134" s="24"/>
      <c r="B134" s="82"/>
      <c r="C134" s="83"/>
      <c r="D134" s="84" t="s">
        <v>41</v>
      </c>
      <c r="E134" s="73">
        <f t="shared" si="38"/>
        <v>2195200</v>
      </c>
      <c r="F134" s="73">
        <v>2195200</v>
      </c>
      <c r="G134" s="73"/>
      <c r="H134" s="73"/>
      <c r="I134" s="73"/>
      <c r="J134" s="73"/>
      <c r="K134" s="73"/>
      <c r="L134" s="73"/>
      <c r="M134" s="73"/>
      <c r="N134" s="73"/>
      <c r="O134" s="73"/>
      <c r="P134" s="73">
        <f t="shared" si="39"/>
        <v>2195200</v>
      </c>
      <c r="Q134" s="78"/>
    </row>
    <row r="135" spans="1:17" s="26" customFormat="1" ht="45">
      <c r="A135" s="24"/>
      <c r="B135" s="82">
        <v>1513016</v>
      </c>
      <c r="C135" s="83" t="s">
        <v>422</v>
      </c>
      <c r="D135" s="84" t="s">
        <v>423</v>
      </c>
      <c r="E135" s="73">
        <f t="shared" si="38"/>
        <v>365245700</v>
      </c>
      <c r="F135" s="73">
        <v>365245700</v>
      </c>
      <c r="G135" s="73"/>
      <c r="H135" s="73"/>
      <c r="I135" s="73"/>
      <c r="J135" s="73"/>
      <c r="K135" s="73"/>
      <c r="L135" s="73"/>
      <c r="M135" s="73"/>
      <c r="N135" s="73"/>
      <c r="O135" s="73"/>
      <c r="P135" s="73">
        <f t="shared" si="39"/>
        <v>365245700</v>
      </c>
      <c r="Q135" s="78"/>
    </row>
    <row r="136" spans="1:17" s="26" customFormat="1" ht="15">
      <c r="A136" s="24"/>
      <c r="B136" s="82"/>
      <c r="C136" s="83"/>
      <c r="D136" s="84" t="s">
        <v>41</v>
      </c>
      <c r="E136" s="73">
        <f t="shared" si="38"/>
        <v>365245700</v>
      </c>
      <c r="F136" s="73">
        <v>365245700</v>
      </c>
      <c r="G136" s="73"/>
      <c r="H136" s="73"/>
      <c r="I136" s="73"/>
      <c r="J136" s="73"/>
      <c r="K136" s="73"/>
      <c r="L136" s="73"/>
      <c r="M136" s="73"/>
      <c r="N136" s="73"/>
      <c r="O136" s="73"/>
      <c r="P136" s="73">
        <f t="shared" si="39"/>
        <v>365245700</v>
      </c>
      <c r="Q136" s="78"/>
    </row>
    <row r="137" spans="1:17" s="26" customFormat="1" ht="40.5" customHeight="1">
      <c r="A137" s="24"/>
      <c r="B137" s="40">
        <v>1513020</v>
      </c>
      <c r="C137" s="89"/>
      <c r="D137" s="28" t="s">
        <v>424</v>
      </c>
      <c r="E137" s="35">
        <f>E139+E141+E143+E145</f>
        <v>104830</v>
      </c>
      <c r="F137" s="35">
        <f aca="true" t="shared" si="42" ref="F137:P137">F139+F141+F143+F145</f>
        <v>104830</v>
      </c>
      <c r="G137" s="35">
        <f t="shared" si="42"/>
        <v>0</v>
      </c>
      <c r="H137" s="35">
        <f t="shared" si="42"/>
        <v>0</v>
      </c>
      <c r="I137" s="35">
        <f t="shared" si="42"/>
        <v>0</v>
      </c>
      <c r="J137" s="35">
        <f t="shared" si="42"/>
        <v>0</v>
      </c>
      <c r="K137" s="35">
        <f t="shared" si="42"/>
        <v>0</v>
      </c>
      <c r="L137" s="35">
        <f t="shared" si="42"/>
        <v>0</v>
      </c>
      <c r="M137" s="35">
        <f t="shared" si="42"/>
        <v>0</v>
      </c>
      <c r="N137" s="35">
        <f t="shared" si="42"/>
        <v>0</v>
      </c>
      <c r="O137" s="35">
        <f t="shared" si="42"/>
        <v>0</v>
      </c>
      <c r="P137" s="35">
        <f t="shared" si="42"/>
        <v>104830</v>
      </c>
      <c r="Q137" s="78"/>
    </row>
    <row r="138" spans="1:17" s="26" customFormat="1" ht="15">
      <c r="A138" s="24"/>
      <c r="B138" s="40"/>
      <c r="C138" s="89"/>
      <c r="D138" s="28" t="s">
        <v>41</v>
      </c>
      <c r="E138" s="35">
        <f>E140+E142+E144+E146</f>
        <v>104830</v>
      </c>
      <c r="F138" s="35">
        <f aca="true" t="shared" si="43" ref="F138:P138">F140+F142+F144+F146</f>
        <v>104830</v>
      </c>
      <c r="G138" s="35">
        <f t="shared" si="43"/>
        <v>0</v>
      </c>
      <c r="H138" s="35">
        <f t="shared" si="43"/>
        <v>0</v>
      </c>
      <c r="I138" s="35">
        <f t="shared" si="43"/>
        <v>0</v>
      </c>
      <c r="J138" s="35">
        <f t="shared" si="43"/>
        <v>0</v>
      </c>
      <c r="K138" s="35">
        <f t="shared" si="43"/>
        <v>0</v>
      </c>
      <c r="L138" s="35">
        <f t="shared" si="43"/>
        <v>0</v>
      </c>
      <c r="M138" s="35">
        <f t="shared" si="43"/>
        <v>0</v>
      </c>
      <c r="N138" s="35">
        <f t="shared" si="43"/>
        <v>0</v>
      </c>
      <c r="O138" s="35">
        <f t="shared" si="43"/>
        <v>0</v>
      </c>
      <c r="P138" s="35">
        <f t="shared" si="43"/>
        <v>104830</v>
      </c>
      <c r="Q138" s="78"/>
    </row>
    <row r="139" spans="1:17" s="26" customFormat="1" ht="231.75" customHeight="1">
      <c r="A139" s="24"/>
      <c r="B139" s="82">
        <v>1513021</v>
      </c>
      <c r="C139" s="83" t="s">
        <v>425</v>
      </c>
      <c r="D139" s="84" t="s">
        <v>426</v>
      </c>
      <c r="E139" s="73">
        <f t="shared" si="38"/>
        <v>16975</v>
      </c>
      <c r="F139" s="73">
        <v>16975</v>
      </c>
      <c r="G139" s="73"/>
      <c r="H139" s="73"/>
      <c r="I139" s="73"/>
      <c r="J139" s="73"/>
      <c r="K139" s="73"/>
      <c r="L139" s="73"/>
      <c r="M139" s="73"/>
      <c r="N139" s="73"/>
      <c r="O139" s="73"/>
      <c r="P139" s="73">
        <f aca="true" t="shared" si="44" ref="P139:P145">F139+J139</f>
        <v>16975</v>
      </c>
      <c r="Q139" s="78"/>
    </row>
    <row r="140" spans="1:17" s="26" customFormat="1" ht="15">
      <c r="A140" s="24"/>
      <c r="B140" s="82"/>
      <c r="C140" s="83"/>
      <c r="D140" s="84" t="s">
        <v>41</v>
      </c>
      <c r="E140" s="73">
        <f>F140+I140</f>
        <v>16975</v>
      </c>
      <c r="F140" s="73">
        <v>16975</v>
      </c>
      <c r="G140" s="73"/>
      <c r="H140" s="73"/>
      <c r="I140" s="73"/>
      <c r="J140" s="73"/>
      <c r="K140" s="73"/>
      <c r="L140" s="73"/>
      <c r="M140" s="73"/>
      <c r="N140" s="73"/>
      <c r="O140" s="73"/>
      <c r="P140" s="73">
        <f t="shared" si="44"/>
        <v>16975</v>
      </c>
      <c r="Q140" s="78"/>
    </row>
    <row r="141" spans="1:17" s="26" customFormat="1" ht="120">
      <c r="A141" s="24"/>
      <c r="B141" s="82">
        <v>1513023</v>
      </c>
      <c r="C141" s="83" t="s">
        <v>432</v>
      </c>
      <c r="D141" s="84" t="s">
        <v>431</v>
      </c>
      <c r="E141" s="73">
        <f>F141-I141</f>
        <v>788</v>
      </c>
      <c r="F141" s="73">
        <v>788</v>
      </c>
      <c r="G141" s="73"/>
      <c r="H141" s="73"/>
      <c r="I141" s="73"/>
      <c r="J141" s="73"/>
      <c r="K141" s="73"/>
      <c r="L141" s="73"/>
      <c r="M141" s="73"/>
      <c r="N141" s="73"/>
      <c r="O141" s="73"/>
      <c r="P141" s="73">
        <f t="shared" si="44"/>
        <v>788</v>
      </c>
      <c r="Q141" s="78"/>
    </row>
    <row r="142" spans="1:17" s="26" customFormat="1" ht="15">
      <c r="A142" s="24"/>
      <c r="B142" s="82"/>
      <c r="C142" s="83"/>
      <c r="D142" s="84" t="s">
        <v>41</v>
      </c>
      <c r="E142" s="73">
        <f>F142-I142</f>
        <v>788</v>
      </c>
      <c r="F142" s="73">
        <v>788</v>
      </c>
      <c r="G142" s="73"/>
      <c r="H142" s="73"/>
      <c r="I142" s="73"/>
      <c r="J142" s="73"/>
      <c r="K142" s="73"/>
      <c r="L142" s="73"/>
      <c r="M142" s="73"/>
      <c r="N142" s="73"/>
      <c r="O142" s="73"/>
      <c r="P142" s="73">
        <f t="shared" si="44"/>
        <v>788</v>
      </c>
      <c r="Q142" s="78"/>
    </row>
    <row r="143" spans="1:17" s="26" customFormat="1" ht="45" customHeight="1">
      <c r="A143" s="24"/>
      <c r="B143" s="82">
        <v>1513025</v>
      </c>
      <c r="C143" s="90" t="s">
        <v>427</v>
      </c>
      <c r="D143" s="84" t="s">
        <v>428</v>
      </c>
      <c r="E143" s="73">
        <f>F143+I143</f>
        <v>4412</v>
      </c>
      <c r="F143" s="73">
        <v>4412</v>
      </c>
      <c r="G143" s="73"/>
      <c r="H143" s="73"/>
      <c r="I143" s="73"/>
      <c r="J143" s="73"/>
      <c r="K143" s="73"/>
      <c r="L143" s="73"/>
      <c r="M143" s="73"/>
      <c r="N143" s="73"/>
      <c r="O143" s="73"/>
      <c r="P143" s="73">
        <f t="shared" si="44"/>
        <v>4412</v>
      </c>
      <c r="Q143" s="78"/>
    </row>
    <row r="144" spans="1:17" s="26" customFormat="1" ht="15">
      <c r="A144" s="24"/>
      <c r="B144" s="82"/>
      <c r="C144" s="90"/>
      <c r="D144" s="84" t="s">
        <v>41</v>
      </c>
      <c r="E144" s="73">
        <f>F144+I144</f>
        <v>4412</v>
      </c>
      <c r="F144" s="73">
        <v>4412</v>
      </c>
      <c r="G144" s="73"/>
      <c r="H144" s="73"/>
      <c r="I144" s="73"/>
      <c r="J144" s="73"/>
      <c r="K144" s="73"/>
      <c r="L144" s="73"/>
      <c r="M144" s="73"/>
      <c r="N144" s="73"/>
      <c r="O144" s="73"/>
      <c r="P144" s="73">
        <f t="shared" si="44"/>
        <v>4412</v>
      </c>
      <c r="Q144" s="78"/>
    </row>
    <row r="145" spans="1:17" s="26" customFormat="1" ht="60">
      <c r="A145" s="24"/>
      <c r="B145" s="82">
        <v>1513026</v>
      </c>
      <c r="C145" s="83" t="s">
        <v>429</v>
      </c>
      <c r="D145" s="84" t="s">
        <v>430</v>
      </c>
      <c r="E145" s="73">
        <f>F145+I145</f>
        <v>82655</v>
      </c>
      <c r="F145" s="73">
        <v>82655</v>
      </c>
      <c r="G145" s="73"/>
      <c r="H145" s="73"/>
      <c r="I145" s="73"/>
      <c r="J145" s="73"/>
      <c r="K145" s="73"/>
      <c r="L145" s="73"/>
      <c r="M145" s="73"/>
      <c r="N145" s="73"/>
      <c r="O145" s="73"/>
      <c r="P145" s="73">
        <f t="shared" si="44"/>
        <v>82655</v>
      </c>
      <c r="Q145" s="78"/>
    </row>
    <row r="146" spans="1:17" s="26" customFormat="1" ht="15">
      <c r="A146" s="24"/>
      <c r="B146" s="82"/>
      <c r="C146" s="83"/>
      <c r="D146" s="84" t="s">
        <v>41</v>
      </c>
      <c r="E146" s="73">
        <f>F146+I146</f>
        <v>82655</v>
      </c>
      <c r="F146" s="73">
        <v>82655</v>
      </c>
      <c r="G146" s="73"/>
      <c r="H146" s="73"/>
      <c r="I146" s="73"/>
      <c r="J146" s="73"/>
      <c r="K146" s="73"/>
      <c r="L146" s="73"/>
      <c r="M146" s="73"/>
      <c r="N146" s="73"/>
      <c r="O146" s="73"/>
      <c r="P146" s="73">
        <f>F146+J146</f>
        <v>82655</v>
      </c>
      <c r="Q146" s="78"/>
    </row>
    <row r="147" spans="1:18" s="44" customFormat="1" ht="210">
      <c r="A147" s="55"/>
      <c r="B147" s="40">
        <v>1513030</v>
      </c>
      <c r="D147" s="28" t="s">
        <v>210</v>
      </c>
      <c r="E147" s="47">
        <f>E148</f>
        <v>130000</v>
      </c>
      <c r="F147" s="47">
        <f aca="true" t="shared" si="45" ref="F147:P147">F148</f>
        <v>130000</v>
      </c>
      <c r="G147" s="47">
        <f t="shared" si="45"/>
        <v>0</v>
      </c>
      <c r="H147" s="47">
        <f t="shared" si="45"/>
        <v>0</v>
      </c>
      <c r="I147" s="47">
        <f t="shared" si="45"/>
        <v>0</v>
      </c>
      <c r="J147" s="47">
        <f t="shared" si="45"/>
        <v>0</v>
      </c>
      <c r="K147" s="47">
        <f t="shared" si="45"/>
        <v>0</v>
      </c>
      <c r="L147" s="47">
        <f t="shared" si="45"/>
        <v>0</v>
      </c>
      <c r="M147" s="47">
        <f t="shared" si="45"/>
        <v>0</v>
      </c>
      <c r="N147" s="47">
        <f t="shared" si="45"/>
        <v>0</v>
      </c>
      <c r="O147" s="47">
        <f t="shared" si="45"/>
        <v>0</v>
      </c>
      <c r="P147" s="47">
        <f t="shared" si="45"/>
        <v>130000</v>
      </c>
      <c r="Q147" s="78"/>
      <c r="R147" s="56"/>
    </row>
    <row r="148" spans="1:17" s="87" customFormat="1" ht="45">
      <c r="A148" s="85"/>
      <c r="B148" s="82">
        <v>1513038</v>
      </c>
      <c r="C148" s="83" t="s">
        <v>72</v>
      </c>
      <c r="D148" s="84" t="s">
        <v>73</v>
      </c>
      <c r="E148" s="64">
        <f>F148+I148</f>
        <v>130000</v>
      </c>
      <c r="F148" s="64">
        <v>130000</v>
      </c>
      <c r="G148" s="70"/>
      <c r="H148" s="70"/>
      <c r="I148" s="70"/>
      <c r="J148" s="71">
        <f>K148+N148</f>
        <v>0</v>
      </c>
      <c r="K148" s="70"/>
      <c r="L148" s="70"/>
      <c r="M148" s="70"/>
      <c r="N148" s="70"/>
      <c r="O148" s="70"/>
      <c r="P148" s="64">
        <f>E148+J148</f>
        <v>130000</v>
      </c>
      <c r="Q148" s="78"/>
    </row>
    <row r="149" spans="1:17" s="87" customFormat="1" ht="60">
      <c r="A149" s="85"/>
      <c r="B149" s="130">
        <v>1513040</v>
      </c>
      <c r="C149" s="116"/>
      <c r="D149" s="49" t="s">
        <v>386</v>
      </c>
      <c r="E149" s="73">
        <f>E151+E153+E155+E157+E159+E161+E163+E165+E167</f>
        <v>252564100</v>
      </c>
      <c r="F149" s="73">
        <f aca="true" t="shared" si="46" ref="F149:P149">F151+F153+F155+F157+F159+F161+F163+F165+F167</f>
        <v>252564100</v>
      </c>
      <c r="G149" s="73">
        <f t="shared" si="46"/>
        <v>0</v>
      </c>
      <c r="H149" s="73">
        <f t="shared" si="46"/>
        <v>0</v>
      </c>
      <c r="I149" s="73">
        <f t="shared" si="46"/>
        <v>0</v>
      </c>
      <c r="J149" s="73">
        <f t="shared" si="46"/>
        <v>0</v>
      </c>
      <c r="K149" s="73">
        <f t="shared" si="46"/>
        <v>0</v>
      </c>
      <c r="L149" s="73">
        <f t="shared" si="46"/>
        <v>0</v>
      </c>
      <c r="M149" s="73">
        <f t="shared" si="46"/>
        <v>0</v>
      </c>
      <c r="N149" s="73">
        <f t="shared" si="46"/>
        <v>0</v>
      </c>
      <c r="O149" s="73">
        <f t="shared" si="46"/>
        <v>0</v>
      </c>
      <c r="P149" s="73">
        <f t="shared" si="46"/>
        <v>252564100</v>
      </c>
      <c r="Q149" s="78"/>
    </row>
    <row r="150" spans="1:17" s="87" customFormat="1" ht="15">
      <c r="A150" s="85"/>
      <c r="B150" s="116"/>
      <c r="C150" s="116"/>
      <c r="D150" s="49" t="s">
        <v>41</v>
      </c>
      <c r="E150" s="73">
        <f>E152+E154+E156+E158+E160+E162+E164+E166+E168</f>
        <v>252564100</v>
      </c>
      <c r="F150" s="73">
        <f aca="true" t="shared" si="47" ref="F150:P150">F152+F154+F156+F158+F160+F162+F164+F166+F168</f>
        <v>252564100</v>
      </c>
      <c r="G150" s="73">
        <f t="shared" si="47"/>
        <v>0</v>
      </c>
      <c r="H150" s="73">
        <f t="shared" si="47"/>
        <v>0</v>
      </c>
      <c r="I150" s="73">
        <f t="shared" si="47"/>
        <v>0</v>
      </c>
      <c r="J150" s="73">
        <f t="shared" si="47"/>
        <v>0</v>
      </c>
      <c r="K150" s="73">
        <f t="shared" si="47"/>
        <v>0</v>
      </c>
      <c r="L150" s="73">
        <f t="shared" si="47"/>
        <v>0</v>
      </c>
      <c r="M150" s="73">
        <f t="shared" si="47"/>
        <v>0</v>
      </c>
      <c r="N150" s="73">
        <f t="shared" si="47"/>
        <v>0</v>
      </c>
      <c r="O150" s="73">
        <f t="shared" si="47"/>
        <v>0</v>
      </c>
      <c r="P150" s="73">
        <f t="shared" si="47"/>
        <v>252564100</v>
      </c>
      <c r="Q150" s="78"/>
    </row>
    <row r="151" spans="1:17" s="87" customFormat="1" ht="30">
      <c r="A151" s="85"/>
      <c r="B151" s="82">
        <v>1513041</v>
      </c>
      <c r="C151" s="83" t="s">
        <v>387</v>
      </c>
      <c r="D151" s="84" t="s">
        <v>388</v>
      </c>
      <c r="E151" s="64">
        <f aca="true" t="shared" si="48" ref="E151:E168">F151+I151</f>
        <v>2957400</v>
      </c>
      <c r="F151" s="64">
        <v>2957400</v>
      </c>
      <c r="G151" s="70"/>
      <c r="H151" s="70"/>
      <c r="I151" s="70"/>
      <c r="J151" s="71"/>
      <c r="K151" s="70"/>
      <c r="L151" s="70"/>
      <c r="M151" s="70"/>
      <c r="N151" s="70"/>
      <c r="O151" s="70"/>
      <c r="P151" s="64">
        <f aca="true" t="shared" si="49" ref="P151:P166">E151+J151</f>
        <v>2957400</v>
      </c>
      <c r="Q151" s="86"/>
    </row>
    <row r="152" spans="1:17" s="87" customFormat="1" ht="15">
      <c r="A152" s="85"/>
      <c r="B152" s="82"/>
      <c r="C152" s="83"/>
      <c r="D152" s="84" t="s">
        <v>41</v>
      </c>
      <c r="E152" s="64">
        <f t="shared" si="48"/>
        <v>2957400</v>
      </c>
      <c r="F152" s="64">
        <v>2957400</v>
      </c>
      <c r="G152" s="70"/>
      <c r="H152" s="70"/>
      <c r="I152" s="70"/>
      <c r="J152" s="71"/>
      <c r="K152" s="70"/>
      <c r="L152" s="70"/>
      <c r="M152" s="70"/>
      <c r="N152" s="70"/>
      <c r="O152" s="70"/>
      <c r="P152" s="64">
        <f t="shared" si="49"/>
        <v>2957400</v>
      </c>
      <c r="Q152" s="86"/>
    </row>
    <row r="153" spans="1:17" s="87" customFormat="1" ht="30">
      <c r="A153" s="85"/>
      <c r="B153" s="82">
        <v>1513042</v>
      </c>
      <c r="C153" s="83" t="s">
        <v>389</v>
      </c>
      <c r="D153" s="84" t="s">
        <v>390</v>
      </c>
      <c r="E153" s="64">
        <f t="shared" si="48"/>
        <v>2340000</v>
      </c>
      <c r="F153" s="64">
        <v>2340000</v>
      </c>
      <c r="G153" s="70"/>
      <c r="H153" s="70"/>
      <c r="I153" s="70"/>
      <c r="J153" s="71"/>
      <c r="K153" s="70"/>
      <c r="L153" s="70"/>
      <c r="M153" s="70"/>
      <c r="N153" s="70"/>
      <c r="O153" s="70"/>
      <c r="P153" s="64">
        <f t="shared" si="49"/>
        <v>2340000</v>
      </c>
      <c r="Q153" s="86"/>
    </row>
    <row r="154" spans="1:17" s="87" customFormat="1" ht="15">
      <c r="A154" s="85"/>
      <c r="B154" s="82"/>
      <c r="C154" s="83"/>
      <c r="D154" s="84" t="s">
        <v>41</v>
      </c>
      <c r="E154" s="64">
        <f t="shared" si="48"/>
        <v>2340000</v>
      </c>
      <c r="F154" s="64">
        <v>2340000</v>
      </c>
      <c r="G154" s="70"/>
      <c r="H154" s="70"/>
      <c r="I154" s="70"/>
      <c r="J154" s="71"/>
      <c r="K154" s="70"/>
      <c r="L154" s="70"/>
      <c r="M154" s="70"/>
      <c r="N154" s="70"/>
      <c r="O154" s="70"/>
      <c r="P154" s="64">
        <f t="shared" si="49"/>
        <v>2340000</v>
      </c>
      <c r="Q154" s="86"/>
    </row>
    <row r="155" spans="1:17" s="87" customFormat="1" ht="30">
      <c r="A155" s="85"/>
      <c r="B155" s="82">
        <v>1513043</v>
      </c>
      <c r="C155" s="83" t="s">
        <v>391</v>
      </c>
      <c r="D155" s="84" t="s">
        <v>392</v>
      </c>
      <c r="E155" s="64">
        <f t="shared" si="48"/>
        <v>132914300</v>
      </c>
      <c r="F155" s="64">
        <v>132914300</v>
      </c>
      <c r="G155" s="70"/>
      <c r="H155" s="70"/>
      <c r="I155" s="70"/>
      <c r="J155" s="71"/>
      <c r="K155" s="70"/>
      <c r="L155" s="70"/>
      <c r="M155" s="70"/>
      <c r="N155" s="70"/>
      <c r="O155" s="70"/>
      <c r="P155" s="64">
        <f t="shared" si="49"/>
        <v>132914300</v>
      </c>
      <c r="Q155" s="86"/>
    </row>
    <row r="156" spans="1:17" s="87" customFormat="1" ht="15">
      <c r="A156" s="85"/>
      <c r="B156" s="82"/>
      <c r="C156" s="83"/>
      <c r="D156" s="84" t="s">
        <v>41</v>
      </c>
      <c r="E156" s="64">
        <f t="shared" si="48"/>
        <v>132914300</v>
      </c>
      <c r="F156" s="64">
        <v>132914300</v>
      </c>
      <c r="G156" s="70"/>
      <c r="H156" s="70"/>
      <c r="I156" s="70"/>
      <c r="J156" s="71"/>
      <c r="K156" s="70"/>
      <c r="L156" s="70"/>
      <c r="M156" s="70"/>
      <c r="N156" s="70"/>
      <c r="O156" s="70"/>
      <c r="P156" s="64">
        <f t="shared" si="49"/>
        <v>132914300</v>
      </c>
      <c r="Q156" s="86"/>
    </row>
    <row r="157" spans="1:17" s="87" customFormat="1" ht="30">
      <c r="A157" s="85"/>
      <c r="B157" s="82">
        <v>1513044</v>
      </c>
      <c r="C157" s="83" t="s">
        <v>393</v>
      </c>
      <c r="D157" s="84" t="s">
        <v>394</v>
      </c>
      <c r="E157" s="64">
        <f t="shared" si="48"/>
        <v>4769000</v>
      </c>
      <c r="F157" s="64">
        <v>4769000</v>
      </c>
      <c r="G157" s="70"/>
      <c r="H157" s="70"/>
      <c r="I157" s="70"/>
      <c r="J157" s="71"/>
      <c r="K157" s="70"/>
      <c r="L157" s="70"/>
      <c r="M157" s="70"/>
      <c r="N157" s="70"/>
      <c r="O157" s="70"/>
      <c r="P157" s="64">
        <f t="shared" si="49"/>
        <v>4769000</v>
      </c>
      <c r="Q157" s="86"/>
    </row>
    <row r="158" spans="1:17" s="87" customFormat="1" ht="15">
      <c r="A158" s="85"/>
      <c r="B158" s="82"/>
      <c r="C158" s="83"/>
      <c r="D158" s="84" t="s">
        <v>41</v>
      </c>
      <c r="E158" s="64">
        <f t="shared" si="48"/>
        <v>4769000</v>
      </c>
      <c r="F158" s="64">
        <v>4769000</v>
      </c>
      <c r="G158" s="70"/>
      <c r="H158" s="70"/>
      <c r="I158" s="70"/>
      <c r="J158" s="71"/>
      <c r="K158" s="70"/>
      <c r="L158" s="70"/>
      <c r="M158" s="70"/>
      <c r="N158" s="70"/>
      <c r="O158" s="70"/>
      <c r="P158" s="64">
        <f t="shared" si="49"/>
        <v>4769000</v>
      </c>
      <c r="Q158" s="86"/>
    </row>
    <row r="159" spans="1:17" s="87" customFormat="1" ht="30">
      <c r="A159" s="85"/>
      <c r="B159" s="82">
        <v>1513045</v>
      </c>
      <c r="C159" s="83" t="s">
        <v>395</v>
      </c>
      <c r="D159" s="84" t="s">
        <v>396</v>
      </c>
      <c r="E159" s="64">
        <f t="shared" si="48"/>
        <v>22750500</v>
      </c>
      <c r="F159" s="64">
        <v>22750500</v>
      </c>
      <c r="G159" s="70"/>
      <c r="H159" s="70"/>
      <c r="I159" s="70"/>
      <c r="J159" s="71"/>
      <c r="K159" s="70"/>
      <c r="L159" s="70"/>
      <c r="M159" s="70"/>
      <c r="N159" s="70"/>
      <c r="O159" s="70"/>
      <c r="P159" s="64">
        <f t="shared" si="49"/>
        <v>22750500</v>
      </c>
      <c r="Q159" s="86"/>
    </row>
    <row r="160" spans="1:17" s="87" customFormat="1" ht="15">
      <c r="A160" s="85"/>
      <c r="B160" s="82"/>
      <c r="C160" s="83"/>
      <c r="D160" s="84" t="s">
        <v>41</v>
      </c>
      <c r="E160" s="64">
        <f t="shared" si="48"/>
        <v>22750500</v>
      </c>
      <c r="F160" s="64">
        <v>22750500</v>
      </c>
      <c r="G160" s="70"/>
      <c r="H160" s="70"/>
      <c r="I160" s="70"/>
      <c r="J160" s="71"/>
      <c r="K160" s="70"/>
      <c r="L160" s="70"/>
      <c r="M160" s="70"/>
      <c r="N160" s="70"/>
      <c r="O160" s="70"/>
      <c r="P160" s="64">
        <f t="shared" si="49"/>
        <v>22750500</v>
      </c>
      <c r="Q160" s="86"/>
    </row>
    <row r="161" spans="1:17" s="87" customFormat="1" ht="30">
      <c r="A161" s="85"/>
      <c r="B161" s="82">
        <v>1513046</v>
      </c>
      <c r="C161" s="83" t="s">
        <v>397</v>
      </c>
      <c r="D161" s="84" t="s">
        <v>398</v>
      </c>
      <c r="E161" s="64">
        <f t="shared" si="48"/>
        <v>2174200</v>
      </c>
      <c r="F161" s="64">
        <v>2174200</v>
      </c>
      <c r="G161" s="70"/>
      <c r="H161" s="70"/>
      <c r="I161" s="70"/>
      <c r="J161" s="71"/>
      <c r="K161" s="70"/>
      <c r="L161" s="70"/>
      <c r="M161" s="70"/>
      <c r="N161" s="70"/>
      <c r="O161" s="70"/>
      <c r="P161" s="64">
        <f t="shared" si="49"/>
        <v>2174200</v>
      </c>
      <c r="Q161" s="86"/>
    </row>
    <row r="162" spans="1:17" s="87" customFormat="1" ht="15">
      <c r="A162" s="85"/>
      <c r="B162" s="82"/>
      <c r="C162" s="83"/>
      <c r="D162" s="84" t="s">
        <v>41</v>
      </c>
      <c r="E162" s="64">
        <f t="shared" si="48"/>
        <v>2174200</v>
      </c>
      <c r="F162" s="64">
        <v>2174200</v>
      </c>
      <c r="G162" s="70"/>
      <c r="H162" s="70"/>
      <c r="I162" s="70"/>
      <c r="J162" s="71"/>
      <c r="K162" s="70"/>
      <c r="L162" s="70"/>
      <c r="M162" s="70"/>
      <c r="N162" s="70"/>
      <c r="O162" s="70"/>
      <c r="P162" s="64">
        <f t="shared" si="49"/>
        <v>2174200</v>
      </c>
      <c r="Q162" s="86"/>
    </row>
    <row r="163" spans="1:17" s="87" customFormat="1" ht="30">
      <c r="A163" s="85"/>
      <c r="B163" s="82">
        <v>1513047</v>
      </c>
      <c r="C163" s="83" t="s">
        <v>399</v>
      </c>
      <c r="D163" s="84" t="s">
        <v>400</v>
      </c>
      <c r="E163" s="64">
        <f t="shared" si="48"/>
        <v>312200</v>
      </c>
      <c r="F163" s="64">
        <v>312200</v>
      </c>
      <c r="G163" s="70"/>
      <c r="H163" s="70"/>
      <c r="I163" s="70"/>
      <c r="J163" s="71"/>
      <c r="K163" s="70"/>
      <c r="L163" s="70"/>
      <c r="M163" s="70"/>
      <c r="N163" s="70"/>
      <c r="O163" s="70"/>
      <c r="P163" s="64">
        <f t="shared" si="49"/>
        <v>312200</v>
      </c>
      <c r="Q163" s="86"/>
    </row>
    <row r="164" spans="1:17" s="87" customFormat="1" ht="15">
      <c r="A164" s="85"/>
      <c r="B164" s="82"/>
      <c r="C164" s="83"/>
      <c r="D164" s="84" t="s">
        <v>41</v>
      </c>
      <c r="E164" s="64">
        <f t="shared" si="48"/>
        <v>312200</v>
      </c>
      <c r="F164" s="64">
        <v>312200</v>
      </c>
      <c r="G164" s="70"/>
      <c r="H164" s="70"/>
      <c r="I164" s="70"/>
      <c r="J164" s="71"/>
      <c r="K164" s="70"/>
      <c r="L164" s="70"/>
      <c r="M164" s="70"/>
      <c r="N164" s="70"/>
      <c r="O164" s="70"/>
      <c r="P164" s="64">
        <f t="shared" si="49"/>
        <v>312200</v>
      </c>
      <c r="Q164" s="86"/>
    </row>
    <row r="165" spans="1:17" s="87" customFormat="1" ht="30">
      <c r="A165" s="85"/>
      <c r="B165" s="82">
        <v>1513048</v>
      </c>
      <c r="C165" s="83" t="s">
        <v>401</v>
      </c>
      <c r="D165" s="84" t="s">
        <v>402</v>
      </c>
      <c r="E165" s="64">
        <f t="shared" si="48"/>
        <v>41101000</v>
      </c>
      <c r="F165" s="64">
        <v>41101000</v>
      </c>
      <c r="G165" s="70"/>
      <c r="H165" s="70"/>
      <c r="I165" s="70"/>
      <c r="J165" s="71"/>
      <c r="K165" s="70"/>
      <c r="L165" s="70"/>
      <c r="M165" s="70"/>
      <c r="N165" s="70"/>
      <c r="O165" s="70"/>
      <c r="P165" s="64">
        <f t="shared" si="49"/>
        <v>41101000</v>
      </c>
      <c r="Q165" s="86"/>
    </row>
    <row r="166" spans="1:17" s="87" customFormat="1" ht="15">
      <c r="A166" s="85"/>
      <c r="B166" s="82"/>
      <c r="C166" s="83"/>
      <c r="D166" s="84" t="s">
        <v>41</v>
      </c>
      <c r="E166" s="64">
        <f t="shared" si="48"/>
        <v>41101000</v>
      </c>
      <c r="F166" s="64">
        <v>41101000</v>
      </c>
      <c r="G166" s="70"/>
      <c r="H166" s="70"/>
      <c r="I166" s="70"/>
      <c r="J166" s="71"/>
      <c r="K166" s="70"/>
      <c r="L166" s="70"/>
      <c r="M166" s="70"/>
      <c r="N166" s="70"/>
      <c r="O166" s="70"/>
      <c r="P166" s="64">
        <f t="shared" si="49"/>
        <v>41101000</v>
      </c>
      <c r="Q166" s="86"/>
    </row>
    <row r="167" spans="1:17" s="87" customFormat="1" ht="45">
      <c r="A167" s="85"/>
      <c r="B167" s="82">
        <v>1513049</v>
      </c>
      <c r="C167" s="83" t="s">
        <v>403</v>
      </c>
      <c r="D167" s="84" t="s">
        <v>404</v>
      </c>
      <c r="E167" s="64">
        <f t="shared" si="48"/>
        <v>43245500</v>
      </c>
      <c r="F167" s="64">
        <v>43245500</v>
      </c>
      <c r="G167" s="70"/>
      <c r="H167" s="70"/>
      <c r="I167" s="70"/>
      <c r="J167" s="71"/>
      <c r="K167" s="70"/>
      <c r="L167" s="70"/>
      <c r="M167" s="70"/>
      <c r="N167" s="70"/>
      <c r="O167" s="70"/>
      <c r="P167" s="64">
        <f aca="true" t="shared" si="50" ref="P167:P172">E167+J167</f>
        <v>43245500</v>
      </c>
      <c r="Q167" s="86"/>
    </row>
    <row r="168" spans="1:17" s="87" customFormat="1" ht="15">
      <c r="A168" s="85"/>
      <c r="B168" s="82"/>
      <c r="C168" s="83"/>
      <c r="D168" s="84" t="s">
        <v>41</v>
      </c>
      <c r="E168" s="64">
        <f t="shared" si="48"/>
        <v>43245500</v>
      </c>
      <c r="F168" s="64">
        <v>43245500</v>
      </c>
      <c r="G168" s="70"/>
      <c r="H168" s="70"/>
      <c r="I168" s="70"/>
      <c r="J168" s="71"/>
      <c r="K168" s="70"/>
      <c r="L168" s="70"/>
      <c r="M168" s="70"/>
      <c r="N168" s="70"/>
      <c r="O168" s="70"/>
      <c r="P168" s="64">
        <f t="shared" si="50"/>
        <v>43245500</v>
      </c>
      <c r="Q168" s="86"/>
    </row>
    <row r="169" spans="1:17" s="26" customFormat="1" ht="45">
      <c r="A169" s="48"/>
      <c r="B169" s="54">
        <v>1513050</v>
      </c>
      <c r="C169" s="45" t="s">
        <v>63</v>
      </c>
      <c r="D169" s="49" t="s">
        <v>211</v>
      </c>
      <c r="E169" s="73">
        <f>F169+I169</f>
        <v>632700</v>
      </c>
      <c r="F169" s="98">
        <f>250000+382700</f>
        <v>632700</v>
      </c>
      <c r="G169" s="73"/>
      <c r="H169" s="73"/>
      <c r="I169" s="73"/>
      <c r="J169" s="131">
        <f>K169+N169</f>
        <v>0</v>
      </c>
      <c r="K169" s="73"/>
      <c r="L169" s="73"/>
      <c r="M169" s="73"/>
      <c r="N169" s="73"/>
      <c r="O169" s="73"/>
      <c r="P169" s="73">
        <f t="shared" si="50"/>
        <v>632700</v>
      </c>
      <c r="Q169" s="148"/>
    </row>
    <row r="170" spans="1:17" s="26" customFormat="1" ht="30">
      <c r="A170" s="24"/>
      <c r="B170" s="96">
        <v>1513080</v>
      </c>
      <c r="C170" s="27" t="s">
        <v>405</v>
      </c>
      <c r="D170" s="28" t="s">
        <v>406</v>
      </c>
      <c r="E170" s="35">
        <f>F170+I170</f>
        <v>7229000</v>
      </c>
      <c r="F170" s="35">
        <v>7229000</v>
      </c>
      <c r="G170" s="35"/>
      <c r="H170" s="35"/>
      <c r="I170" s="35"/>
      <c r="J170" s="72"/>
      <c r="K170" s="35"/>
      <c r="L170" s="35"/>
      <c r="M170" s="35"/>
      <c r="N170" s="35"/>
      <c r="O170" s="35"/>
      <c r="P170" s="35">
        <f t="shared" si="50"/>
        <v>7229000</v>
      </c>
      <c r="Q170" s="148"/>
    </row>
    <row r="171" spans="1:17" s="26" customFormat="1" ht="15">
      <c r="A171" s="24"/>
      <c r="B171" s="96"/>
      <c r="C171" s="27"/>
      <c r="D171" s="28" t="s">
        <v>41</v>
      </c>
      <c r="E171" s="35">
        <f>F171+I171</f>
        <v>7229000</v>
      </c>
      <c r="F171" s="35">
        <v>7229000</v>
      </c>
      <c r="G171" s="35"/>
      <c r="H171" s="35"/>
      <c r="I171" s="35"/>
      <c r="J171" s="72"/>
      <c r="K171" s="35"/>
      <c r="L171" s="35"/>
      <c r="M171" s="35"/>
      <c r="N171" s="35"/>
      <c r="O171" s="35"/>
      <c r="P171" s="35">
        <f t="shared" si="50"/>
        <v>7229000</v>
      </c>
      <c r="Q171" s="148"/>
    </row>
    <row r="172" spans="1:17" s="26" customFormat="1" ht="30">
      <c r="A172" s="24"/>
      <c r="B172" s="96">
        <v>1513090</v>
      </c>
      <c r="C172" s="27" t="s">
        <v>380</v>
      </c>
      <c r="D172" s="28" t="s">
        <v>381</v>
      </c>
      <c r="E172" s="35">
        <f>F172+I172</f>
        <v>181400</v>
      </c>
      <c r="F172" s="93">
        <v>181400</v>
      </c>
      <c r="G172" s="35"/>
      <c r="H172" s="35"/>
      <c r="I172" s="35"/>
      <c r="J172" s="72">
        <f>K172+N172</f>
        <v>0</v>
      </c>
      <c r="K172" s="35"/>
      <c r="L172" s="35"/>
      <c r="M172" s="35"/>
      <c r="N172" s="35"/>
      <c r="O172" s="35"/>
      <c r="P172" s="35">
        <f t="shared" si="50"/>
        <v>181400</v>
      </c>
      <c r="Q172" s="148"/>
    </row>
    <row r="173" spans="1:17" s="26" customFormat="1" ht="60">
      <c r="A173" s="24"/>
      <c r="B173" s="40">
        <v>1513100</v>
      </c>
      <c r="C173" s="44"/>
      <c r="D173" s="28" t="s">
        <v>212</v>
      </c>
      <c r="E173" s="47">
        <f>E174</f>
        <v>5516100</v>
      </c>
      <c r="F173" s="47">
        <f aca="true" t="shared" si="51" ref="F173:P173">F174</f>
        <v>5516100</v>
      </c>
      <c r="G173" s="47">
        <f t="shared" si="51"/>
        <v>4076600</v>
      </c>
      <c r="H173" s="47">
        <f t="shared" si="51"/>
        <v>156566</v>
      </c>
      <c r="I173" s="47">
        <f t="shared" si="51"/>
        <v>0</v>
      </c>
      <c r="J173" s="47">
        <f t="shared" si="51"/>
        <v>324800</v>
      </c>
      <c r="K173" s="47">
        <f t="shared" si="51"/>
        <v>27800</v>
      </c>
      <c r="L173" s="47">
        <f t="shared" si="51"/>
        <v>18822</v>
      </c>
      <c r="M173" s="47">
        <f t="shared" si="51"/>
        <v>0</v>
      </c>
      <c r="N173" s="47">
        <f t="shared" si="51"/>
        <v>297000</v>
      </c>
      <c r="O173" s="47">
        <f t="shared" si="51"/>
        <v>297000</v>
      </c>
      <c r="P173" s="47">
        <f t="shared" si="51"/>
        <v>5840900</v>
      </c>
      <c r="Q173" s="148"/>
    </row>
    <row r="174" spans="1:17" s="101" customFormat="1" ht="75">
      <c r="A174" s="100"/>
      <c r="B174" s="82">
        <v>1513104</v>
      </c>
      <c r="C174" s="83" t="s">
        <v>66</v>
      </c>
      <c r="D174" s="84" t="s">
        <v>213</v>
      </c>
      <c r="E174" s="64">
        <f>F174+I174</f>
        <v>5516100</v>
      </c>
      <c r="F174" s="92">
        <f>6697900+170500-1363300+11000</f>
        <v>5516100</v>
      </c>
      <c r="G174" s="92">
        <f>4614400+54100-591900</f>
        <v>4076600</v>
      </c>
      <c r="H174" s="64">
        <f>154005+2561</f>
        <v>156566</v>
      </c>
      <c r="I174" s="64"/>
      <c r="J174" s="71">
        <f>K174+N174</f>
        <v>324800</v>
      </c>
      <c r="K174" s="64">
        <v>27800</v>
      </c>
      <c r="L174" s="64">
        <v>18822</v>
      </c>
      <c r="M174" s="64"/>
      <c r="N174" s="64">
        <v>297000</v>
      </c>
      <c r="O174" s="64">
        <v>297000</v>
      </c>
      <c r="P174" s="64">
        <f>E174+J174</f>
        <v>5840900</v>
      </c>
      <c r="Q174" s="148"/>
    </row>
    <row r="175" spans="1:17" s="26" customFormat="1" ht="90">
      <c r="A175" s="48"/>
      <c r="B175" s="54">
        <v>1513180</v>
      </c>
      <c r="C175" s="116"/>
      <c r="D175" s="49" t="s">
        <v>214</v>
      </c>
      <c r="E175" s="132">
        <f>E176+E177+E178</f>
        <v>1564275</v>
      </c>
      <c r="F175" s="132">
        <f aca="true" t="shared" si="52" ref="F175:P175">F176+F177+F178</f>
        <v>1564275</v>
      </c>
      <c r="G175" s="132">
        <f t="shared" si="52"/>
        <v>0</v>
      </c>
      <c r="H175" s="132">
        <f t="shared" si="52"/>
        <v>0</v>
      </c>
      <c r="I175" s="132">
        <f t="shared" si="52"/>
        <v>0</v>
      </c>
      <c r="J175" s="132">
        <f t="shared" si="52"/>
        <v>0</v>
      </c>
      <c r="K175" s="132">
        <f t="shared" si="52"/>
        <v>0</v>
      </c>
      <c r="L175" s="132">
        <f t="shared" si="52"/>
        <v>0</v>
      </c>
      <c r="M175" s="132">
        <f t="shared" si="52"/>
        <v>0</v>
      </c>
      <c r="N175" s="132">
        <f t="shared" si="52"/>
        <v>0</v>
      </c>
      <c r="O175" s="132">
        <f t="shared" si="52"/>
        <v>0</v>
      </c>
      <c r="P175" s="132">
        <f t="shared" si="52"/>
        <v>1564275</v>
      </c>
      <c r="Q175" s="148"/>
    </row>
    <row r="176" spans="1:17" s="101" customFormat="1" ht="90">
      <c r="A176" s="100"/>
      <c r="B176" s="82">
        <v>1513181</v>
      </c>
      <c r="C176" s="83" t="s">
        <v>67</v>
      </c>
      <c r="D176" s="84" t="s">
        <v>215</v>
      </c>
      <c r="E176" s="64">
        <f>F176+I176</f>
        <v>1397200</v>
      </c>
      <c r="F176" s="64">
        <v>1397200</v>
      </c>
      <c r="G176" s="64"/>
      <c r="H176" s="64"/>
      <c r="I176" s="64"/>
      <c r="J176" s="71">
        <f>K176+N176</f>
        <v>0</v>
      </c>
      <c r="K176" s="64"/>
      <c r="L176" s="64"/>
      <c r="M176" s="64"/>
      <c r="N176" s="64"/>
      <c r="O176" s="64"/>
      <c r="P176" s="64">
        <f>E176+J176</f>
        <v>1397200</v>
      </c>
      <c r="Q176" s="148"/>
    </row>
    <row r="177" spans="1:17" s="101" customFormat="1" ht="75">
      <c r="A177" s="100"/>
      <c r="B177" s="82">
        <v>1513182</v>
      </c>
      <c r="C177" s="83" t="s">
        <v>382</v>
      </c>
      <c r="D177" s="84" t="s">
        <v>383</v>
      </c>
      <c r="E177" s="64">
        <f>F177+I177</f>
        <v>162275</v>
      </c>
      <c r="F177" s="92">
        <v>162275</v>
      </c>
      <c r="G177" s="64"/>
      <c r="H177" s="64"/>
      <c r="I177" s="64"/>
      <c r="J177" s="71"/>
      <c r="K177" s="64"/>
      <c r="L177" s="64"/>
      <c r="M177" s="64"/>
      <c r="N177" s="64"/>
      <c r="O177" s="64"/>
      <c r="P177" s="64">
        <f>E177+J177</f>
        <v>162275</v>
      </c>
      <c r="Q177" s="78"/>
    </row>
    <row r="178" spans="1:17" s="101" customFormat="1" ht="30">
      <c r="A178" s="100"/>
      <c r="B178" s="82">
        <v>1513183</v>
      </c>
      <c r="C178" s="83" t="s">
        <v>384</v>
      </c>
      <c r="D178" s="84" t="s">
        <v>385</v>
      </c>
      <c r="E178" s="64">
        <f>F178+I178</f>
        <v>4800</v>
      </c>
      <c r="F178" s="92">
        <v>4800</v>
      </c>
      <c r="G178" s="64"/>
      <c r="H178" s="64"/>
      <c r="I178" s="64"/>
      <c r="J178" s="71"/>
      <c r="K178" s="64"/>
      <c r="L178" s="64"/>
      <c r="M178" s="64"/>
      <c r="N178" s="64"/>
      <c r="O178" s="64"/>
      <c r="P178" s="64">
        <f>E178+J178</f>
        <v>4800</v>
      </c>
      <c r="Q178" s="78"/>
    </row>
    <row r="179" spans="1:17" s="26" customFormat="1" ht="90">
      <c r="A179" s="48"/>
      <c r="B179" s="54">
        <v>1513190</v>
      </c>
      <c r="C179" s="45" t="s">
        <v>68</v>
      </c>
      <c r="D179" s="49" t="s">
        <v>216</v>
      </c>
      <c r="E179" s="73">
        <f>F179+I179</f>
        <v>2482439</v>
      </c>
      <c r="F179" s="73">
        <f>2446698+35741</f>
        <v>2482439</v>
      </c>
      <c r="G179" s="73"/>
      <c r="H179" s="73"/>
      <c r="I179" s="73"/>
      <c r="J179" s="131">
        <f>K179+N179</f>
        <v>0</v>
      </c>
      <c r="K179" s="73"/>
      <c r="L179" s="73"/>
      <c r="M179" s="73"/>
      <c r="N179" s="73"/>
      <c r="O179" s="73"/>
      <c r="P179" s="73">
        <f>E179+J179</f>
        <v>2482439</v>
      </c>
      <c r="Q179" s="148"/>
    </row>
    <row r="180" spans="1:17" s="26" customFormat="1" ht="15">
      <c r="A180" s="24"/>
      <c r="B180" s="40">
        <v>1513200</v>
      </c>
      <c r="C180" s="44"/>
      <c r="D180" s="28" t="s">
        <v>217</v>
      </c>
      <c r="E180" s="47">
        <f>E181+E182</f>
        <v>1790305</v>
      </c>
      <c r="F180" s="47">
        <f aca="true" t="shared" si="53" ref="F180:P180">F181+F182</f>
        <v>1790305</v>
      </c>
      <c r="G180" s="47">
        <f t="shared" si="53"/>
        <v>0</v>
      </c>
      <c r="H180" s="47">
        <f t="shared" si="53"/>
        <v>0</v>
      </c>
      <c r="I180" s="47">
        <f t="shared" si="53"/>
        <v>0</v>
      </c>
      <c r="J180" s="47">
        <f t="shared" si="53"/>
        <v>0</v>
      </c>
      <c r="K180" s="47">
        <f t="shared" si="53"/>
        <v>0</v>
      </c>
      <c r="L180" s="47">
        <f t="shared" si="53"/>
        <v>0</v>
      </c>
      <c r="M180" s="47">
        <f t="shared" si="53"/>
        <v>0</v>
      </c>
      <c r="N180" s="47">
        <f t="shared" si="53"/>
        <v>0</v>
      </c>
      <c r="O180" s="47">
        <f t="shared" si="53"/>
        <v>0</v>
      </c>
      <c r="P180" s="47">
        <f t="shared" si="53"/>
        <v>1790305</v>
      </c>
      <c r="Q180" s="148"/>
    </row>
    <row r="181" spans="1:17" s="101" customFormat="1" ht="30">
      <c r="A181" s="100"/>
      <c r="B181" s="82">
        <v>1513201</v>
      </c>
      <c r="C181" s="83" t="s">
        <v>64</v>
      </c>
      <c r="D181" s="84" t="s">
        <v>65</v>
      </c>
      <c r="E181" s="64">
        <f>F181+I181</f>
        <v>991405</v>
      </c>
      <c r="F181" s="64">
        <f>902586+88819</f>
        <v>991405</v>
      </c>
      <c r="G181" s="64"/>
      <c r="H181" s="64"/>
      <c r="I181" s="64"/>
      <c r="J181" s="71">
        <f>K181+N181</f>
        <v>0</v>
      </c>
      <c r="K181" s="64"/>
      <c r="L181" s="64"/>
      <c r="M181" s="64"/>
      <c r="N181" s="64"/>
      <c r="O181" s="64"/>
      <c r="P181" s="64">
        <f>E181+J181</f>
        <v>991405</v>
      </c>
      <c r="Q181" s="148"/>
    </row>
    <row r="182" spans="1:17" s="26" customFormat="1" ht="60">
      <c r="A182" s="48"/>
      <c r="B182" s="53">
        <v>1513202</v>
      </c>
      <c r="C182" s="27" t="s">
        <v>69</v>
      </c>
      <c r="D182" s="84" t="s">
        <v>218</v>
      </c>
      <c r="E182" s="64">
        <f>F182+I182</f>
        <v>798900</v>
      </c>
      <c r="F182" s="64">
        <v>798900</v>
      </c>
      <c r="G182" s="64"/>
      <c r="H182" s="64"/>
      <c r="I182" s="64"/>
      <c r="J182" s="71">
        <f>K182+N182</f>
        <v>0</v>
      </c>
      <c r="K182" s="64"/>
      <c r="L182" s="64"/>
      <c r="M182" s="64"/>
      <c r="N182" s="64"/>
      <c r="O182" s="64"/>
      <c r="P182" s="64">
        <f>E182+J182</f>
        <v>798900</v>
      </c>
      <c r="Q182" s="148"/>
    </row>
    <row r="183" spans="1:17" s="26" customFormat="1" ht="45">
      <c r="A183" s="24"/>
      <c r="B183" s="40">
        <v>1513220</v>
      </c>
      <c r="C183" s="27" t="s">
        <v>370</v>
      </c>
      <c r="D183" s="28" t="s">
        <v>371</v>
      </c>
      <c r="E183" s="35">
        <f>F183+I183</f>
        <v>141717</v>
      </c>
      <c r="F183" s="93">
        <f>54417+57300+30000</f>
        <v>141717</v>
      </c>
      <c r="G183" s="35"/>
      <c r="H183" s="35"/>
      <c r="I183" s="35"/>
      <c r="J183" s="72"/>
      <c r="K183" s="35"/>
      <c r="L183" s="35"/>
      <c r="M183" s="35"/>
      <c r="N183" s="35"/>
      <c r="O183" s="35"/>
      <c r="P183" s="64">
        <f>E183+J183</f>
        <v>141717</v>
      </c>
      <c r="Q183" s="148"/>
    </row>
    <row r="184" spans="1:17" s="26" customFormat="1" ht="15">
      <c r="A184" s="24"/>
      <c r="B184" s="40">
        <v>1513300</v>
      </c>
      <c r="C184" s="27" t="s">
        <v>70</v>
      </c>
      <c r="D184" s="28" t="s">
        <v>71</v>
      </c>
      <c r="E184" s="35">
        <f>F184+I184</f>
        <v>1234000</v>
      </c>
      <c r="F184" s="35">
        <f>F185</f>
        <v>1234000</v>
      </c>
      <c r="G184" s="35">
        <f>G185</f>
        <v>749200</v>
      </c>
      <c r="H184" s="35">
        <f>H185</f>
        <v>127230</v>
      </c>
      <c r="I184" s="35">
        <f>I185</f>
        <v>0</v>
      </c>
      <c r="J184" s="72">
        <f>K184+N184</f>
        <v>200000</v>
      </c>
      <c r="K184" s="35">
        <f>K185</f>
        <v>0</v>
      </c>
      <c r="L184" s="35">
        <f>L185</f>
        <v>0</v>
      </c>
      <c r="M184" s="35">
        <f>M185</f>
        <v>0</v>
      </c>
      <c r="N184" s="35">
        <f>N185</f>
        <v>200000</v>
      </c>
      <c r="O184" s="35">
        <f>O185</f>
        <v>200000</v>
      </c>
      <c r="P184" s="35">
        <f>E184+J184</f>
        <v>1434000</v>
      </c>
      <c r="Q184" s="148"/>
    </row>
    <row r="185" spans="1:17" s="26" customFormat="1" ht="30">
      <c r="A185" s="24"/>
      <c r="B185" s="83" t="s">
        <v>219</v>
      </c>
      <c r="C185" s="83" t="s">
        <v>70</v>
      </c>
      <c r="D185" s="84" t="s">
        <v>372</v>
      </c>
      <c r="E185" s="132">
        <f>E184</f>
        <v>1234000</v>
      </c>
      <c r="F185" s="98">
        <f>1424500-209500+19000</f>
        <v>1234000</v>
      </c>
      <c r="G185" s="73">
        <f>826600-77400</f>
        <v>749200</v>
      </c>
      <c r="H185" s="73">
        <v>127230</v>
      </c>
      <c r="I185" s="132"/>
      <c r="J185" s="132">
        <f>J184</f>
        <v>200000</v>
      </c>
      <c r="K185" s="132"/>
      <c r="L185" s="132"/>
      <c r="M185" s="132"/>
      <c r="N185" s="73">
        <v>200000</v>
      </c>
      <c r="O185" s="73">
        <v>200000</v>
      </c>
      <c r="P185" s="132">
        <f>P184</f>
        <v>1434000</v>
      </c>
      <c r="Q185" s="148"/>
    </row>
    <row r="186" spans="1:17" s="26" customFormat="1" ht="30">
      <c r="A186" s="24"/>
      <c r="B186" s="27" t="s">
        <v>221</v>
      </c>
      <c r="C186" s="27" t="s">
        <v>13</v>
      </c>
      <c r="D186" s="28" t="s">
        <v>14</v>
      </c>
      <c r="E186" s="35">
        <f>E187+E188</f>
        <v>2568621</v>
      </c>
      <c r="F186" s="35">
        <f>F187+F188</f>
        <v>2568621</v>
      </c>
      <c r="G186" s="35">
        <f aca="true" t="shared" si="54" ref="G186:P186">G187+G188</f>
        <v>0</v>
      </c>
      <c r="H186" s="35">
        <f t="shared" si="54"/>
        <v>0</v>
      </c>
      <c r="I186" s="35">
        <f t="shared" si="54"/>
        <v>0</v>
      </c>
      <c r="J186" s="35">
        <f t="shared" si="54"/>
        <v>0</v>
      </c>
      <c r="K186" s="35">
        <f t="shared" si="54"/>
        <v>0</v>
      </c>
      <c r="L186" s="35">
        <f t="shared" si="54"/>
        <v>0</v>
      </c>
      <c r="M186" s="35">
        <f t="shared" si="54"/>
        <v>0</v>
      </c>
      <c r="N186" s="35">
        <f t="shared" si="54"/>
        <v>0</v>
      </c>
      <c r="O186" s="35">
        <f t="shared" si="54"/>
        <v>0</v>
      </c>
      <c r="P186" s="35">
        <f t="shared" si="54"/>
        <v>2568621</v>
      </c>
      <c r="Q186" s="148"/>
    </row>
    <row r="187" spans="1:17" s="101" customFormat="1" ht="45">
      <c r="A187" s="100"/>
      <c r="B187" s="83" t="s">
        <v>220</v>
      </c>
      <c r="C187" s="83" t="s">
        <v>13</v>
      </c>
      <c r="D187" s="84" t="s">
        <v>364</v>
      </c>
      <c r="E187" s="64">
        <f>F187+I187</f>
        <v>2238321</v>
      </c>
      <c r="F187" s="92">
        <f>1730323+45128+130000+224000+90870+18000</f>
        <v>2238321</v>
      </c>
      <c r="G187" s="64"/>
      <c r="H187" s="64"/>
      <c r="I187" s="64"/>
      <c r="J187" s="71">
        <f>K187+N187</f>
        <v>0</v>
      </c>
      <c r="K187" s="64"/>
      <c r="L187" s="64"/>
      <c r="M187" s="64"/>
      <c r="N187" s="64"/>
      <c r="O187" s="64"/>
      <c r="P187" s="64">
        <f>E187+J187</f>
        <v>2238321</v>
      </c>
      <c r="Q187" s="148"/>
    </row>
    <row r="188" spans="1:17" s="101" customFormat="1" ht="40.5" customHeight="1">
      <c r="A188" s="100"/>
      <c r="B188" s="83" t="s">
        <v>449</v>
      </c>
      <c r="C188" s="83" t="s">
        <v>13</v>
      </c>
      <c r="D188" s="84" t="s">
        <v>448</v>
      </c>
      <c r="E188" s="64">
        <f>F188+I188</f>
        <v>330300</v>
      </c>
      <c r="F188" s="92">
        <v>330300</v>
      </c>
      <c r="G188" s="64"/>
      <c r="H188" s="64"/>
      <c r="I188" s="64"/>
      <c r="J188" s="71"/>
      <c r="K188" s="64"/>
      <c r="L188" s="64"/>
      <c r="M188" s="64"/>
      <c r="N188" s="64"/>
      <c r="O188" s="64"/>
      <c r="P188" s="64">
        <f>E188+J188</f>
        <v>330300</v>
      </c>
      <c r="Q188" s="148"/>
    </row>
    <row r="189" spans="1:17" s="26" customFormat="1" ht="30">
      <c r="A189" s="48"/>
      <c r="B189" s="45" t="s">
        <v>346</v>
      </c>
      <c r="C189" s="45" t="s">
        <v>347</v>
      </c>
      <c r="D189" s="49" t="s">
        <v>362</v>
      </c>
      <c r="E189" s="69">
        <f>F189+H189</f>
        <v>143598</v>
      </c>
      <c r="F189" s="97">
        <f>160429-16831</f>
        <v>143598</v>
      </c>
      <c r="G189" s="47">
        <v>117703</v>
      </c>
      <c r="H189" s="47"/>
      <c r="I189" s="47"/>
      <c r="J189" s="47">
        <f>K189+N189</f>
        <v>0</v>
      </c>
      <c r="K189" s="47"/>
      <c r="L189" s="47"/>
      <c r="M189" s="47"/>
      <c r="N189" s="47"/>
      <c r="O189" s="47"/>
      <c r="P189" s="47">
        <f>J189+E189</f>
        <v>143598</v>
      </c>
      <c r="Q189" s="148"/>
    </row>
    <row r="190" spans="1:17" s="26" customFormat="1" ht="28.5">
      <c r="A190" s="24"/>
      <c r="B190" s="27" t="s">
        <v>222</v>
      </c>
      <c r="C190" s="31"/>
      <c r="D190" s="32" t="s">
        <v>224</v>
      </c>
      <c r="E190" s="58">
        <f>E191</f>
        <v>1027450</v>
      </c>
      <c r="F190" s="58">
        <f aca="true" t="shared" si="55" ref="F190:P190">F191</f>
        <v>1027450</v>
      </c>
      <c r="G190" s="58">
        <f t="shared" si="55"/>
        <v>749890</v>
      </c>
      <c r="H190" s="58">
        <f t="shared" si="55"/>
        <v>32719</v>
      </c>
      <c r="I190" s="58">
        <f t="shared" si="55"/>
        <v>0</v>
      </c>
      <c r="J190" s="58">
        <f t="shared" si="55"/>
        <v>18000</v>
      </c>
      <c r="K190" s="58">
        <f t="shared" si="55"/>
        <v>0</v>
      </c>
      <c r="L190" s="58">
        <f t="shared" si="55"/>
        <v>0</v>
      </c>
      <c r="M190" s="58">
        <f t="shared" si="55"/>
        <v>0</v>
      </c>
      <c r="N190" s="58">
        <f t="shared" si="55"/>
        <v>18000</v>
      </c>
      <c r="O190" s="58">
        <f t="shared" si="55"/>
        <v>18000</v>
      </c>
      <c r="P190" s="58">
        <f t="shared" si="55"/>
        <v>1045450</v>
      </c>
      <c r="Q190" s="148"/>
    </row>
    <row r="191" spans="1:17" s="101" customFormat="1" ht="30">
      <c r="A191" s="100"/>
      <c r="B191" s="83" t="s">
        <v>223</v>
      </c>
      <c r="C191" s="51"/>
      <c r="D191" s="52" t="s">
        <v>224</v>
      </c>
      <c r="E191" s="70">
        <f>E192+E193</f>
        <v>1027450</v>
      </c>
      <c r="F191" s="70">
        <f aca="true" t="shared" si="56" ref="F191:P191">F192+F193</f>
        <v>1027450</v>
      </c>
      <c r="G191" s="70">
        <f t="shared" si="56"/>
        <v>749890</v>
      </c>
      <c r="H191" s="70">
        <f t="shared" si="56"/>
        <v>32719</v>
      </c>
      <c r="I191" s="70">
        <f t="shared" si="56"/>
        <v>0</v>
      </c>
      <c r="J191" s="70">
        <f t="shared" si="56"/>
        <v>18000</v>
      </c>
      <c r="K191" s="70">
        <f t="shared" si="56"/>
        <v>0</v>
      </c>
      <c r="L191" s="70">
        <f t="shared" si="56"/>
        <v>0</v>
      </c>
      <c r="M191" s="70">
        <f t="shared" si="56"/>
        <v>0</v>
      </c>
      <c r="N191" s="70">
        <f t="shared" si="56"/>
        <v>18000</v>
      </c>
      <c r="O191" s="70">
        <f t="shared" si="56"/>
        <v>18000</v>
      </c>
      <c r="P191" s="70">
        <f t="shared" si="56"/>
        <v>1045450</v>
      </c>
      <c r="Q191" s="148"/>
    </row>
    <row r="192" spans="1:17" s="26" customFormat="1" ht="45">
      <c r="A192" s="48"/>
      <c r="B192" s="57" t="s">
        <v>225</v>
      </c>
      <c r="C192" s="45" t="s">
        <v>9</v>
      </c>
      <c r="D192" s="49" t="s">
        <v>100</v>
      </c>
      <c r="E192" s="73">
        <f>F192+I192</f>
        <v>977450</v>
      </c>
      <c r="F192" s="98">
        <f>1121770-144320</f>
        <v>977450</v>
      </c>
      <c r="G192" s="98">
        <f>782730-32840</f>
        <v>749890</v>
      </c>
      <c r="H192" s="73">
        <v>32719</v>
      </c>
      <c r="I192" s="73"/>
      <c r="J192" s="73">
        <f>K192+N192</f>
        <v>18000</v>
      </c>
      <c r="K192" s="73"/>
      <c r="L192" s="73"/>
      <c r="M192" s="73"/>
      <c r="N192" s="73">
        <v>18000</v>
      </c>
      <c r="O192" s="73">
        <v>18000</v>
      </c>
      <c r="P192" s="73">
        <f>E192+J192</f>
        <v>995450</v>
      </c>
      <c r="Q192" s="148"/>
    </row>
    <row r="193" spans="1:17" s="26" customFormat="1" ht="30">
      <c r="A193" s="24"/>
      <c r="B193" s="36" t="s">
        <v>230</v>
      </c>
      <c r="C193" s="27"/>
      <c r="D193" s="28" t="s">
        <v>229</v>
      </c>
      <c r="E193" s="35">
        <f>E194</f>
        <v>50000</v>
      </c>
      <c r="F193" s="35">
        <f aca="true" t="shared" si="57" ref="F193:P193">F194</f>
        <v>50000</v>
      </c>
      <c r="G193" s="35">
        <f t="shared" si="57"/>
        <v>0</v>
      </c>
      <c r="H193" s="35">
        <f t="shared" si="57"/>
        <v>0</v>
      </c>
      <c r="I193" s="35">
        <f t="shared" si="57"/>
        <v>0</v>
      </c>
      <c r="J193" s="35">
        <f t="shared" si="57"/>
        <v>0</v>
      </c>
      <c r="K193" s="35">
        <f t="shared" si="57"/>
        <v>0</v>
      </c>
      <c r="L193" s="35">
        <f t="shared" si="57"/>
        <v>0</v>
      </c>
      <c r="M193" s="35">
        <f t="shared" si="57"/>
        <v>0</v>
      </c>
      <c r="N193" s="35">
        <f t="shared" si="57"/>
        <v>0</v>
      </c>
      <c r="O193" s="35">
        <f t="shared" si="57"/>
        <v>0</v>
      </c>
      <c r="P193" s="35">
        <f t="shared" si="57"/>
        <v>50000</v>
      </c>
      <c r="Q193" s="148"/>
    </row>
    <row r="194" spans="1:17" s="101" customFormat="1" ht="30">
      <c r="A194" s="100"/>
      <c r="B194" s="110" t="s">
        <v>227</v>
      </c>
      <c r="C194" s="83" t="s">
        <v>74</v>
      </c>
      <c r="D194" s="84" t="s">
        <v>226</v>
      </c>
      <c r="E194" s="64">
        <f>F194+I194</f>
        <v>50000</v>
      </c>
      <c r="F194" s="64">
        <v>50000</v>
      </c>
      <c r="G194" s="70"/>
      <c r="H194" s="70"/>
      <c r="I194" s="70"/>
      <c r="J194" s="64">
        <f>K194+N194</f>
        <v>0</v>
      </c>
      <c r="K194" s="70"/>
      <c r="L194" s="70"/>
      <c r="M194" s="70"/>
      <c r="N194" s="70"/>
      <c r="O194" s="70"/>
      <c r="P194" s="64">
        <f>E194+J194</f>
        <v>50000</v>
      </c>
      <c r="Q194" s="148"/>
    </row>
    <row r="195" spans="1:17" s="26" customFormat="1" ht="28.5">
      <c r="A195" s="48"/>
      <c r="B195" s="57" t="s">
        <v>231</v>
      </c>
      <c r="C195" s="31"/>
      <c r="D195" s="32" t="s">
        <v>228</v>
      </c>
      <c r="E195" s="58">
        <f>E196</f>
        <v>29441679</v>
      </c>
      <c r="F195" s="58">
        <f aca="true" t="shared" si="58" ref="F195:P195">F196</f>
        <v>29441679</v>
      </c>
      <c r="G195" s="58">
        <f t="shared" si="58"/>
        <v>20982910</v>
      </c>
      <c r="H195" s="58">
        <f t="shared" si="58"/>
        <v>1776764</v>
      </c>
      <c r="I195" s="58">
        <f t="shared" si="58"/>
        <v>0</v>
      </c>
      <c r="J195" s="58">
        <f t="shared" si="58"/>
        <v>2344920</v>
      </c>
      <c r="K195" s="58">
        <f t="shared" si="58"/>
        <v>1320320</v>
      </c>
      <c r="L195" s="58">
        <f t="shared" si="58"/>
        <v>953732</v>
      </c>
      <c r="M195" s="58">
        <f t="shared" si="58"/>
        <v>0</v>
      </c>
      <c r="N195" s="58">
        <f t="shared" si="58"/>
        <v>1024600</v>
      </c>
      <c r="O195" s="58">
        <f t="shared" si="58"/>
        <v>1020000</v>
      </c>
      <c r="P195" s="58">
        <f t="shared" si="58"/>
        <v>31786599</v>
      </c>
      <c r="Q195" s="148"/>
    </row>
    <row r="196" spans="1:17" s="101" customFormat="1" ht="30">
      <c r="A196" s="100"/>
      <c r="B196" s="110" t="s">
        <v>232</v>
      </c>
      <c r="C196" s="51"/>
      <c r="D196" s="52" t="s">
        <v>228</v>
      </c>
      <c r="E196" s="70">
        <f aca="true" t="shared" si="59" ref="E196:P196">E197+E198+E199+E200+E201</f>
        <v>29441679</v>
      </c>
      <c r="F196" s="70">
        <f t="shared" si="59"/>
        <v>29441679</v>
      </c>
      <c r="G196" s="70">
        <f t="shared" si="59"/>
        <v>20982910</v>
      </c>
      <c r="H196" s="70">
        <f t="shared" si="59"/>
        <v>1776764</v>
      </c>
      <c r="I196" s="70">
        <f t="shared" si="59"/>
        <v>0</v>
      </c>
      <c r="J196" s="70">
        <f t="shared" si="59"/>
        <v>2344920</v>
      </c>
      <c r="K196" s="70">
        <f t="shared" si="59"/>
        <v>1320320</v>
      </c>
      <c r="L196" s="70">
        <f t="shared" si="59"/>
        <v>953732</v>
      </c>
      <c r="M196" s="70">
        <f t="shared" si="59"/>
        <v>0</v>
      </c>
      <c r="N196" s="70">
        <f t="shared" si="59"/>
        <v>1024600</v>
      </c>
      <c r="O196" s="70">
        <f t="shared" si="59"/>
        <v>1020000</v>
      </c>
      <c r="P196" s="70">
        <f t="shared" si="59"/>
        <v>31786599</v>
      </c>
      <c r="Q196" s="148"/>
    </row>
    <row r="197" spans="1:17" s="26" customFormat="1" ht="45">
      <c r="A197" s="48"/>
      <c r="B197" s="57" t="s">
        <v>233</v>
      </c>
      <c r="C197" s="45" t="s">
        <v>9</v>
      </c>
      <c r="D197" s="49" t="s">
        <v>100</v>
      </c>
      <c r="E197" s="73">
        <f>F197+I197</f>
        <v>448680</v>
      </c>
      <c r="F197" s="98">
        <f>514810-66130</f>
        <v>448680</v>
      </c>
      <c r="G197" s="98">
        <f>324590-16160</f>
        <v>308430</v>
      </c>
      <c r="H197" s="73">
        <v>13469</v>
      </c>
      <c r="I197" s="73"/>
      <c r="J197" s="73">
        <f>K197+N197</f>
        <v>20000</v>
      </c>
      <c r="K197" s="73"/>
      <c r="L197" s="73"/>
      <c r="M197" s="73"/>
      <c r="N197" s="73">
        <v>20000</v>
      </c>
      <c r="O197" s="73">
        <v>20000</v>
      </c>
      <c r="P197" s="73">
        <f>E197+J197</f>
        <v>468680</v>
      </c>
      <c r="Q197" s="148"/>
    </row>
    <row r="198" spans="1:17" s="26" customFormat="1" ht="30">
      <c r="A198" s="24"/>
      <c r="B198" s="36" t="s">
        <v>235</v>
      </c>
      <c r="C198" s="27" t="s">
        <v>75</v>
      </c>
      <c r="D198" s="28" t="s">
        <v>234</v>
      </c>
      <c r="E198" s="35">
        <f>F198+I198</f>
        <v>1000000</v>
      </c>
      <c r="F198" s="59">
        <v>1000000</v>
      </c>
      <c r="G198" s="59"/>
      <c r="H198" s="59"/>
      <c r="I198" s="59"/>
      <c r="J198" s="35">
        <f>K198+N198</f>
        <v>0</v>
      </c>
      <c r="K198" s="58"/>
      <c r="L198" s="58"/>
      <c r="M198" s="58"/>
      <c r="N198" s="58"/>
      <c r="O198" s="58"/>
      <c r="P198" s="73">
        <f>E198+J198</f>
        <v>1000000</v>
      </c>
      <c r="Q198" s="148"/>
    </row>
    <row r="199" spans="1:17" s="26" customFormat="1" ht="15">
      <c r="A199" s="24"/>
      <c r="B199" s="36" t="s">
        <v>237</v>
      </c>
      <c r="C199" s="27" t="s">
        <v>76</v>
      </c>
      <c r="D199" s="28" t="s">
        <v>236</v>
      </c>
      <c r="E199" s="35">
        <f>F199+I199</f>
        <v>10340731</v>
      </c>
      <c r="F199" s="94">
        <f>11452250-1111519</f>
        <v>10340731</v>
      </c>
      <c r="G199" s="94">
        <f>7153760-76280</f>
        <v>7077480</v>
      </c>
      <c r="H199" s="59">
        <v>1039633</v>
      </c>
      <c r="I199" s="59"/>
      <c r="J199" s="35">
        <f>K199+N199</f>
        <v>555500</v>
      </c>
      <c r="K199" s="35">
        <v>21000</v>
      </c>
      <c r="L199" s="35">
        <v>5000</v>
      </c>
      <c r="M199" s="58"/>
      <c r="N199" s="115">
        <v>534500</v>
      </c>
      <c r="O199" s="115">
        <v>534500</v>
      </c>
      <c r="P199" s="73">
        <f>E199+J199</f>
        <v>10896231</v>
      </c>
      <c r="Q199" s="148"/>
    </row>
    <row r="200" spans="1:17" s="26" customFormat="1" ht="15">
      <c r="A200" s="24"/>
      <c r="B200" s="36" t="s">
        <v>239</v>
      </c>
      <c r="C200" s="27" t="s">
        <v>77</v>
      </c>
      <c r="D200" s="28" t="s">
        <v>238</v>
      </c>
      <c r="E200" s="35">
        <f>F200+I200</f>
        <v>16900076</v>
      </c>
      <c r="F200" s="94">
        <f>18381740-1481664</f>
        <v>16900076</v>
      </c>
      <c r="G200" s="94">
        <f>12769020+299020</f>
        <v>13068040</v>
      </c>
      <c r="H200" s="59">
        <v>702306</v>
      </c>
      <c r="I200" s="59"/>
      <c r="J200" s="35">
        <f>K200+N200</f>
        <v>1739420</v>
      </c>
      <c r="K200" s="35">
        <v>1299320</v>
      </c>
      <c r="L200" s="35">
        <v>948732</v>
      </c>
      <c r="M200" s="35"/>
      <c r="N200" s="59">
        <v>440100</v>
      </c>
      <c r="O200" s="59">
        <v>435500</v>
      </c>
      <c r="P200" s="35">
        <f>E200+J200</f>
        <v>18639496</v>
      </c>
      <c r="Q200" s="148"/>
    </row>
    <row r="201" spans="1:17" s="26" customFormat="1" ht="15">
      <c r="A201" s="24"/>
      <c r="B201" s="36" t="s">
        <v>240</v>
      </c>
      <c r="C201" s="27" t="s">
        <v>23</v>
      </c>
      <c r="D201" s="28" t="s">
        <v>116</v>
      </c>
      <c r="E201" s="35">
        <f>E202</f>
        <v>752192</v>
      </c>
      <c r="F201" s="35">
        <f aca="true" t="shared" si="60" ref="F201:P201">F202</f>
        <v>752192</v>
      </c>
      <c r="G201" s="35">
        <f t="shared" si="60"/>
        <v>528960</v>
      </c>
      <c r="H201" s="35">
        <f t="shared" si="60"/>
        <v>21356</v>
      </c>
      <c r="I201" s="35">
        <f t="shared" si="60"/>
        <v>0</v>
      </c>
      <c r="J201" s="35">
        <f t="shared" si="60"/>
        <v>30000</v>
      </c>
      <c r="K201" s="35">
        <f t="shared" si="60"/>
        <v>0</v>
      </c>
      <c r="L201" s="35">
        <f t="shared" si="60"/>
        <v>0</v>
      </c>
      <c r="M201" s="35">
        <f t="shared" si="60"/>
        <v>0</v>
      </c>
      <c r="N201" s="35">
        <f t="shared" si="60"/>
        <v>30000</v>
      </c>
      <c r="O201" s="35">
        <f t="shared" si="60"/>
        <v>30000</v>
      </c>
      <c r="P201" s="35">
        <f t="shared" si="60"/>
        <v>782192</v>
      </c>
      <c r="Q201" s="148"/>
    </row>
    <row r="202" spans="1:17" s="26" customFormat="1" ht="45">
      <c r="A202" s="24"/>
      <c r="B202" s="83" t="s">
        <v>309</v>
      </c>
      <c r="C202" s="83" t="s">
        <v>23</v>
      </c>
      <c r="D202" s="84" t="s">
        <v>241</v>
      </c>
      <c r="E202" s="73">
        <f>F202+I202</f>
        <v>752192</v>
      </c>
      <c r="F202" s="114">
        <f>967780-215588</f>
        <v>752192</v>
      </c>
      <c r="G202" s="114">
        <f>631635-102675</f>
        <v>528960</v>
      </c>
      <c r="H202" s="115">
        <v>21356</v>
      </c>
      <c r="I202" s="115"/>
      <c r="J202" s="73">
        <f>K202+N202</f>
        <v>30000</v>
      </c>
      <c r="K202" s="58"/>
      <c r="L202" s="58"/>
      <c r="M202" s="58"/>
      <c r="N202" s="115">
        <v>30000</v>
      </c>
      <c r="O202" s="115">
        <v>30000</v>
      </c>
      <c r="P202" s="73">
        <f>E202+J202</f>
        <v>782192</v>
      </c>
      <c r="Q202" s="148"/>
    </row>
    <row r="203" spans="1:17" s="26" customFormat="1" ht="28.5">
      <c r="A203" s="24"/>
      <c r="B203" s="36" t="s">
        <v>243</v>
      </c>
      <c r="C203" s="31"/>
      <c r="D203" s="32" t="s">
        <v>242</v>
      </c>
      <c r="E203" s="58">
        <f>E204</f>
        <v>39680212</v>
      </c>
      <c r="F203" s="58">
        <f aca="true" t="shared" si="61" ref="F203:P203">F204</f>
        <v>19524497</v>
      </c>
      <c r="G203" s="58">
        <f t="shared" si="61"/>
        <v>2652480</v>
      </c>
      <c r="H203" s="58">
        <f t="shared" si="61"/>
        <v>7296375</v>
      </c>
      <c r="I203" s="58">
        <f t="shared" si="61"/>
        <v>20155715</v>
      </c>
      <c r="J203" s="58">
        <f t="shared" si="61"/>
        <v>88770097.14</v>
      </c>
      <c r="K203" s="58">
        <f t="shared" si="61"/>
        <v>1064200</v>
      </c>
      <c r="L203" s="58">
        <f t="shared" si="61"/>
        <v>0</v>
      </c>
      <c r="M203" s="58">
        <f t="shared" si="61"/>
        <v>0</v>
      </c>
      <c r="N203" s="58">
        <f t="shared" si="61"/>
        <v>87705897.14</v>
      </c>
      <c r="O203" s="58">
        <f t="shared" si="61"/>
        <v>82975159.14</v>
      </c>
      <c r="P203" s="58">
        <f t="shared" si="61"/>
        <v>128450309.14</v>
      </c>
      <c r="Q203" s="148"/>
    </row>
    <row r="204" spans="1:17" s="101" customFormat="1" ht="30">
      <c r="A204" s="100"/>
      <c r="B204" s="110" t="s">
        <v>244</v>
      </c>
      <c r="C204" s="51"/>
      <c r="D204" s="52" t="s">
        <v>242</v>
      </c>
      <c r="E204" s="70">
        <f aca="true" t="shared" si="62" ref="E204:P204">E205+E208+E211+E213+E217+E218+E225+E229+E220+E219+E223+E215+E207+E216+E226+E227+E228+E214+E206</f>
        <v>39680212</v>
      </c>
      <c r="F204" s="70">
        <f t="shared" si="62"/>
        <v>19524497</v>
      </c>
      <c r="G204" s="70">
        <f t="shared" si="62"/>
        <v>2652480</v>
      </c>
      <c r="H204" s="70">
        <f t="shared" si="62"/>
        <v>7296375</v>
      </c>
      <c r="I204" s="70">
        <f t="shared" si="62"/>
        <v>20155715</v>
      </c>
      <c r="J204" s="70">
        <f t="shared" si="62"/>
        <v>88770097.14</v>
      </c>
      <c r="K204" s="70">
        <f t="shared" si="62"/>
        <v>1064200</v>
      </c>
      <c r="L204" s="70">
        <f t="shared" si="62"/>
        <v>0</v>
      </c>
      <c r="M204" s="70">
        <f t="shared" si="62"/>
        <v>0</v>
      </c>
      <c r="N204" s="70">
        <f t="shared" si="62"/>
        <v>87705897.14</v>
      </c>
      <c r="O204" s="70">
        <f t="shared" si="62"/>
        <v>82975159.14</v>
      </c>
      <c r="P204" s="70">
        <f t="shared" si="62"/>
        <v>128450309.14</v>
      </c>
      <c r="Q204" s="148"/>
    </row>
    <row r="205" spans="1:17" s="26" customFormat="1" ht="45">
      <c r="A205" s="48"/>
      <c r="B205" s="57" t="s">
        <v>245</v>
      </c>
      <c r="C205" s="45" t="s">
        <v>9</v>
      </c>
      <c r="D205" s="49" t="s">
        <v>100</v>
      </c>
      <c r="E205" s="73">
        <f>F205+I205</f>
        <v>3570925</v>
      </c>
      <c r="F205" s="98">
        <f>3961890-402720+2500+9255</f>
        <v>3570925</v>
      </c>
      <c r="G205" s="98">
        <f>2675410-22930</f>
        <v>2652480</v>
      </c>
      <c r="H205" s="73">
        <v>118075</v>
      </c>
      <c r="I205" s="73"/>
      <c r="J205" s="73">
        <f>K205+N205</f>
        <v>30000</v>
      </c>
      <c r="K205" s="73"/>
      <c r="L205" s="73"/>
      <c r="M205" s="73"/>
      <c r="N205" s="73">
        <v>30000</v>
      </c>
      <c r="O205" s="73">
        <v>30000</v>
      </c>
      <c r="P205" s="73">
        <f>E205+J205</f>
        <v>3600925</v>
      </c>
      <c r="Q205" s="148"/>
    </row>
    <row r="206" spans="1:17" s="26" customFormat="1" ht="30">
      <c r="A206" s="24"/>
      <c r="B206" s="27" t="s">
        <v>461</v>
      </c>
      <c r="C206" s="27" t="s">
        <v>347</v>
      </c>
      <c r="D206" s="28" t="s">
        <v>362</v>
      </c>
      <c r="E206" s="35">
        <f>F206+I206</f>
        <v>350000</v>
      </c>
      <c r="F206" s="93">
        <v>350000</v>
      </c>
      <c r="G206" s="93"/>
      <c r="H206" s="35"/>
      <c r="I206" s="35"/>
      <c r="J206" s="35"/>
      <c r="K206" s="35"/>
      <c r="L206" s="35"/>
      <c r="M206" s="35"/>
      <c r="N206" s="35"/>
      <c r="O206" s="35"/>
      <c r="P206" s="35">
        <f>E206+J206</f>
        <v>350000</v>
      </c>
      <c r="Q206" s="148"/>
    </row>
    <row r="207" spans="1:17" s="26" customFormat="1" ht="45">
      <c r="A207" s="24"/>
      <c r="B207" s="36" t="s">
        <v>365</v>
      </c>
      <c r="C207" s="27" t="s">
        <v>366</v>
      </c>
      <c r="D207" s="28" t="s">
        <v>367</v>
      </c>
      <c r="E207" s="35">
        <f>F207+I207</f>
        <v>180000</v>
      </c>
      <c r="F207" s="35">
        <v>180000</v>
      </c>
      <c r="G207" s="35"/>
      <c r="H207" s="35"/>
      <c r="I207" s="35"/>
      <c r="J207" s="35">
        <f>K207+N207</f>
        <v>0</v>
      </c>
      <c r="K207" s="35"/>
      <c r="L207" s="35"/>
      <c r="M207" s="35"/>
      <c r="N207" s="35"/>
      <c r="O207" s="35"/>
      <c r="P207" s="35">
        <f>E207+J207</f>
        <v>180000</v>
      </c>
      <c r="Q207" s="148"/>
    </row>
    <row r="208" spans="1:17" s="26" customFormat="1" ht="30">
      <c r="A208" s="24"/>
      <c r="B208" s="36" t="s">
        <v>247</v>
      </c>
      <c r="C208" s="27"/>
      <c r="D208" s="28" t="s">
        <v>246</v>
      </c>
      <c r="E208" s="35">
        <f>E209+E210</f>
        <v>195000</v>
      </c>
      <c r="F208" s="35">
        <f aca="true" t="shared" si="63" ref="F208:P208">F209+F210</f>
        <v>195000</v>
      </c>
      <c r="G208" s="35">
        <f t="shared" si="63"/>
        <v>0</v>
      </c>
      <c r="H208" s="35">
        <f t="shared" si="63"/>
        <v>0</v>
      </c>
      <c r="I208" s="35">
        <f t="shared" si="63"/>
        <v>0</v>
      </c>
      <c r="J208" s="35">
        <f t="shared" si="63"/>
        <v>40156285.14</v>
      </c>
      <c r="K208" s="35">
        <f t="shared" si="63"/>
        <v>0</v>
      </c>
      <c r="L208" s="35">
        <f t="shared" si="63"/>
        <v>0</v>
      </c>
      <c r="M208" s="35">
        <f t="shared" si="63"/>
        <v>0</v>
      </c>
      <c r="N208" s="35">
        <f t="shared" si="63"/>
        <v>40156285.14</v>
      </c>
      <c r="O208" s="35">
        <f t="shared" si="63"/>
        <v>40156285.14</v>
      </c>
      <c r="P208" s="35">
        <f t="shared" si="63"/>
        <v>40351285.14</v>
      </c>
      <c r="Q208" s="148"/>
    </row>
    <row r="209" spans="1:17" s="101" customFormat="1" ht="15">
      <c r="A209" s="100"/>
      <c r="B209" s="110" t="s">
        <v>249</v>
      </c>
      <c r="C209" s="83" t="s">
        <v>78</v>
      </c>
      <c r="D209" s="84" t="s">
        <v>248</v>
      </c>
      <c r="E209" s="64">
        <f>F209+I209</f>
        <v>195000</v>
      </c>
      <c r="F209" s="64">
        <v>195000</v>
      </c>
      <c r="G209" s="70"/>
      <c r="H209" s="70"/>
      <c r="I209" s="70"/>
      <c r="J209" s="64">
        <f>K209+N209</f>
        <v>37156285.14</v>
      </c>
      <c r="K209" s="70"/>
      <c r="L209" s="70"/>
      <c r="M209" s="70"/>
      <c r="N209" s="92">
        <f>30000000+6285.14-100000+8250000-1000000</f>
        <v>37156285.14</v>
      </c>
      <c r="O209" s="92">
        <f>30000000+6285.14-100000+8250000-1000000</f>
        <v>37156285.14</v>
      </c>
      <c r="P209" s="64">
        <f>E209+J209</f>
        <v>37351285.14</v>
      </c>
      <c r="Q209" s="148"/>
    </row>
    <row r="210" spans="1:17" s="101" customFormat="1" ht="45">
      <c r="A210" s="100"/>
      <c r="B210" s="110" t="s">
        <v>251</v>
      </c>
      <c r="C210" s="83" t="s">
        <v>79</v>
      </c>
      <c r="D210" s="84" t="s">
        <v>250</v>
      </c>
      <c r="E210" s="64">
        <f>F210+I210</f>
        <v>0</v>
      </c>
      <c r="F210" s="70"/>
      <c r="G210" s="70"/>
      <c r="H210" s="70"/>
      <c r="I210" s="70"/>
      <c r="J210" s="64">
        <f>K210+N210</f>
        <v>3000000</v>
      </c>
      <c r="K210" s="64"/>
      <c r="L210" s="64"/>
      <c r="M210" s="64"/>
      <c r="N210" s="64">
        <f>2000000+1000000</f>
        <v>3000000</v>
      </c>
      <c r="O210" s="64">
        <f>2000000+1000000</f>
        <v>3000000</v>
      </c>
      <c r="P210" s="64">
        <f>E210+J210</f>
        <v>3000000</v>
      </c>
      <c r="Q210" s="148"/>
    </row>
    <row r="211" spans="1:17" s="26" customFormat="1" ht="30">
      <c r="A211" s="48"/>
      <c r="B211" s="57" t="s">
        <v>254</v>
      </c>
      <c r="C211" s="45"/>
      <c r="D211" s="49" t="s">
        <v>253</v>
      </c>
      <c r="E211" s="73">
        <f>E212</f>
        <v>2445103</v>
      </c>
      <c r="F211" s="73">
        <f aca="true" t="shared" si="64" ref="F211:P211">F212</f>
        <v>0</v>
      </c>
      <c r="G211" s="73">
        <f t="shared" si="64"/>
        <v>0</v>
      </c>
      <c r="H211" s="73">
        <f t="shared" si="64"/>
        <v>0</v>
      </c>
      <c r="I211" s="73">
        <f t="shared" si="64"/>
        <v>2445103</v>
      </c>
      <c r="J211" s="73">
        <f t="shared" si="64"/>
        <v>0</v>
      </c>
      <c r="K211" s="73">
        <f t="shared" si="64"/>
        <v>0</v>
      </c>
      <c r="L211" s="73">
        <f t="shared" si="64"/>
        <v>0</v>
      </c>
      <c r="M211" s="73">
        <f t="shared" si="64"/>
        <v>0</v>
      </c>
      <c r="N211" s="73">
        <f t="shared" si="64"/>
        <v>0</v>
      </c>
      <c r="O211" s="73">
        <f t="shared" si="64"/>
        <v>0</v>
      </c>
      <c r="P211" s="73">
        <f t="shared" si="64"/>
        <v>2445103</v>
      </c>
      <c r="Q211" s="148"/>
    </row>
    <row r="212" spans="1:17" s="101" customFormat="1" ht="45">
      <c r="A212" s="100"/>
      <c r="B212" s="110" t="s">
        <v>255</v>
      </c>
      <c r="C212" s="83" t="s">
        <v>80</v>
      </c>
      <c r="D212" s="84" t="s">
        <v>252</v>
      </c>
      <c r="E212" s="64">
        <f aca="true" t="shared" si="65" ref="E212:E225">F212+I212</f>
        <v>2445103</v>
      </c>
      <c r="F212" s="64"/>
      <c r="G212" s="70"/>
      <c r="H212" s="70"/>
      <c r="I212" s="70">
        <f>1825100+120003+350000+150000</f>
        <v>2445103</v>
      </c>
      <c r="J212" s="64">
        <f aca="true" t="shared" si="66" ref="J212:J218">K212+N212</f>
        <v>0</v>
      </c>
      <c r="K212" s="70"/>
      <c r="L212" s="70"/>
      <c r="M212" s="70"/>
      <c r="N212" s="70"/>
      <c r="O212" s="70"/>
      <c r="P212" s="64">
        <f aca="true" t="shared" si="67" ref="P212:P219">E212+J212</f>
        <v>2445103</v>
      </c>
      <c r="Q212" s="148"/>
    </row>
    <row r="213" spans="1:17" s="26" customFormat="1" ht="15">
      <c r="A213" s="48"/>
      <c r="B213" s="57" t="s">
        <v>256</v>
      </c>
      <c r="C213" s="45" t="s">
        <v>21</v>
      </c>
      <c r="D213" s="49" t="s">
        <v>137</v>
      </c>
      <c r="E213" s="73">
        <f t="shared" si="65"/>
        <v>29119621</v>
      </c>
      <c r="F213" s="98">
        <f>9272300+200000-224000+3000000-9255-365036</f>
        <v>11874009</v>
      </c>
      <c r="G213" s="73"/>
      <c r="H213" s="73">
        <f>4106300+3000000</f>
        <v>7106300</v>
      </c>
      <c r="I213" s="73">
        <f>15895612+1700000-350000</f>
        <v>17245612</v>
      </c>
      <c r="J213" s="73">
        <f t="shared" si="66"/>
        <v>22018286</v>
      </c>
      <c r="K213" s="73"/>
      <c r="L213" s="73"/>
      <c r="M213" s="73"/>
      <c r="N213" s="73">
        <f>16250000+6500000-731714</f>
        <v>22018286</v>
      </c>
      <c r="O213" s="73">
        <f>16250000+6500000-731714</f>
        <v>22018286</v>
      </c>
      <c r="P213" s="73">
        <f t="shared" si="67"/>
        <v>51137907</v>
      </c>
      <c r="Q213" s="148"/>
    </row>
    <row r="214" spans="1:17" s="26" customFormat="1" ht="45">
      <c r="A214" s="24"/>
      <c r="B214" s="36" t="s">
        <v>445</v>
      </c>
      <c r="C214" s="27" t="s">
        <v>446</v>
      </c>
      <c r="D214" s="28" t="s">
        <v>447</v>
      </c>
      <c r="E214" s="35"/>
      <c r="F214" s="93"/>
      <c r="G214" s="35"/>
      <c r="H214" s="35"/>
      <c r="I214" s="35"/>
      <c r="J214" s="35">
        <f t="shared" si="66"/>
        <v>845938</v>
      </c>
      <c r="K214" s="35"/>
      <c r="L214" s="35"/>
      <c r="M214" s="35"/>
      <c r="N214" s="93">
        <v>845938</v>
      </c>
      <c r="O214" s="93">
        <v>845938</v>
      </c>
      <c r="P214" s="35">
        <f t="shared" si="67"/>
        <v>845938</v>
      </c>
      <c r="Q214" s="78"/>
    </row>
    <row r="215" spans="1:17" s="101" customFormat="1" ht="30">
      <c r="A215" s="100"/>
      <c r="B215" s="57" t="s">
        <v>350</v>
      </c>
      <c r="C215" s="45" t="s">
        <v>320</v>
      </c>
      <c r="D215" s="49" t="s">
        <v>321</v>
      </c>
      <c r="E215" s="69">
        <f>F215+I215</f>
        <v>465000</v>
      </c>
      <c r="F215" s="69"/>
      <c r="G215" s="69"/>
      <c r="H215" s="69"/>
      <c r="I215" s="69">
        <v>465000</v>
      </c>
      <c r="J215" s="69"/>
      <c r="K215" s="69"/>
      <c r="L215" s="69"/>
      <c r="M215" s="69"/>
      <c r="N215" s="69"/>
      <c r="O215" s="69"/>
      <c r="P215" s="35">
        <f t="shared" si="67"/>
        <v>465000</v>
      </c>
      <c r="Q215" s="148"/>
    </row>
    <row r="216" spans="1:17" s="101" customFormat="1" ht="15">
      <c r="A216" s="100"/>
      <c r="B216" s="57" t="s">
        <v>368</v>
      </c>
      <c r="C216" s="45" t="s">
        <v>81</v>
      </c>
      <c r="D216" s="49" t="s">
        <v>257</v>
      </c>
      <c r="E216" s="73">
        <f t="shared" si="65"/>
        <v>180000</v>
      </c>
      <c r="F216" s="73">
        <v>180000</v>
      </c>
      <c r="G216" s="69"/>
      <c r="H216" s="69"/>
      <c r="I216" s="69"/>
      <c r="J216" s="69"/>
      <c r="K216" s="69"/>
      <c r="L216" s="69"/>
      <c r="M216" s="69"/>
      <c r="N216" s="69"/>
      <c r="O216" s="69"/>
      <c r="P216" s="35">
        <f t="shared" si="67"/>
        <v>180000</v>
      </c>
      <c r="Q216" s="148"/>
    </row>
    <row r="217" spans="1:17" s="26" customFormat="1" ht="15">
      <c r="A217" s="48"/>
      <c r="B217" s="57" t="s">
        <v>259</v>
      </c>
      <c r="C217" s="45" t="s">
        <v>82</v>
      </c>
      <c r="D217" s="49" t="s">
        <v>258</v>
      </c>
      <c r="E217" s="73">
        <f t="shared" si="65"/>
        <v>1030000</v>
      </c>
      <c r="F217" s="73">
        <f>530000+500000</f>
        <v>1030000</v>
      </c>
      <c r="G217" s="58"/>
      <c r="H217" s="58"/>
      <c r="I217" s="58"/>
      <c r="J217" s="73">
        <f t="shared" si="66"/>
        <v>0</v>
      </c>
      <c r="K217" s="58"/>
      <c r="L217" s="58"/>
      <c r="M217" s="58"/>
      <c r="N217" s="58"/>
      <c r="O217" s="58"/>
      <c r="P217" s="73">
        <f t="shared" si="67"/>
        <v>1030000</v>
      </c>
      <c r="Q217" s="148"/>
    </row>
    <row r="218" spans="1:17" s="26" customFormat="1" ht="30">
      <c r="A218" s="24"/>
      <c r="B218" s="36" t="s">
        <v>260</v>
      </c>
      <c r="C218" s="27" t="s">
        <v>34</v>
      </c>
      <c r="D218" s="28" t="s">
        <v>142</v>
      </c>
      <c r="E218" s="35">
        <f t="shared" si="65"/>
        <v>0</v>
      </c>
      <c r="F218" s="58"/>
      <c r="G218" s="58"/>
      <c r="H218" s="58"/>
      <c r="I218" s="58"/>
      <c r="J218" s="73">
        <f t="shared" si="66"/>
        <v>19174150</v>
      </c>
      <c r="K218" s="58"/>
      <c r="L218" s="58"/>
      <c r="M218" s="58"/>
      <c r="N218" s="98">
        <f>12363400+2550000+4260750</f>
        <v>19174150</v>
      </c>
      <c r="O218" s="98">
        <f>12363400+2550000+4260750</f>
        <v>19174150</v>
      </c>
      <c r="P218" s="73">
        <f t="shared" si="67"/>
        <v>19174150</v>
      </c>
      <c r="Q218" s="148"/>
    </row>
    <row r="219" spans="1:17" s="26" customFormat="1" ht="15">
      <c r="A219" s="24"/>
      <c r="B219" s="133" t="s">
        <v>322</v>
      </c>
      <c r="C219" s="27" t="s">
        <v>323</v>
      </c>
      <c r="D219" s="28" t="s">
        <v>55</v>
      </c>
      <c r="E219" s="35">
        <f t="shared" si="65"/>
        <v>158800</v>
      </c>
      <c r="F219" s="93">
        <f>410000-251200</f>
        <v>158800</v>
      </c>
      <c r="G219" s="35"/>
      <c r="H219" s="35"/>
      <c r="I219" s="35"/>
      <c r="J219" s="35"/>
      <c r="K219" s="35"/>
      <c r="L219" s="35"/>
      <c r="M219" s="35"/>
      <c r="N219" s="35"/>
      <c r="O219" s="35"/>
      <c r="P219" s="35">
        <f t="shared" si="67"/>
        <v>158800</v>
      </c>
      <c r="Q219" s="148"/>
    </row>
    <row r="220" spans="1:17" s="26" customFormat="1" ht="15">
      <c r="A220" s="24"/>
      <c r="B220" s="33" t="s">
        <v>264</v>
      </c>
      <c r="C220" s="27" t="s">
        <v>42</v>
      </c>
      <c r="D220" s="28" t="s">
        <v>19</v>
      </c>
      <c r="E220" s="35">
        <f>E221+E222</f>
        <v>1756263</v>
      </c>
      <c r="F220" s="35">
        <f aca="true" t="shared" si="68" ref="F220:P220">F221+F222</f>
        <v>1756263</v>
      </c>
      <c r="G220" s="35">
        <f t="shared" si="68"/>
        <v>0</v>
      </c>
      <c r="H220" s="35">
        <f t="shared" si="68"/>
        <v>72000</v>
      </c>
      <c r="I220" s="35">
        <f t="shared" si="68"/>
        <v>0</v>
      </c>
      <c r="J220" s="35">
        <f t="shared" si="68"/>
        <v>0</v>
      </c>
      <c r="K220" s="35">
        <f t="shared" si="68"/>
        <v>0</v>
      </c>
      <c r="L220" s="35">
        <f t="shared" si="68"/>
        <v>0</v>
      </c>
      <c r="M220" s="35">
        <f t="shared" si="68"/>
        <v>0</v>
      </c>
      <c r="N220" s="35">
        <f t="shared" si="68"/>
        <v>0</v>
      </c>
      <c r="O220" s="35">
        <f t="shared" si="68"/>
        <v>0</v>
      </c>
      <c r="P220" s="35">
        <f t="shared" si="68"/>
        <v>1756263</v>
      </c>
      <c r="Q220" s="148"/>
    </row>
    <row r="221" spans="1:17" s="26" customFormat="1" ht="90">
      <c r="A221" s="24"/>
      <c r="B221" s="83" t="s">
        <v>265</v>
      </c>
      <c r="C221" s="83" t="s">
        <v>42</v>
      </c>
      <c r="D221" s="134" t="s">
        <v>349</v>
      </c>
      <c r="E221" s="64">
        <f>F221+I221</f>
        <v>258120</v>
      </c>
      <c r="F221" s="64">
        <v>258120</v>
      </c>
      <c r="G221" s="70"/>
      <c r="H221" s="70"/>
      <c r="I221" s="70"/>
      <c r="J221" s="64"/>
      <c r="K221" s="70"/>
      <c r="L221" s="70"/>
      <c r="M221" s="70"/>
      <c r="N221" s="70"/>
      <c r="O221" s="70"/>
      <c r="P221" s="35">
        <f>E221+J221</f>
        <v>258120</v>
      </c>
      <c r="Q221" s="148"/>
    </row>
    <row r="222" spans="1:17" s="26" customFormat="1" ht="60">
      <c r="A222" s="24"/>
      <c r="B222" s="83" t="s">
        <v>266</v>
      </c>
      <c r="C222" s="83" t="s">
        <v>42</v>
      </c>
      <c r="D222" s="102" t="s">
        <v>348</v>
      </c>
      <c r="E222" s="64">
        <f>F222+I222</f>
        <v>1498143</v>
      </c>
      <c r="F222" s="92">
        <f>1429000+1920+67223</f>
        <v>1498143</v>
      </c>
      <c r="G222" s="70"/>
      <c r="H222" s="70">
        <v>72000</v>
      </c>
      <c r="I222" s="70"/>
      <c r="J222" s="64"/>
      <c r="K222" s="70"/>
      <c r="L222" s="70"/>
      <c r="M222" s="70"/>
      <c r="N222" s="70"/>
      <c r="O222" s="70"/>
      <c r="P222" s="35">
        <f>E222+J222</f>
        <v>1498143</v>
      </c>
      <c r="Q222" s="148"/>
    </row>
    <row r="223" spans="1:17" s="26" customFormat="1" ht="15">
      <c r="A223" s="24"/>
      <c r="B223" s="40">
        <v>4118800</v>
      </c>
      <c r="C223" s="27" t="s">
        <v>89</v>
      </c>
      <c r="D223" s="34" t="s">
        <v>90</v>
      </c>
      <c r="E223" s="35">
        <f>E224</f>
        <v>229500</v>
      </c>
      <c r="F223" s="35">
        <f aca="true" t="shared" si="69" ref="F223:P223">F224</f>
        <v>229500</v>
      </c>
      <c r="G223" s="35">
        <f t="shared" si="69"/>
        <v>0</v>
      </c>
      <c r="H223" s="35">
        <f t="shared" si="69"/>
        <v>0</v>
      </c>
      <c r="I223" s="35">
        <f t="shared" si="69"/>
        <v>0</v>
      </c>
      <c r="J223" s="35">
        <f t="shared" si="69"/>
        <v>750500</v>
      </c>
      <c r="K223" s="35">
        <f t="shared" si="69"/>
        <v>0</v>
      </c>
      <c r="L223" s="35">
        <f t="shared" si="69"/>
        <v>0</v>
      </c>
      <c r="M223" s="35">
        <f t="shared" si="69"/>
        <v>0</v>
      </c>
      <c r="N223" s="35">
        <f t="shared" si="69"/>
        <v>750500</v>
      </c>
      <c r="O223" s="35">
        <f t="shared" si="69"/>
        <v>750500</v>
      </c>
      <c r="P223" s="35">
        <f t="shared" si="69"/>
        <v>980000</v>
      </c>
      <c r="Q223" s="148"/>
    </row>
    <row r="224" spans="1:17" s="26" customFormat="1" ht="114.75" customHeight="1">
      <c r="A224" s="24"/>
      <c r="B224" s="83" t="s">
        <v>324</v>
      </c>
      <c r="C224" s="83" t="s">
        <v>89</v>
      </c>
      <c r="D224" s="134" t="s">
        <v>305</v>
      </c>
      <c r="E224" s="75">
        <f>F224+I224</f>
        <v>229500</v>
      </c>
      <c r="F224" s="73">
        <v>229500</v>
      </c>
      <c r="G224" s="58"/>
      <c r="H224" s="58"/>
      <c r="I224" s="58"/>
      <c r="J224" s="73">
        <f>K224+N224</f>
        <v>750500</v>
      </c>
      <c r="K224" s="58"/>
      <c r="L224" s="58"/>
      <c r="M224" s="58"/>
      <c r="N224" s="73">
        <v>750500</v>
      </c>
      <c r="O224" s="73">
        <v>750500</v>
      </c>
      <c r="P224" s="73">
        <f>E224+J224</f>
        <v>980000</v>
      </c>
      <c r="Q224" s="148"/>
    </row>
    <row r="225" spans="1:17" s="26" customFormat="1" ht="30">
      <c r="A225" s="24"/>
      <c r="B225" s="36" t="s">
        <v>261</v>
      </c>
      <c r="C225" s="27" t="s">
        <v>83</v>
      </c>
      <c r="D225" s="28" t="s">
        <v>84</v>
      </c>
      <c r="E225" s="35">
        <f t="shared" si="65"/>
        <v>0</v>
      </c>
      <c r="F225" s="35">
        <f>220000-220000</f>
        <v>0</v>
      </c>
      <c r="G225" s="35"/>
      <c r="H225" s="35"/>
      <c r="I225" s="35"/>
      <c r="J225" s="35">
        <f>K225+N225</f>
        <v>5200738</v>
      </c>
      <c r="K225" s="35">
        <f>350000+120000</f>
        <v>470000</v>
      </c>
      <c r="L225" s="35"/>
      <c r="M225" s="35"/>
      <c r="N225" s="35">
        <f>54000+1184200+3492538</f>
        <v>4730738</v>
      </c>
      <c r="O225" s="35">
        <f>868800-868800</f>
        <v>0</v>
      </c>
      <c r="P225" s="35">
        <f>E225+J225</f>
        <v>5200738</v>
      </c>
      <c r="Q225" s="148"/>
    </row>
    <row r="226" spans="1:17" s="26" customFormat="1" ht="15">
      <c r="A226" s="24"/>
      <c r="B226" s="36" t="s">
        <v>433</v>
      </c>
      <c r="C226" s="27" t="s">
        <v>434</v>
      </c>
      <c r="D226" s="28" t="s">
        <v>435</v>
      </c>
      <c r="E226" s="35"/>
      <c r="F226" s="35"/>
      <c r="G226" s="35"/>
      <c r="H226" s="35"/>
      <c r="I226" s="35"/>
      <c r="J226" s="35">
        <f>K226+N226</f>
        <v>250000</v>
      </c>
      <c r="K226" s="93">
        <v>250000</v>
      </c>
      <c r="L226" s="35"/>
      <c r="M226" s="35"/>
      <c r="N226" s="35"/>
      <c r="O226" s="35"/>
      <c r="P226" s="35">
        <f>E226+J226</f>
        <v>250000</v>
      </c>
      <c r="Q226" s="148"/>
    </row>
    <row r="227" spans="1:17" s="26" customFormat="1" ht="30">
      <c r="A227" s="24"/>
      <c r="B227" s="36" t="s">
        <v>436</v>
      </c>
      <c r="C227" s="27" t="s">
        <v>437</v>
      </c>
      <c r="D227" s="28" t="s">
        <v>438</v>
      </c>
      <c r="E227" s="35"/>
      <c r="F227" s="35"/>
      <c r="G227" s="35"/>
      <c r="H227" s="35"/>
      <c r="I227" s="35"/>
      <c r="J227" s="35">
        <f>K227+N227</f>
        <v>18000</v>
      </c>
      <c r="K227" s="93">
        <v>18000</v>
      </c>
      <c r="L227" s="35"/>
      <c r="M227" s="35"/>
      <c r="N227" s="35"/>
      <c r="O227" s="35"/>
      <c r="P227" s="35">
        <f>E227+J227</f>
        <v>18000</v>
      </c>
      <c r="Q227" s="148"/>
    </row>
    <row r="228" spans="1:17" s="26" customFormat="1" ht="15">
      <c r="A228" s="24"/>
      <c r="B228" s="36" t="s">
        <v>439</v>
      </c>
      <c r="C228" s="27" t="s">
        <v>440</v>
      </c>
      <c r="D228" s="28" t="s">
        <v>55</v>
      </c>
      <c r="E228" s="35"/>
      <c r="F228" s="35"/>
      <c r="G228" s="35"/>
      <c r="H228" s="35"/>
      <c r="I228" s="35"/>
      <c r="J228" s="35">
        <f>K228+N228</f>
        <v>251200</v>
      </c>
      <c r="K228" s="93">
        <v>251200</v>
      </c>
      <c r="L228" s="35"/>
      <c r="M228" s="35"/>
      <c r="N228" s="35"/>
      <c r="O228" s="35"/>
      <c r="P228" s="35">
        <f>E228+J228</f>
        <v>251200</v>
      </c>
      <c r="Q228" s="148"/>
    </row>
    <row r="229" spans="1:17" s="26" customFormat="1" ht="60">
      <c r="A229" s="24"/>
      <c r="B229" s="36" t="s">
        <v>262</v>
      </c>
      <c r="C229" s="27" t="s">
        <v>39</v>
      </c>
      <c r="D229" s="28" t="s">
        <v>40</v>
      </c>
      <c r="E229" s="35">
        <f>E230</f>
        <v>0</v>
      </c>
      <c r="F229" s="35">
        <f aca="true" t="shared" si="70" ref="F229:P229">F230</f>
        <v>0</v>
      </c>
      <c r="G229" s="35">
        <f t="shared" si="70"/>
        <v>0</v>
      </c>
      <c r="H229" s="35">
        <f t="shared" si="70"/>
        <v>0</v>
      </c>
      <c r="I229" s="35">
        <f t="shared" si="70"/>
        <v>0</v>
      </c>
      <c r="J229" s="35">
        <f t="shared" si="70"/>
        <v>75000</v>
      </c>
      <c r="K229" s="35">
        <f t="shared" si="70"/>
        <v>75000</v>
      </c>
      <c r="L229" s="35">
        <f t="shared" si="70"/>
        <v>0</v>
      </c>
      <c r="M229" s="35">
        <f t="shared" si="70"/>
        <v>0</v>
      </c>
      <c r="N229" s="35">
        <f t="shared" si="70"/>
        <v>0</v>
      </c>
      <c r="O229" s="35">
        <f t="shared" si="70"/>
        <v>0</v>
      </c>
      <c r="P229" s="35">
        <f t="shared" si="70"/>
        <v>75000</v>
      </c>
      <c r="Q229" s="148"/>
    </row>
    <row r="230" spans="1:17" s="26" customFormat="1" ht="60">
      <c r="A230" s="24"/>
      <c r="B230" s="99" t="s">
        <v>263</v>
      </c>
      <c r="C230" s="83" t="s">
        <v>39</v>
      </c>
      <c r="D230" s="84" t="s">
        <v>40</v>
      </c>
      <c r="E230" s="73">
        <f>F230+I230</f>
        <v>0</v>
      </c>
      <c r="F230" s="73"/>
      <c r="G230" s="73"/>
      <c r="H230" s="73"/>
      <c r="I230" s="73"/>
      <c r="J230" s="73">
        <f>K230+N230</f>
        <v>75000</v>
      </c>
      <c r="K230" s="73">
        <v>75000</v>
      </c>
      <c r="L230" s="73"/>
      <c r="M230" s="73"/>
      <c r="N230" s="73"/>
      <c r="O230" s="58"/>
      <c r="P230" s="73">
        <f>E230+J230</f>
        <v>75000</v>
      </c>
      <c r="Q230" s="148"/>
    </row>
    <row r="231" spans="1:17" s="26" customFormat="1" ht="28.5">
      <c r="A231" s="24"/>
      <c r="B231" s="36" t="s">
        <v>271</v>
      </c>
      <c r="C231" s="31"/>
      <c r="D231" s="32" t="s">
        <v>268</v>
      </c>
      <c r="E231" s="58">
        <f>E232</f>
        <v>2750710</v>
      </c>
      <c r="F231" s="58">
        <f aca="true" t="shared" si="71" ref="F231:P231">F232</f>
        <v>2750710</v>
      </c>
      <c r="G231" s="58">
        <f t="shared" si="71"/>
        <v>1676660</v>
      </c>
      <c r="H231" s="58">
        <f t="shared" si="71"/>
        <v>154189</v>
      </c>
      <c r="I231" s="58">
        <f t="shared" si="71"/>
        <v>0</v>
      </c>
      <c r="J231" s="58">
        <f t="shared" si="71"/>
        <v>20000</v>
      </c>
      <c r="K231" s="58">
        <f t="shared" si="71"/>
        <v>0</v>
      </c>
      <c r="L231" s="58">
        <f t="shared" si="71"/>
        <v>0</v>
      </c>
      <c r="M231" s="58">
        <f t="shared" si="71"/>
        <v>0</v>
      </c>
      <c r="N231" s="58">
        <f t="shared" si="71"/>
        <v>20000</v>
      </c>
      <c r="O231" s="58">
        <f t="shared" si="71"/>
        <v>20000</v>
      </c>
      <c r="P231" s="58">
        <f t="shared" si="71"/>
        <v>2770710</v>
      </c>
      <c r="Q231" s="148"/>
    </row>
    <row r="232" spans="1:17" s="101" customFormat="1" ht="30">
      <c r="A232" s="100"/>
      <c r="B232" s="110" t="s">
        <v>270</v>
      </c>
      <c r="C232" s="51"/>
      <c r="D232" s="52" t="s">
        <v>268</v>
      </c>
      <c r="E232" s="70">
        <f>E233+E234+E235</f>
        <v>2750710</v>
      </c>
      <c r="F232" s="70">
        <f aca="true" t="shared" si="72" ref="F232:P232">F233+F234+F235</f>
        <v>2750710</v>
      </c>
      <c r="G232" s="70">
        <f t="shared" si="72"/>
        <v>1676660</v>
      </c>
      <c r="H232" s="70">
        <f t="shared" si="72"/>
        <v>154189</v>
      </c>
      <c r="I232" s="70">
        <f t="shared" si="72"/>
        <v>0</v>
      </c>
      <c r="J232" s="70">
        <f t="shared" si="72"/>
        <v>20000</v>
      </c>
      <c r="K232" s="70">
        <f t="shared" si="72"/>
        <v>0</v>
      </c>
      <c r="L232" s="70">
        <f t="shared" si="72"/>
        <v>0</v>
      </c>
      <c r="M232" s="70">
        <f t="shared" si="72"/>
        <v>0</v>
      </c>
      <c r="N232" s="70">
        <f t="shared" si="72"/>
        <v>20000</v>
      </c>
      <c r="O232" s="70">
        <f t="shared" si="72"/>
        <v>20000</v>
      </c>
      <c r="P232" s="70">
        <f t="shared" si="72"/>
        <v>2770710</v>
      </c>
      <c r="Q232" s="148"/>
    </row>
    <row r="233" spans="1:17" s="26" customFormat="1" ht="45">
      <c r="A233" s="48"/>
      <c r="B233" s="57" t="s">
        <v>269</v>
      </c>
      <c r="C233" s="45" t="s">
        <v>9</v>
      </c>
      <c r="D233" s="49" t="s">
        <v>100</v>
      </c>
      <c r="E233" s="73">
        <f>F233+I233</f>
        <v>2380210</v>
      </c>
      <c r="F233" s="98">
        <f>2737690-357480</f>
        <v>2380210</v>
      </c>
      <c r="G233" s="98">
        <f>1763030-86370</f>
        <v>1676660</v>
      </c>
      <c r="H233" s="73">
        <v>154189</v>
      </c>
      <c r="I233" s="73"/>
      <c r="J233" s="73">
        <f>K233+N233</f>
        <v>20000</v>
      </c>
      <c r="K233" s="73"/>
      <c r="L233" s="73"/>
      <c r="M233" s="73"/>
      <c r="N233" s="73">
        <v>20000</v>
      </c>
      <c r="O233" s="73">
        <v>20000</v>
      </c>
      <c r="P233" s="73">
        <f>E233+J233</f>
        <v>2400210</v>
      </c>
      <c r="Q233" s="148"/>
    </row>
    <row r="234" spans="1:17" s="26" customFormat="1" ht="15">
      <c r="A234" s="24"/>
      <c r="B234" s="36" t="s">
        <v>273</v>
      </c>
      <c r="C234" s="27" t="s">
        <v>81</v>
      </c>
      <c r="D234" s="28" t="s">
        <v>257</v>
      </c>
      <c r="E234" s="35">
        <f>F234+I234</f>
        <v>10500</v>
      </c>
      <c r="F234" s="35">
        <v>10500</v>
      </c>
      <c r="G234" s="58"/>
      <c r="H234" s="58"/>
      <c r="I234" s="58"/>
      <c r="J234" s="73">
        <f>K234+N234</f>
        <v>0</v>
      </c>
      <c r="K234" s="58"/>
      <c r="L234" s="58"/>
      <c r="M234" s="58"/>
      <c r="N234" s="58"/>
      <c r="O234" s="58"/>
      <c r="P234" s="73">
        <f>E234+J234</f>
        <v>10500</v>
      </c>
      <c r="Q234" s="148"/>
    </row>
    <row r="235" spans="1:17" s="26" customFormat="1" ht="15">
      <c r="A235" s="24"/>
      <c r="B235" s="33" t="s">
        <v>274</v>
      </c>
      <c r="C235" s="27" t="s">
        <v>42</v>
      </c>
      <c r="D235" s="28" t="s">
        <v>19</v>
      </c>
      <c r="E235" s="47">
        <f>E236</f>
        <v>360000</v>
      </c>
      <c r="F235" s="47">
        <f aca="true" t="shared" si="73" ref="F235:P235">F236</f>
        <v>360000</v>
      </c>
      <c r="G235" s="47">
        <f t="shared" si="73"/>
        <v>0</v>
      </c>
      <c r="H235" s="47">
        <f t="shared" si="73"/>
        <v>0</v>
      </c>
      <c r="I235" s="47">
        <f t="shared" si="73"/>
        <v>0</v>
      </c>
      <c r="J235" s="47">
        <f t="shared" si="73"/>
        <v>0</v>
      </c>
      <c r="K235" s="47">
        <f t="shared" si="73"/>
        <v>0</v>
      </c>
      <c r="L235" s="47">
        <f t="shared" si="73"/>
        <v>0</v>
      </c>
      <c r="M235" s="47">
        <f t="shared" si="73"/>
        <v>0</v>
      </c>
      <c r="N235" s="47">
        <f t="shared" si="73"/>
        <v>0</v>
      </c>
      <c r="O235" s="47">
        <f t="shared" si="73"/>
        <v>0</v>
      </c>
      <c r="P235" s="47">
        <f t="shared" si="73"/>
        <v>360000</v>
      </c>
      <c r="Q235" s="148"/>
    </row>
    <row r="236" spans="1:17" s="26" customFormat="1" ht="90">
      <c r="A236" s="24"/>
      <c r="B236" s="83" t="s">
        <v>275</v>
      </c>
      <c r="C236" s="83" t="s">
        <v>42</v>
      </c>
      <c r="D236" s="84" t="s">
        <v>351</v>
      </c>
      <c r="E236" s="73">
        <f>F236+I236</f>
        <v>360000</v>
      </c>
      <c r="F236" s="73">
        <v>360000</v>
      </c>
      <c r="G236" s="73"/>
      <c r="H236" s="73"/>
      <c r="I236" s="58"/>
      <c r="J236" s="73">
        <f>K236+N236</f>
        <v>0</v>
      </c>
      <c r="K236" s="58"/>
      <c r="L236" s="58"/>
      <c r="M236" s="58"/>
      <c r="N236" s="58"/>
      <c r="O236" s="58"/>
      <c r="P236" s="73">
        <f>E236+J236</f>
        <v>360000</v>
      </c>
      <c r="Q236" s="148"/>
    </row>
    <row r="237" spans="1:17" s="26" customFormat="1" ht="42.75">
      <c r="A237" s="24"/>
      <c r="B237" s="36" t="s">
        <v>277</v>
      </c>
      <c r="C237" s="31"/>
      <c r="D237" s="32" t="s">
        <v>276</v>
      </c>
      <c r="E237" s="58">
        <f>E238</f>
        <v>60272926</v>
      </c>
      <c r="F237" s="58">
        <f aca="true" t="shared" si="74" ref="F237:P237">F238</f>
        <v>60272926</v>
      </c>
      <c r="G237" s="58">
        <f t="shared" si="74"/>
        <v>0</v>
      </c>
      <c r="H237" s="58">
        <f t="shared" si="74"/>
        <v>0</v>
      </c>
      <c r="I237" s="58">
        <f t="shared" si="74"/>
        <v>0</v>
      </c>
      <c r="J237" s="58">
        <f t="shared" si="74"/>
        <v>210816224.94</v>
      </c>
      <c r="K237" s="58">
        <f t="shared" si="74"/>
        <v>2310233</v>
      </c>
      <c r="L237" s="58">
        <f t="shared" si="74"/>
        <v>1413770</v>
      </c>
      <c r="M237" s="58">
        <f t="shared" si="74"/>
        <v>50946</v>
      </c>
      <c r="N237" s="58">
        <f t="shared" si="74"/>
        <v>208505991.94</v>
      </c>
      <c r="O237" s="58">
        <f t="shared" si="74"/>
        <v>207399491.94</v>
      </c>
      <c r="P237" s="58">
        <f t="shared" si="74"/>
        <v>271089150.94</v>
      </c>
      <c r="Q237" s="148"/>
    </row>
    <row r="238" spans="1:17" s="101" customFormat="1" ht="45">
      <c r="A238" s="100"/>
      <c r="B238" s="110" t="s">
        <v>278</v>
      </c>
      <c r="C238" s="51"/>
      <c r="D238" s="52" t="s">
        <v>276</v>
      </c>
      <c r="E238" s="70">
        <f>E239+E240+E241+E242+E244+E248+E246+E243+E249</f>
        <v>60272926</v>
      </c>
      <c r="F238" s="70">
        <f aca="true" t="shared" si="75" ref="F238:P238">F239+F240+F241+F242+F244+F248+F246+F243+F249</f>
        <v>60272926</v>
      </c>
      <c r="G238" s="70">
        <f t="shared" si="75"/>
        <v>0</v>
      </c>
      <c r="H238" s="70">
        <f t="shared" si="75"/>
        <v>0</v>
      </c>
      <c r="I238" s="70">
        <f t="shared" si="75"/>
        <v>0</v>
      </c>
      <c r="J238" s="70">
        <f t="shared" si="75"/>
        <v>210816224.94</v>
      </c>
      <c r="K238" s="70">
        <f t="shared" si="75"/>
        <v>2310233</v>
      </c>
      <c r="L238" s="70">
        <f t="shared" si="75"/>
        <v>1413770</v>
      </c>
      <c r="M238" s="70">
        <f t="shared" si="75"/>
        <v>50946</v>
      </c>
      <c r="N238" s="70">
        <f t="shared" si="75"/>
        <v>208505991.94</v>
      </c>
      <c r="O238" s="70">
        <f t="shared" si="75"/>
        <v>207399491.94</v>
      </c>
      <c r="P238" s="70">
        <f t="shared" si="75"/>
        <v>271089150.94</v>
      </c>
      <c r="Q238" s="148"/>
    </row>
    <row r="239" spans="1:17" s="26" customFormat="1" ht="45">
      <c r="A239" s="48"/>
      <c r="B239" s="57" t="s">
        <v>279</v>
      </c>
      <c r="C239" s="45" t="s">
        <v>9</v>
      </c>
      <c r="D239" s="49" t="s">
        <v>100</v>
      </c>
      <c r="E239" s="73">
        <f>F239+I239</f>
        <v>0</v>
      </c>
      <c r="F239" s="73"/>
      <c r="G239" s="73"/>
      <c r="H239" s="73"/>
      <c r="I239" s="73"/>
      <c r="J239" s="73">
        <f>K239+N239</f>
        <v>2380664</v>
      </c>
      <c r="K239" s="73">
        <v>2280164</v>
      </c>
      <c r="L239" s="73">
        <v>1413770</v>
      </c>
      <c r="M239" s="73">
        <v>50946</v>
      </c>
      <c r="N239" s="73">
        <v>100500</v>
      </c>
      <c r="O239" s="73"/>
      <c r="P239" s="73">
        <f>E239+J239</f>
        <v>2380664</v>
      </c>
      <c r="Q239" s="148"/>
    </row>
    <row r="240" spans="1:17" s="26" customFormat="1" ht="30">
      <c r="A240" s="24"/>
      <c r="B240" s="36" t="s">
        <v>280</v>
      </c>
      <c r="C240" s="27" t="s">
        <v>56</v>
      </c>
      <c r="D240" s="28" t="s">
        <v>191</v>
      </c>
      <c r="E240" s="35"/>
      <c r="F240" s="35"/>
      <c r="G240" s="35"/>
      <c r="H240" s="35"/>
      <c r="I240" s="35"/>
      <c r="J240" s="35">
        <f>K240+N240</f>
        <v>1724000</v>
      </c>
      <c r="K240" s="35"/>
      <c r="L240" s="35"/>
      <c r="M240" s="35"/>
      <c r="N240" s="35">
        <v>1724000</v>
      </c>
      <c r="O240" s="35">
        <v>1724000</v>
      </c>
      <c r="P240" s="35">
        <f>E240+J240</f>
        <v>1724000</v>
      </c>
      <c r="Q240" s="148"/>
    </row>
    <row r="241" spans="1:17" s="26" customFormat="1" ht="15">
      <c r="A241" s="24"/>
      <c r="B241" s="36" t="s">
        <v>281</v>
      </c>
      <c r="C241" s="27" t="s">
        <v>21</v>
      </c>
      <c r="D241" s="28" t="s">
        <v>22</v>
      </c>
      <c r="E241" s="35">
        <f>F241+I241</f>
        <v>60000000</v>
      </c>
      <c r="F241" s="93">
        <f>30000000+30000000</f>
        <v>60000000</v>
      </c>
      <c r="G241" s="58"/>
      <c r="H241" s="58"/>
      <c r="I241" s="58"/>
      <c r="J241" s="73">
        <f>K241+N241</f>
        <v>71252200</v>
      </c>
      <c r="K241" s="58"/>
      <c r="L241" s="58"/>
      <c r="M241" s="58"/>
      <c r="N241" s="98">
        <f>35000000+16252200+20000000</f>
        <v>71252200</v>
      </c>
      <c r="O241" s="98">
        <f>35000000+16252200+20000000</f>
        <v>71252200</v>
      </c>
      <c r="P241" s="73">
        <f>E241+J241</f>
        <v>131252200</v>
      </c>
      <c r="Q241" s="148"/>
    </row>
    <row r="242" spans="1:17" s="26" customFormat="1" ht="30">
      <c r="A242" s="24"/>
      <c r="B242" s="36" t="s">
        <v>282</v>
      </c>
      <c r="C242" s="27" t="s">
        <v>85</v>
      </c>
      <c r="D242" s="28" t="s">
        <v>272</v>
      </c>
      <c r="E242" s="35">
        <f>F242+I242</f>
        <v>0</v>
      </c>
      <c r="F242" s="58"/>
      <c r="G242" s="58"/>
      <c r="H242" s="58"/>
      <c r="I242" s="58"/>
      <c r="J242" s="73">
        <f>K242+N242</f>
        <v>122423291.94</v>
      </c>
      <c r="K242" s="73"/>
      <c r="L242" s="73"/>
      <c r="M242" s="73"/>
      <c r="N242" s="98">
        <f>76917041.94+15082000+19829065.59+2000000+472250+8122934.41</f>
        <v>122423291.94</v>
      </c>
      <c r="O242" s="98">
        <f>76917041.94+15082000+19829065.59+2000000+472250+8122934.41</f>
        <v>122423291.94</v>
      </c>
      <c r="P242" s="73">
        <f>E242+J242</f>
        <v>122423291.94</v>
      </c>
      <c r="Q242" s="148"/>
    </row>
    <row r="243" spans="1:17" s="26" customFormat="1" ht="30">
      <c r="A243" s="24"/>
      <c r="B243" s="33" t="s">
        <v>444</v>
      </c>
      <c r="C243" s="27" t="s">
        <v>34</v>
      </c>
      <c r="D243" s="28" t="s">
        <v>142</v>
      </c>
      <c r="E243" s="35"/>
      <c r="F243" s="58"/>
      <c r="G243" s="58"/>
      <c r="H243" s="58"/>
      <c r="I243" s="58"/>
      <c r="J243" s="73">
        <f>K243+N243</f>
        <v>12000000</v>
      </c>
      <c r="K243" s="73"/>
      <c r="L243" s="73"/>
      <c r="M243" s="73"/>
      <c r="N243" s="98">
        <f>6750000+5250000</f>
        <v>12000000</v>
      </c>
      <c r="O243" s="98">
        <f>6750000+5250000</f>
        <v>12000000</v>
      </c>
      <c r="P243" s="73">
        <f>E243+J243</f>
        <v>12000000</v>
      </c>
      <c r="Q243" s="78"/>
    </row>
    <row r="244" spans="1:17" s="26" customFormat="1" ht="45">
      <c r="A244" s="24"/>
      <c r="B244" s="27" t="s">
        <v>310</v>
      </c>
      <c r="C244" s="27"/>
      <c r="D244" s="28" t="s">
        <v>285</v>
      </c>
      <c r="E244" s="35">
        <f>E245</f>
        <v>84905</v>
      </c>
      <c r="F244" s="35">
        <f aca="true" t="shared" si="76" ref="F244:P244">F245</f>
        <v>84905</v>
      </c>
      <c r="G244" s="35">
        <f t="shared" si="76"/>
        <v>0</v>
      </c>
      <c r="H244" s="35">
        <f t="shared" si="76"/>
        <v>0</v>
      </c>
      <c r="I244" s="35">
        <f t="shared" si="76"/>
        <v>0</v>
      </c>
      <c r="J244" s="35">
        <f t="shared" si="76"/>
        <v>30069</v>
      </c>
      <c r="K244" s="35">
        <f t="shared" si="76"/>
        <v>30069</v>
      </c>
      <c r="L244" s="35">
        <f t="shared" si="76"/>
        <v>0</v>
      </c>
      <c r="M244" s="35">
        <f t="shared" si="76"/>
        <v>0</v>
      </c>
      <c r="N244" s="35">
        <f t="shared" si="76"/>
        <v>0</v>
      </c>
      <c r="O244" s="35">
        <f t="shared" si="76"/>
        <v>0</v>
      </c>
      <c r="P244" s="35">
        <f t="shared" si="76"/>
        <v>114974</v>
      </c>
      <c r="Q244" s="148"/>
    </row>
    <row r="245" spans="1:17" s="26" customFormat="1" ht="75">
      <c r="A245" s="24"/>
      <c r="B245" s="110" t="s">
        <v>284</v>
      </c>
      <c r="C245" s="90" t="s">
        <v>86</v>
      </c>
      <c r="D245" s="84" t="s">
        <v>283</v>
      </c>
      <c r="E245" s="64">
        <f>F245+I245</f>
        <v>84905</v>
      </c>
      <c r="F245" s="64">
        <v>84905</v>
      </c>
      <c r="G245" s="64"/>
      <c r="H245" s="64"/>
      <c r="I245" s="64"/>
      <c r="J245" s="64">
        <f>K245+N245</f>
        <v>30069</v>
      </c>
      <c r="K245" s="64">
        <v>30069</v>
      </c>
      <c r="L245" s="70"/>
      <c r="M245" s="70"/>
      <c r="N245" s="70"/>
      <c r="O245" s="70"/>
      <c r="P245" s="64">
        <f>E245+J245</f>
        <v>114974</v>
      </c>
      <c r="Q245" s="148"/>
    </row>
    <row r="246" spans="1:17" s="26" customFormat="1" ht="15">
      <c r="A246" s="24"/>
      <c r="B246" s="33" t="s">
        <v>352</v>
      </c>
      <c r="C246" s="27" t="s">
        <v>42</v>
      </c>
      <c r="D246" s="28" t="s">
        <v>19</v>
      </c>
      <c r="E246" s="64">
        <f>E247</f>
        <v>188021</v>
      </c>
      <c r="F246" s="64">
        <f aca="true" t="shared" si="77" ref="F246:P246">F247</f>
        <v>188021</v>
      </c>
      <c r="G246" s="64">
        <f t="shared" si="77"/>
        <v>0</v>
      </c>
      <c r="H246" s="64">
        <f t="shared" si="77"/>
        <v>0</v>
      </c>
      <c r="I246" s="64">
        <f t="shared" si="77"/>
        <v>0</v>
      </c>
      <c r="J246" s="64">
        <f t="shared" si="77"/>
        <v>0</v>
      </c>
      <c r="K246" s="64">
        <f t="shared" si="77"/>
        <v>0</v>
      </c>
      <c r="L246" s="64">
        <f t="shared" si="77"/>
        <v>0</v>
      </c>
      <c r="M246" s="64">
        <f t="shared" si="77"/>
        <v>0</v>
      </c>
      <c r="N246" s="64">
        <f t="shared" si="77"/>
        <v>0</v>
      </c>
      <c r="O246" s="64">
        <f t="shared" si="77"/>
        <v>0</v>
      </c>
      <c r="P246" s="64">
        <f t="shared" si="77"/>
        <v>188021</v>
      </c>
      <c r="Q246" s="148"/>
    </row>
    <row r="247" spans="1:17" s="26" customFormat="1" ht="51.75" customHeight="1">
      <c r="A247" s="24"/>
      <c r="B247" s="83" t="s">
        <v>353</v>
      </c>
      <c r="C247" s="83" t="s">
        <v>42</v>
      </c>
      <c r="D247" s="84" t="s">
        <v>354</v>
      </c>
      <c r="E247" s="64">
        <f>F247+I247</f>
        <v>188021</v>
      </c>
      <c r="F247" s="64">
        <v>188021</v>
      </c>
      <c r="G247" s="64"/>
      <c r="H247" s="64"/>
      <c r="I247" s="64"/>
      <c r="J247" s="64"/>
      <c r="K247" s="64"/>
      <c r="L247" s="70"/>
      <c r="M247" s="70"/>
      <c r="N247" s="70"/>
      <c r="O247" s="70"/>
      <c r="P247" s="64">
        <f>J247+E247</f>
        <v>188021</v>
      </c>
      <c r="Q247" s="148"/>
    </row>
    <row r="248" spans="1:17" s="26" customFormat="1" ht="30">
      <c r="A248" s="24"/>
      <c r="B248" s="36" t="s">
        <v>325</v>
      </c>
      <c r="C248" s="27" t="s">
        <v>83</v>
      </c>
      <c r="D248" s="28" t="s">
        <v>84</v>
      </c>
      <c r="E248" s="35"/>
      <c r="F248" s="35"/>
      <c r="G248" s="35"/>
      <c r="H248" s="35"/>
      <c r="I248" s="35"/>
      <c r="J248" s="35">
        <f>K248+N248</f>
        <v>606000</v>
      </c>
      <c r="K248" s="35"/>
      <c r="L248" s="58"/>
      <c r="M248" s="58"/>
      <c r="N248" s="73">
        <f>126000+480000</f>
        <v>606000</v>
      </c>
      <c r="O248" s="58"/>
      <c r="P248" s="73">
        <f>E248+J248</f>
        <v>606000</v>
      </c>
      <c r="Q248" s="148"/>
    </row>
    <row r="249" spans="1:17" s="26" customFormat="1" ht="15">
      <c r="A249" s="24"/>
      <c r="B249" s="104" t="s">
        <v>462</v>
      </c>
      <c r="C249" s="123" t="s">
        <v>440</v>
      </c>
      <c r="D249" s="124" t="s">
        <v>55</v>
      </c>
      <c r="E249" s="35"/>
      <c r="F249" s="35"/>
      <c r="G249" s="35"/>
      <c r="H249" s="35"/>
      <c r="I249" s="35"/>
      <c r="J249" s="35">
        <f>K249+N249</f>
        <v>400000</v>
      </c>
      <c r="K249" s="35"/>
      <c r="L249" s="58"/>
      <c r="M249" s="58"/>
      <c r="N249" s="73">
        <v>400000</v>
      </c>
      <c r="O249" s="58"/>
      <c r="P249" s="73">
        <f>E249+J249</f>
        <v>400000</v>
      </c>
      <c r="Q249" s="148"/>
    </row>
    <row r="250" spans="1:17" s="26" customFormat="1" ht="42.75">
      <c r="A250" s="24"/>
      <c r="B250" s="40">
        <v>4800000</v>
      </c>
      <c r="C250" s="31"/>
      <c r="D250" s="32" t="s">
        <v>286</v>
      </c>
      <c r="E250" s="58">
        <f>E251</f>
        <v>4278210</v>
      </c>
      <c r="F250" s="58">
        <f aca="true" t="shared" si="78" ref="F250:P250">F251</f>
        <v>4278210</v>
      </c>
      <c r="G250" s="58">
        <f t="shared" si="78"/>
        <v>2986650</v>
      </c>
      <c r="H250" s="58">
        <f t="shared" si="78"/>
        <v>167498</v>
      </c>
      <c r="I250" s="58">
        <f t="shared" si="78"/>
        <v>0</v>
      </c>
      <c r="J250" s="58">
        <f t="shared" si="78"/>
        <v>1123000</v>
      </c>
      <c r="K250" s="58">
        <f t="shared" si="78"/>
        <v>725000</v>
      </c>
      <c r="L250" s="58">
        <f t="shared" si="78"/>
        <v>0</v>
      </c>
      <c r="M250" s="58">
        <f t="shared" si="78"/>
        <v>0</v>
      </c>
      <c r="N250" s="58">
        <f t="shared" si="78"/>
        <v>398000</v>
      </c>
      <c r="O250" s="58">
        <f t="shared" si="78"/>
        <v>398000</v>
      </c>
      <c r="P250" s="58">
        <f t="shared" si="78"/>
        <v>5401210</v>
      </c>
      <c r="Q250" s="148"/>
    </row>
    <row r="251" spans="1:17" s="101" customFormat="1" ht="45">
      <c r="A251" s="100"/>
      <c r="B251" s="82">
        <v>4810000</v>
      </c>
      <c r="C251" s="51"/>
      <c r="D251" s="52" t="s">
        <v>286</v>
      </c>
      <c r="E251" s="70">
        <f aca="true" t="shared" si="79" ref="E251:P251">E252+E253+E257+E254</f>
        <v>4278210</v>
      </c>
      <c r="F251" s="70">
        <f t="shared" si="79"/>
        <v>4278210</v>
      </c>
      <c r="G251" s="70">
        <f t="shared" si="79"/>
        <v>2986650</v>
      </c>
      <c r="H251" s="70">
        <f t="shared" si="79"/>
        <v>167498</v>
      </c>
      <c r="I251" s="70">
        <f t="shared" si="79"/>
        <v>0</v>
      </c>
      <c r="J251" s="70">
        <f t="shared" si="79"/>
        <v>1123000</v>
      </c>
      <c r="K251" s="70">
        <f t="shared" si="79"/>
        <v>725000</v>
      </c>
      <c r="L251" s="70">
        <f t="shared" si="79"/>
        <v>0</v>
      </c>
      <c r="M251" s="70">
        <f t="shared" si="79"/>
        <v>0</v>
      </c>
      <c r="N251" s="70">
        <f t="shared" si="79"/>
        <v>398000</v>
      </c>
      <c r="O251" s="70">
        <f t="shared" si="79"/>
        <v>398000</v>
      </c>
      <c r="P251" s="70">
        <f t="shared" si="79"/>
        <v>5401210</v>
      </c>
      <c r="Q251" s="148"/>
    </row>
    <row r="252" spans="1:17" s="26" customFormat="1" ht="45">
      <c r="A252" s="48"/>
      <c r="B252" s="57" t="s">
        <v>287</v>
      </c>
      <c r="C252" s="45" t="s">
        <v>9</v>
      </c>
      <c r="D252" s="49" t="s">
        <v>100</v>
      </c>
      <c r="E252" s="73">
        <f>F252+I252</f>
        <v>4093110</v>
      </c>
      <c r="F252" s="98">
        <f>4520200-427090</f>
        <v>4093110</v>
      </c>
      <c r="G252" s="73">
        <v>2986650</v>
      </c>
      <c r="H252" s="73">
        <v>167498</v>
      </c>
      <c r="I252" s="73"/>
      <c r="J252" s="73">
        <f>K252+N252</f>
        <v>250000</v>
      </c>
      <c r="K252" s="73"/>
      <c r="L252" s="73"/>
      <c r="M252" s="73"/>
      <c r="N252" s="73">
        <v>250000</v>
      </c>
      <c r="O252" s="73">
        <v>250000</v>
      </c>
      <c r="P252" s="73">
        <f>E252+J252</f>
        <v>4343110</v>
      </c>
      <c r="Q252" s="148"/>
    </row>
    <row r="253" spans="1:17" s="26" customFormat="1" ht="15">
      <c r="A253" s="24"/>
      <c r="B253" s="36" t="s">
        <v>288</v>
      </c>
      <c r="C253" s="27" t="s">
        <v>81</v>
      </c>
      <c r="D253" s="28" t="s">
        <v>257</v>
      </c>
      <c r="E253" s="35">
        <f>F253+I253</f>
        <v>0</v>
      </c>
      <c r="F253" s="58"/>
      <c r="G253" s="58"/>
      <c r="H253" s="58"/>
      <c r="I253" s="58"/>
      <c r="J253" s="73">
        <f>K253+N253</f>
        <v>148000</v>
      </c>
      <c r="K253" s="73"/>
      <c r="L253" s="73"/>
      <c r="M253" s="73"/>
      <c r="N253" s="73">
        <v>148000</v>
      </c>
      <c r="O253" s="73">
        <v>148000</v>
      </c>
      <c r="P253" s="73">
        <f>E253+J253</f>
        <v>148000</v>
      </c>
      <c r="Q253" s="148"/>
    </row>
    <row r="254" spans="1:17" s="26" customFormat="1" ht="15">
      <c r="A254" s="24"/>
      <c r="B254" s="83" t="s">
        <v>296</v>
      </c>
      <c r="C254" s="45" t="s">
        <v>42</v>
      </c>
      <c r="D254" s="49" t="s">
        <v>19</v>
      </c>
      <c r="E254" s="73">
        <f>E255+E256</f>
        <v>185100</v>
      </c>
      <c r="F254" s="73">
        <f aca="true" t="shared" si="80" ref="F254:P254">F255+F256</f>
        <v>185100</v>
      </c>
      <c r="G254" s="73">
        <f t="shared" si="80"/>
        <v>0</v>
      </c>
      <c r="H254" s="73">
        <f t="shared" si="80"/>
        <v>0</v>
      </c>
      <c r="I254" s="73">
        <f t="shared" si="80"/>
        <v>0</v>
      </c>
      <c r="J254" s="73">
        <f t="shared" si="80"/>
        <v>0</v>
      </c>
      <c r="K254" s="73">
        <f t="shared" si="80"/>
        <v>0</v>
      </c>
      <c r="L254" s="73">
        <f t="shared" si="80"/>
        <v>0</v>
      </c>
      <c r="M254" s="73">
        <f t="shared" si="80"/>
        <v>0</v>
      </c>
      <c r="N254" s="73">
        <f t="shared" si="80"/>
        <v>0</v>
      </c>
      <c r="O254" s="73">
        <f t="shared" si="80"/>
        <v>0</v>
      </c>
      <c r="P254" s="73">
        <f t="shared" si="80"/>
        <v>185100</v>
      </c>
      <c r="Q254" s="148"/>
    </row>
    <row r="255" spans="1:17" s="101" customFormat="1" ht="60">
      <c r="A255" s="100"/>
      <c r="B255" s="83" t="s">
        <v>297</v>
      </c>
      <c r="C255" s="83" t="s">
        <v>42</v>
      </c>
      <c r="D255" s="102" t="s">
        <v>267</v>
      </c>
      <c r="E255" s="64">
        <f>F255+I255</f>
        <v>170000</v>
      </c>
      <c r="F255" s="64">
        <f>170000</f>
        <v>170000</v>
      </c>
      <c r="G255" s="70"/>
      <c r="H255" s="70"/>
      <c r="I255" s="70"/>
      <c r="J255" s="64">
        <f>K255+N255</f>
        <v>0</v>
      </c>
      <c r="K255" s="70"/>
      <c r="L255" s="70"/>
      <c r="M255" s="70"/>
      <c r="N255" s="70"/>
      <c r="O255" s="70"/>
      <c r="P255" s="64">
        <f>E255+J255</f>
        <v>170000</v>
      </c>
      <c r="Q255" s="148"/>
    </row>
    <row r="256" spans="1:17" s="101" customFormat="1" ht="45">
      <c r="A256" s="100"/>
      <c r="B256" s="83" t="s">
        <v>457</v>
      </c>
      <c r="C256" s="83" t="s">
        <v>42</v>
      </c>
      <c r="D256" s="103" t="s">
        <v>342</v>
      </c>
      <c r="E256" s="64">
        <f>F256+I256</f>
        <v>15100</v>
      </c>
      <c r="F256" s="64">
        <v>15100</v>
      </c>
      <c r="G256" s="70"/>
      <c r="H256" s="70"/>
      <c r="I256" s="70"/>
      <c r="J256" s="64"/>
      <c r="K256" s="70"/>
      <c r="L256" s="70"/>
      <c r="M256" s="70"/>
      <c r="N256" s="70"/>
      <c r="O256" s="70"/>
      <c r="P256" s="64">
        <f>E256+J256</f>
        <v>15100</v>
      </c>
      <c r="Q256" s="148"/>
    </row>
    <row r="257" spans="1:17" s="26" customFormat="1" ht="60">
      <c r="A257" s="48"/>
      <c r="B257" s="57" t="s">
        <v>289</v>
      </c>
      <c r="C257" s="45" t="s">
        <v>39</v>
      </c>
      <c r="D257" s="49" t="s">
        <v>40</v>
      </c>
      <c r="E257" s="73">
        <f>E258</f>
        <v>0</v>
      </c>
      <c r="F257" s="73">
        <f aca="true" t="shared" si="81" ref="F257:P257">F258</f>
        <v>0</v>
      </c>
      <c r="G257" s="73">
        <f t="shared" si="81"/>
        <v>0</v>
      </c>
      <c r="H257" s="73">
        <f t="shared" si="81"/>
        <v>0</v>
      </c>
      <c r="I257" s="73">
        <f t="shared" si="81"/>
        <v>0</v>
      </c>
      <c r="J257" s="73">
        <f t="shared" si="81"/>
        <v>725000</v>
      </c>
      <c r="K257" s="73">
        <f t="shared" si="81"/>
        <v>725000</v>
      </c>
      <c r="L257" s="73">
        <f t="shared" si="81"/>
        <v>0</v>
      </c>
      <c r="M257" s="73">
        <f t="shared" si="81"/>
        <v>0</v>
      </c>
      <c r="N257" s="73">
        <f t="shared" si="81"/>
        <v>0</v>
      </c>
      <c r="O257" s="73">
        <f t="shared" si="81"/>
        <v>0</v>
      </c>
      <c r="P257" s="73">
        <f t="shared" si="81"/>
        <v>725000</v>
      </c>
      <c r="Q257" s="148"/>
    </row>
    <row r="258" spans="1:17" s="101" customFormat="1" ht="60">
      <c r="A258" s="100"/>
      <c r="B258" s="99" t="s">
        <v>290</v>
      </c>
      <c r="C258" s="83" t="s">
        <v>39</v>
      </c>
      <c r="D258" s="84" t="s">
        <v>40</v>
      </c>
      <c r="E258" s="64">
        <f>F258+I258</f>
        <v>0</v>
      </c>
      <c r="F258" s="70"/>
      <c r="G258" s="70"/>
      <c r="H258" s="70"/>
      <c r="I258" s="70"/>
      <c r="J258" s="64">
        <f>K258+N258</f>
        <v>725000</v>
      </c>
      <c r="K258" s="64">
        <v>725000</v>
      </c>
      <c r="L258" s="70"/>
      <c r="M258" s="70"/>
      <c r="N258" s="70"/>
      <c r="O258" s="70"/>
      <c r="P258" s="64">
        <f>E258+J258</f>
        <v>725000</v>
      </c>
      <c r="Q258" s="148"/>
    </row>
    <row r="259" spans="1:17" s="101" customFormat="1" ht="42.75">
      <c r="A259" s="100"/>
      <c r="B259" s="54">
        <v>4900000</v>
      </c>
      <c r="C259" s="31"/>
      <c r="D259" s="32" t="s">
        <v>373</v>
      </c>
      <c r="E259" s="58">
        <f>E260</f>
        <v>714758</v>
      </c>
      <c r="F259" s="58">
        <f aca="true" t="shared" si="82" ref="F259:P259">F260</f>
        <v>714758</v>
      </c>
      <c r="G259" s="58">
        <f t="shared" si="82"/>
        <v>433970</v>
      </c>
      <c r="H259" s="58">
        <f t="shared" si="82"/>
        <v>34232</v>
      </c>
      <c r="I259" s="58">
        <f t="shared" si="82"/>
        <v>0</v>
      </c>
      <c r="J259" s="58">
        <f t="shared" si="82"/>
        <v>134100</v>
      </c>
      <c r="K259" s="58">
        <f t="shared" si="82"/>
        <v>0</v>
      </c>
      <c r="L259" s="58">
        <f t="shared" si="82"/>
        <v>0</v>
      </c>
      <c r="M259" s="58">
        <f t="shared" si="82"/>
        <v>0</v>
      </c>
      <c r="N259" s="58">
        <f t="shared" si="82"/>
        <v>134100</v>
      </c>
      <c r="O259" s="58">
        <f t="shared" si="82"/>
        <v>134100</v>
      </c>
      <c r="P259" s="58">
        <f t="shared" si="82"/>
        <v>848858</v>
      </c>
      <c r="Q259" s="148"/>
    </row>
    <row r="260" spans="1:17" s="101" customFormat="1" ht="45">
      <c r="A260" s="100"/>
      <c r="B260" s="82">
        <v>4910000</v>
      </c>
      <c r="C260" s="51"/>
      <c r="D260" s="84" t="s">
        <v>373</v>
      </c>
      <c r="E260" s="64">
        <f>E261</f>
        <v>714758</v>
      </c>
      <c r="F260" s="64">
        <f aca="true" t="shared" si="83" ref="F260:O260">F261</f>
        <v>714758</v>
      </c>
      <c r="G260" s="64">
        <f t="shared" si="83"/>
        <v>433970</v>
      </c>
      <c r="H260" s="64">
        <f t="shared" si="83"/>
        <v>34232</v>
      </c>
      <c r="I260" s="64">
        <f t="shared" si="83"/>
        <v>0</v>
      </c>
      <c r="J260" s="64">
        <f t="shared" si="83"/>
        <v>134100</v>
      </c>
      <c r="K260" s="64">
        <f t="shared" si="83"/>
        <v>0</v>
      </c>
      <c r="L260" s="64">
        <f t="shared" si="83"/>
        <v>0</v>
      </c>
      <c r="M260" s="64">
        <f t="shared" si="83"/>
        <v>0</v>
      </c>
      <c r="N260" s="64">
        <f t="shared" si="83"/>
        <v>134100</v>
      </c>
      <c r="O260" s="64">
        <f t="shared" si="83"/>
        <v>134100</v>
      </c>
      <c r="P260" s="64">
        <f>J260+E260</f>
        <v>848858</v>
      </c>
      <c r="Q260" s="148"/>
    </row>
    <row r="261" spans="1:17" s="101" customFormat="1" ht="45">
      <c r="A261" s="100"/>
      <c r="B261" s="57" t="s">
        <v>369</v>
      </c>
      <c r="C261" s="45" t="s">
        <v>9</v>
      </c>
      <c r="D261" s="49" t="s">
        <v>100</v>
      </c>
      <c r="E261" s="69">
        <f>F261+I261</f>
        <v>714758</v>
      </c>
      <c r="F261" s="146">
        <f>710680-62060+66138</f>
        <v>714758</v>
      </c>
      <c r="G261" s="70">
        <v>433970</v>
      </c>
      <c r="H261" s="70">
        <v>34232</v>
      </c>
      <c r="I261" s="70"/>
      <c r="J261" s="64">
        <f>K261+N261</f>
        <v>134100</v>
      </c>
      <c r="K261" s="64"/>
      <c r="L261" s="70"/>
      <c r="M261" s="70"/>
      <c r="N261" s="70">
        <v>134100</v>
      </c>
      <c r="O261" s="70">
        <v>134100</v>
      </c>
      <c r="P261" s="64">
        <f>J261+E261</f>
        <v>848858</v>
      </c>
      <c r="Q261" s="148"/>
    </row>
    <row r="262" spans="1:17" s="26" customFormat="1" ht="28.5">
      <c r="A262" s="48"/>
      <c r="B262" s="54">
        <v>5000000</v>
      </c>
      <c r="C262" s="45"/>
      <c r="D262" s="32" t="s">
        <v>291</v>
      </c>
      <c r="E262" s="58">
        <f>E263</f>
        <v>1941570</v>
      </c>
      <c r="F262" s="58">
        <f aca="true" t="shared" si="84" ref="F262:P262">F263</f>
        <v>1941570</v>
      </c>
      <c r="G262" s="58">
        <f t="shared" si="84"/>
        <v>1146200</v>
      </c>
      <c r="H262" s="58">
        <f t="shared" si="84"/>
        <v>83538</v>
      </c>
      <c r="I262" s="58">
        <f t="shared" si="84"/>
        <v>0</v>
      </c>
      <c r="J262" s="58">
        <f t="shared" si="84"/>
        <v>30000</v>
      </c>
      <c r="K262" s="58">
        <f t="shared" si="84"/>
        <v>0</v>
      </c>
      <c r="L262" s="58">
        <f t="shared" si="84"/>
        <v>0</v>
      </c>
      <c r="M262" s="58">
        <f t="shared" si="84"/>
        <v>0</v>
      </c>
      <c r="N262" s="58">
        <f t="shared" si="84"/>
        <v>30000</v>
      </c>
      <c r="O262" s="58">
        <f t="shared" si="84"/>
        <v>30000</v>
      </c>
      <c r="P262" s="58">
        <f t="shared" si="84"/>
        <v>1971570</v>
      </c>
      <c r="Q262" s="148"/>
    </row>
    <row r="263" spans="1:17" s="136" customFormat="1" ht="30">
      <c r="A263" s="135"/>
      <c r="B263" s="82">
        <v>5010000</v>
      </c>
      <c r="C263" s="83"/>
      <c r="D263" s="52" t="s">
        <v>291</v>
      </c>
      <c r="E263" s="70">
        <f>E264+E265</f>
        <v>1941570</v>
      </c>
      <c r="F263" s="70">
        <f aca="true" t="shared" si="85" ref="F263:P263">F264+F265</f>
        <v>1941570</v>
      </c>
      <c r="G263" s="70">
        <f t="shared" si="85"/>
        <v>1146200</v>
      </c>
      <c r="H263" s="70">
        <f t="shared" si="85"/>
        <v>83538</v>
      </c>
      <c r="I263" s="70">
        <f t="shared" si="85"/>
        <v>0</v>
      </c>
      <c r="J263" s="70">
        <f t="shared" si="85"/>
        <v>30000</v>
      </c>
      <c r="K263" s="70">
        <f t="shared" si="85"/>
        <v>0</v>
      </c>
      <c r="L263" s="70">
        <f t="shared" si="85"/>
        <v>0</v>
      </c>
      <c r="M263" s="70">
        <f t="shared" si="85"/>
        <v>0</v>
      </c>
      <c r="N263" s="70">
        <f t="shared" si="85"/>
        <v>30000</v>
      </c>
      <c r="O263" s="70">
        <f t="shared" si="85"/>
        <v>30000</v>
      </c>
      <c r="P263" s="70">
        <f t="shared" si="85"/>
        <v>1971570</v>
      </c>
      <c r="Q263" s="148"/>
    </row>
    <row r="264" spans="1:17" s="26" customFormat="1" ht="45">
      <c r="A264" s="48"/>
      <c r="B264" s="57" t="s">
        <v>292</v>
      </c>
      <c r="C264" s="45" t="s">
        <v>9</v>
      </c>
      <c r="D264" s="49" t="s">
        <v>100</v>
      </c>
      <c r="E264" s="73">
        <f>F264+I264</f>
        <v>1591570</v>
      </c>
      <c r="F264" s="98">
        <f>1751970-160400</f>
        <v>1591570</v>
      </c>
      <c r="G264" s="98">
        <f>1143630+2570</f>
        <v>1146200</v>
      </c>
      <c r="H264" s="73">
        <v>83538</v>
      </c>
      <c r="I264" s="73"/>
      <c r="J264" s="73">
        <f>K264+N264</f>
        <v>30000</v>
      </c>
      <c r="K264" s="73"/>
      <c r="L264" s="73"/>
      <c r="M264" s="73"/>
      <c r="N264" s="73">
        <v>30000</v>
      </c>
      <c r="O264" s="73">
        <v>30000</v>
      </c>
      <c r="P264" s="73">
        <f>E264+J264</f>
        <v>1621570</v>
      </c>
      <c r="Q264" s="148"/>
    </row>
    <row r="265" spans="1:17" s="26" customFormat="1" ht="15">
      <c r="A265" s="24"/>
      <c r="B265" s="83" t="s">
        <v>295</v>
      </c>
      <c r="C265" s="45" t="s">
        <v>42</v>
      </c>
      <c r="D265" s="49" t="s">
        <v>19</v>
      </c>
      <c r="E265" s="73">
        <f>E266</f>
        <v>350000</v>
      </c>
      <c r="F265" s="73">
        <f aca="true" t="shared" si="86" ref="F265:P265">F266</f>
        <v>350000</v>
      </c>
      <c r="G265" s="73">
        <f t="shared" si="86"/>
        <v>0</v>
      </c>
      <c r="H265" s="73">
        <f t="shared" si="86"/>
        <v>0</v>
      </c>
      <c r="I265" s="73">
        <f t="shared" si="86"/>
        <v>0</v>
      </c>
      <c r="J265" s="73">
        <f t="shared" si="86"/>
        <v>0</v>
      </c>
      <c r="K265" s="73">
        <f t="shared" si="86"/>
        <v>0</v>
      </c>
      <c r="L265" s="73">
        <f t="shared" si="86"/>
        <v>0</v>
      </c>
      <c r="M265" s="73">
        <f t="shared" si="86"/>
        <v>0</v>
      </c>
      <c r="N265" s="73">
        <f t="shared" si="86"/>
        <v>0</v>
      </c>
      <c r="O265" s="73">
        <f t="shared" si="86"/>
        <v>0</v>
      </c>
      <c r="P265" s="73">
        <f t="shared" si="86"/>
        <v>350000</v>
      </c>
      <c r="Q265" s="148"/>
    </row>
    <row r="266" spans="1:17" s="26" customFormat="1" ht="75">
      <c r="A266" s="24"/>
      <c r="B266" s="83" t="s">
        <v>294</v>
      </c>
      <c r="C266" s="90" t="s">
        <v>42</v>
      </c>
      <c r="D266" s="103" t="s">
        <v>293</v>
      </c>
      <c r="E266" s="64">
        <f>F266+I266</f>
        <v>350000</v>
      </c>
      <c r="F266" s="64">
        <v>350000</v>
      </c>
      <c r="G266" s="70"/>
      <c r="H266" s="70"/>
      <c r="I266" s="70"/>
      <c r="J266" s="64">
        <f>K266+N266</f>
        <v>0</v>
      </c>
      <c r="K266" s="70"/>
      <c r="L266" s="70"/>
      <c r="M266" s="70"/>
      <c r="N266" s="70"/>
      <c r="O266" s="70"/>
      <c r="P266" s="64">
        <f>E266+J266</f>
        <v>350000</v>
      </c>
      <c r="Q266" s="148"/>
    </row>
    <row r="267" spans="1:17" s="26" customFormat="1" ht="42.75">
      <c r="A267" s="24"/>
      <c r="B267" s="36" t="s">
        <v>299</v>
      </c>
      <c r="C267" s="31"/>
      <c r="D267" s="32" t="s">
        <v>298</v>
      </c>
      <c r="E267" s="58">
        <f>E268</f>
        <v>5410394.54</v>
      </c>
      <c r="F267" s="58">
        <f aca="true" t="shared" si="87" ref="F267:P267">F268</f>
        <v>5410394.54</v>
      </c>
      <c r="G267" s="58">
        <f t="shared" si="87"/>
        <v>3815890</v>
      </c>
      <c r="H267" s="58">
        <f t="shared" si="87"/>
        <v>191695</v>
      </c>
      <c r="I267" s="58">
        <f t="shared" si="87"/>
        <v>0</v>
      </c>
      <c r="J267" s="58">
        <f t="shared" si="87"/>
        <v>40000</v>
      </c>
      <c r="K267" s="58">
        <f t="shared" si="87"/>
        <v>0</v>
      </c>
      <c r="L267" s="58">
        <f t="shared" si="87"/>
        <v>0</v>
      </c>
      <c r="M267" s="58">
        <f t="shared" si="87"/>
        <v>0</v>
      </c>
      <c r="N267" s="58">
        <f t="shared" si="87"/>
        <v>40000</v>
      </c>
      <c r="O267" s="58">
        <f t="shared" si="87"/>
        <v>40000</v>
      </c>
      <c r="P267" s="58">
        <f t="shared" si="87"/>
        <v>5450394.54</v>
      </c>
      <c r="Q267" s="148"/>
    </row>
    <row r="268" spans="1:17" s="101" customFormat="1" ht="45">
      <c r="A268" s="100"/>
      <c r="B268" s="110" t="s">
        <v>300</v>
      </c>
      <c r="C268" s="51"/>
      <c r="D268" s="52" t="s">
        <v>298</v>
      </c>
      <c r="E268" s="70">
        <f>E269+E270</f>
        <v>5410394.54</v>
      </c>
      <c r="F268" s="70">
        <f aca="true" t="shared" si="88" ref="F268:P268">F269+F270</f>
        <v>5410394.54</v>
      </c>
      <c r="G268" s="70">
        <f t="shared" si="88"/>
        <v>3815890</v>
      </c>
      <c r="H268" s="70">
        <f t="shared" si="88"/>
        <v>191695</v>
      </c>
      <c r="I268" s="70">
        <f t="shared" si="88"/>
        <v>0</v>
      </c>
      <c r="J268" s="70">
        <f t="shared" si="88"/>
        <v>40000</v>
      </c>
      <c r="K268" s="70">
        <f t="shared" si="88"/>
        <v>0</v>
      </c>
      <c r="L268" s="70">
        <f t="shared" si="88"/>
        <v>0</v>
      </c>
      <c r="M268" s="70">
        <f t="shared" si="88"/>
        <v>0</v>
      </c>
      <c r="N268" s="70">
        <f t="shared" si="88"/>
        <v>40000</v>
      </c>
      <c r="O268" s="70">
        <f t="shared" si="88"/>
        <v>40000</v>
      </c>
      <c r="P268" s="70">
        <f t="shared" si="88"/>
        <v>5450394.54</v>
      </c>
      <c r="Q268" s="148"/>
    </row>
    <row r="269" spans="1:17" s="26" customFormat="1" ht="45">
      <c r="A269" s="48"/>
      <c r="B269" s="57" t="s">
        <v>301</v>
      </c>
      <c r="C269" s="45" t="s">
        <v>9</v>
      </c>
      <c r="D269" s="49" t="s">
        <v>100</v>
      </c>
      <c r="E269" s="73">
        <f>F269+I269</f>
        <v>5211700</v>
      </c>
      <c r="F269" s="98">
        <f>5498000-286300</f>
        <v>5211700</v>
      </c>
      <c r="G269" s="98">
        <f>3629280+186610</f>
        <v>3815890</v>
      </c>
      <c r="H269" s="73">
        <v>191695</v>
      </c>
      <c r="I269" s="73"/>
      <c r="J269" s="73">
        <f>K269+N269</f>
        <v>40000</v>
      </c>
      <c r="K269" s="73"/>
      <c r="L269" s="73"/>
      <c r="M269" s="73"/>
      <c r="N269" s="73">
        <v>40000</v>
      </c>
      <c r="O269" s="73">
        <v>40000</v>
      </c>
      <c r="P269" s="73">
        <f>E269+J269</f>
        <v>5251700</v>
      </c>
      <c r="Q269" s="148"/>
    </row>
    <row r="270" spans="1:17" s="26" customFormat="1" ht="15">
      <c r="A270" s="24"/>
      <c r="B270" s="36" t="s">
        <v>357</v>
      </c>
      <c r="C270" s="27" t="s">
        <v>355</v>
      </c>
      <c r="D270" s="28" t="s">
        <v>356</v>
      </c>
      <c r="E270" s="35">
        <f>F270+I270</f>
        <v>198694.54</v>
      </c>
      <c r="F270" s="35">
        <v>198694.54</v>
      </c>
      <c r="G270" s="35"/>
      <c r="H270" s="35"/>
      <c r="I270" s="35"/>
      <c r="J270" s="35"/>
      <c r="K270" s="35"/>
      <c r="L270" s="35"/>
      <c r="M270" s="35"/>
      <c r="N270" s="35"/>
      <c r="O270" s="35"/>
      <c r="P270" s="35">
        <f>E270+J270</f>
        <v>198694.54</v>
      </c>
      <c r="Q270" s="148"/>
    </row>
    <row r="271" spans="1:17" s="26" customFormat="1" ht="57">
      <c r="A271" s="24"/>
      <c r="B271" s="40">
        <v>7600000</v>
      </c>
      <c r="C271" s="31"/>
      <c r="D271" s="32" t="s">
        <v>302</v>
      </c>
      <c r="E271" s="58">
        <f>E272</f>
        <v>68075194.46000001</v>
      </c>
      <c r="F271" s="58">
        <f aca="true" t="shared" si="89" ref="F271:P271">F272</f>
        <v>56741757</v>
      </c>
      <c r="G271" s="58">
        <f t="shared" si="89"/>
        <v>0</v>
      </c>
      <c r="H271" s="58">
        <f t="shared" si="89"/>
        <v>0</v>
      </c>
      <c r="I271" s="58">
        <f t="shared" si="89"/>
        <v>0</v>
      </c>
      <c r="J271" s="58">
        <f t="shared" si="89"/>
        <v>500000</v>
      </c>
      <c r="K271" s="58">
        <f t="shared" si="89"/>
        <v>0</v>
      </c>
      <c r="L271" s="58">
        <f t="shared" si="89"/>
        <v>0</v>
      </c>
      <c r="M271" s="58">
        <f t="shared" si="89"/>
        <v>0</v>
      </c>
      <c r="N271" s="58">
        <f t="shared" si="89"/>
        <v>500000</v>
      </c>
      <c r="O271" s="58">
        <f t="shared" si="89"/>
        <v>500000</v>
      </c>
      <c r="P271" s="58">
        <f t="shared" si="89"/>
        <v>68575194.46000001</v>
      </c>
      <c r="Q271" s="148"/>
    </row>
    <row r="272" spans="1:17" s="101" customFormat="1" ht="60">
      <c r="A272" s="100"/>
      <c r="B272" s="82">
        <v>7610000</v>
      </c>
      <c r="C272" s="51"/>
      <c r="D272" s="52" t="s">
        <v>302</v>
      </c>
      <c r="E272" s="70">
        <f>E273+E274+E275+E277</f>
        <v>68075194.46000001</v>
      </c>
      <c r="F272" s="70">
        <f aca="true" t="shared" si="90" ref="F272:P272">F273+F274+F275+F277</f>
        <v>56741757</v>
      </c>
      <c r="G272" s="70">
        <f t="shared" si="90"/>
        <v>0</v>
      </c>
      <c r="H272" s="70">
        <f t="shared" si="90"/>
        <v>0</v>
      </c>
      <c r="I272" s="70">
        <f t="shared" si="90"/>
        <v>0</v>
      </c>
      <c r="J272" s="70">
        <f t="shared" si="90"/>
        <v>500000</v>
      </c>
      <c r="K272" s="70">
        <f t="shared" si="90"/>
        <v>0</v>
      </c>
      <c r="L272" s="70">
        <f t="shared" si="90"/>
        <v>0</v>
      </c>
      <c r="M272" s="70">
        <f t="shared" si="90"/>
        <v>0</v>
      </c>
      <c r="N272" s="70">
        <f t="shared" si="90"/>
        <v>500000</v>
      </c>
      <c r="O272" s="70">
        <f t="shared" si="90"/>
        <v>500000</v>
      </c>
      <c r="P272" s="70">
        <f t="shared" si="90"/>
        <v>68575194.46000001</v>
      </c>
      <c r="Q272" s="148"/>
    </row>
    <row r="273" spans="1:17" s="26" customFormat="1" ht="20.25" customHeight="1">
      <c r="A273" s="48"/>
      <c r="B273" s="54">
        <v>7618010</v>
      </c>
      <c r="C273" s="45" t="s">
        <v>87</v>
      </c>
      <c r="D273" s="49" t="s">
        <v>88</v>
      </c>
      <c r="E273" s="98">
        <f>8825473.46-360000-1811608-3000000+12618382-254670-4690000-1800000-5400000-130000-2263140-420000+19000+10000000</f>
        <v>11333437.46</v>
      </c>
      <c r="F273" s="73"/>
      <c r="G273" s="58"/>
      <c r="H273" s="58"/>
      <c r="I273" s="58"/>
      <c r="J273" s="73">
        <f>K273+N273</f>
        <v>0</v>
      </c>
      <c r="K273" s="58"/>
      <c r="L273" s="58"/>
      <c r="M273" s="58"/>
      <c r="N273" s="58"/>
      <c r="O273" s="58"/>
      <c r="P273" s="73">
        <f>E273+J273</f>
        <v>11333437.46</v>
      </c>
      <c r="Q273" s="148"/>
    </row>
    <row r="274" spans="1:17" s="26" customFormat="1" ht="130.5" customHeight="1">
      <c r="A274" s="24"/>
      <c r="B274" s="40">
        <v>7618120</v>
      </c>
      <c r="C274" s="27" t="s">
        <v>93</v>
      </c>
      <c r="D274" s="28" t="s">
        <v>303</v>
      </c>
      <c r="E274" s="35">
        <f>F274+I274</f>
        <v>56401300</v>
      </c>
      <c r="F274" s="93">
        <f>55480900+920400</f>
        <v>56401300</v>
      </c>
      <c r="G274" s="58"/>
      <c r="H274" s="58"/>
      <c r="I274" s="58"/>
      <c r="J274" s="73">
        <f>K274+N274</f>
        <v>0</v>
      </c>
      <c r="K274" s="58"/>
      <c r="L274" s="58"/>
      <c r="M274" s="58"/>
      <c r="N274" s="58"/>
      <c r="O274" s="58"/>
      <c r="P274" s="73">
        <f>E274+J274</f>
        <v>56401300</v>
      </c>
      <c r="Q274" s="148"/>
    </row>
    <row r="275" spans="1:17" s="26" customFormat="1" ht="20.25" customHeight="1">
      <c r="A275" s="24"/>
      <c r="B275" s="40">
        <v>7618700</v>
      </c>
      <c r="C275" s="27" t="s">
        <v>94</v>
      </c>
      <c r="D275" s="28" t="s">
        <v>95</v>
      </c>
      <c r="E275" s="35">
        <f>E276</f>
        <v>141957</v>
      </c>
      <c r="F275" s="35">
        <f aca="true" t="shared" si="91" ref="F275:P275">F276</f>
        <v>141957</v>
      </c>
      <c r="G275" s="35">
        <f t="shared" si="91"/>
        <v>0</v>
      </c>
      <c r="H275" s="35">
        <f t="shared" si="91"/>
        <v>0</v>
      </c>
      <c r="I275" s="35">
        <f t="shared" si="91"/>
        <v>0</v>
      </c>
      <c r="J275" s="35">
        <f t="shared" si="91"/>
        <v>0</v>
      </c>
      <c r="K275" s="35">
        <f t="shared" si="91"/>
        <v>0</v>
      </c>
      <c r="L275" s="35">
        <f t="shared" si="91"/>
        <v>0</v>
      </c>
      <c r="M275" s="35">
        <f t="shared" si="91"/>
        <v>0</v>
      </c>
      <c r="N275" s="35">
        <f t="shared" si="91"/>
        <v>0</v>
      </c>
      <c r="O275" s="35">
        <f t="shared" si="91"/>
        <v>0</v>
      </c>
      <c r="P275" s="35">
        <f t="shared" si="91"/>
        <v>141957</v>
      </c>
      <c r="Q275" s="148"/>
    </row>
    <row r="276" spans="1:17" s="101" customFormat="1" ht="39.75" customHeight="1">
      <c r="A276" s="100"/>
      <c r="B276" s="82">
        <v>7618701</v>
      </c>
      <c r="C276" s="83" t="s">
        <v>94</v>
      </c>
      <c r="D276" s="84" t="s">
        <v>311</v>
      </c>
      <c r="E276" s="64">
        <f>F276+I276</f>
        <v>141957</v>
      </c>
      <c r="F276" s="92">
        <f>164814-22857</f>
        <v>141957</v>
      </c>
      <c r="G276" s="70"/>
      <c r="H276" s="70"/>
      <c r="I276" s="70"/>
      <c r="J276" s="64">
        <f>K276+N276</f>
        <v>0</v>
      </c>
      <c r="K276" s="70"/>
      <c r="L276" s="70"/>
      <c r="M276" s="70"/>
      <c r="N276" s="70"/>
      <c r="O276" s="70"/>
      <c r="P276" s="64">
        <f>E276+J276</f>
        <v>141957</v>
      </c>
      <c r="Q276" s="148"/>
    </row>
    <row r="277" spans="1:17" s="26" customFormat="1" ht="23.25" customHeight="1">
      <c r="A277" s="48"/>
      <c r="B277" s="54">
        <v>7618800</v>
      </c>
      <c r="C277" s="45" t="s">
        <v>89</v>
      </c>
      <c r="D277" s="137" t="s">
        <v>90</v>
      </c>
      <c r="E277" s="73">
        <f>E278</f>
        <v>198500</v>
      </c>
      <c r="F277" s="73">
        <f aca="true" t="shared" si="92" ref="F277:P277">F278</f>
        <v>198500</v>
      </c>
      <c r="G277" s="73">
        <f t="shared" si="92"/>
        <v>0</v>
      </c>
      <c r="H277" s="73">
        <f t="shared" si="92"/>
        <v>0</v>
      </c>
      <c r="I277" s="73">
        <f t="shared" si="92"/>
        <v>0</v>
      </c>
      <c r="J277" s="73">
        <f t="shared" si="92"/>
        <v>500000</v>
      </c>
      <c r="K277" s="73">
        <f t="shared" si="92"/>
        <v>0</v>
      </c>
      <c r="L277" s="73">
        <f t="shared" si="92"/>
        <v>0</v>
      </c>
      <c r="M277" s="73">
        <f t="shared" si="92"/>
        <v>0</v>
      </c>
      <c r="N277" s="73">
        <f t="shared" si="92"/>
        <v>500000</v>
      </c>
      <c r="O277" s="73">
        <f t="shared" si="92"/>
        <v>500000</v>
      </c>
      <c r="P277" s="73">
        <f t="shared" si="92"/>
        <v>698500</v>
      </c>
      <c r="Q277" s="148"/>
    </row>
    <row r="278" spans="1:17" s="26" customFormat="1" ht="31.5" customHeight="1">
      <c r="A278" s="24"/>
      <c r="B278" s="83" t="s">
        <v>304</v>
      </c>
      <c r="C278" s="83" t="s">
        <v>89</v>
      </c>
      <c r="D278" s="134" t="s">
        <v>306</v>
      </c>
      <c r="E278" s="75">
        <f>F278+I278</f>
        <v>198500</v>
      </c>
      <c r="F278" s="147">
        <f>190000+8500</f>
        <v>198500</v>
      </c>
      <c r="G278" s="74"/>
      <c r="H278" s="74"/>
      <c r="I278" s="74"/>
      <c r="J278" s="73">
        <f>K278+N278</f>
        <v>500000</v>
      </c>
      <c r="K278" s="58"/>
      <c r="L278" s="58"/>
      <c r="M278" s="58"/>
      <c r="N278" s="73">
        <v>500000</v>
      </c>
      <c r="O278" s="73">
        <v>500000</v>
      </c>
      <c r="P278" s="73">
        <f>E278+J278</f>
        <v>698500</v>
      </c>
      <c r="Q278" s="151"/>
    </row>
    <row r="279" spans="1:17" s="26" customFormat="1" ht="15">
      <c r="A279" s="24"/>
      <c r="B279" s="40"/>
      <c r="C279" s="31"/>
      <c r="D279" s="32" t="s">
        <v>91</v>
      </c>
      <c r="E279" s="58">
        <f aca="true" t="shared" si="93" ref="E279:P279">E15+E67+E92+E116+E190+E195+E203+E231+E237+E250+E262+E267+E271+E259</f>
        <v>1614055530.43</v>
      </c>
      <c r="F279" s="58">
        <f t="shared" si="93"/>
        <v>1569217537.97</v>
      </c>
      <c r="G279" s="58">
        <f t="shared" si="93"/>
        <v>451073009</v>
      </c>
      <c r="H279" s="58">
        <f t="shared" si="93"/>
        <v>92331682</v>
      </c>
      <c r="I279" s="58">
        <f t="shared" si="93"/>
        <v>33504555</v>
      </c>
      <c r="J279" s="58">
        <f t="shared" si="93"/>
        <v>442982613.08</v>
      </c>
      <c r="K279" s="58">
        <f t="shared" si="93"/>
        <v>54146441</v>
      </c>
      <c r="L279" s="58">
        <f t="shared" si="93"/>
        <v>11367440</v>
      </c>
      <c r="M279" s="58">
        <f t="shared" si="93"/>
        <v>2168292</v>
      </c>
      <c r="N279" s="58">
        <f t="shared" si="93"/>
        <v>388836172.08</v>
      </c>
      <c r="O279" s="58">
        <f t="shared" si="93"/>
        <v>382569334.08</v>
      </c>
      <c r="P279" s="58">
        <f t="shared" si="93"/>
        <v>2057038143.5100002</v>
      </c>
      <c r="Q279" s="151"/>
    </row>
    <row r="280" spans="1:17" s="26" customFormat="1" ht="28.5">
      <c r="A280" s="24"/>
      <c r="B280" s="40"/>
      <c r="C280" s="31"/>
      <c r="D280" s="32" t="s">
        <v>92</v>
      </c>
      <c r="E280" s="58">
        <f>E69+E94+E118</f>
        <v>1045394494.4300001</v>
      </c>
      <c r="F280" s="58">
        <f aca="true" t="shared" si="94" ref="F280:P280">F69+F94+F118</f>
        <v>1045394494.4300001</v>
      </c>
      <c r="G280" s="58">
        <f t="shared" si="94"/>
        <v>258585668</v>
      </c>
      <c r="H280" s="58">
        <f t="shared" si="94"/>
        <v>47548015</v>
      </c>
      <c r="I280" s="58">
        <f t="shared" si="94"/>
        <v>0</v>
      </c>
      <c r="J280" s="58">
        <f t="shared" si="94"/>
        <v>0</v>
      </c>
      <c r="K280" s="58">
        <f t="shared" si="94"/>
        <v>0</v>
      </c>
      <c r="L280" s="58">
        <f t="shared" si="94"/>
        <v>0</v>
      </c>
      <c r="M280" s="58">
        <f t="shared" si="94"/>
        <v>0</v>
      </c>
      <c r="N280" s="58">
        <f t="shared" si="94"/>
        <v>0</v>
      </c>
      <c r="O280" s="58">
        <f t="shared" si="94"/>
        <v>0</v>
      </c>
      <c r="P280" s="58">
        <f t="shared" si="94"/>
        <v>1045394494.4300001</v>
      </c>
      <c r="Q280" s="151"/>
    </row>
    <row r="281" spans="1:17" ht="6.75" customHeight="1">
      <c r="A281" s="16"/>
      <c r="B281" s="39"/>
      <c r="C281" s="16"/>
      <c r="D281" s="16"/>
      <c r="E281" s="138"/>
      <c r="F281" s="138"/>
      <c r="G281" s="138"/>
      <c r="H281" s="138"/>
      <c r="I281" s="138"/>
      <c r="J281" s="138"/>
      <c r="K281" s="138"/>
      <c r="L281" s="138"/>
      <c r="M281" s="138"/>
      <c r="N281" s="138"/>
      <c r="O281" s="138"/>
      <c r="P281" s="138"/>
      <c r="Q281" s="151"/>
    </row>
    <row r="282" spans="1:17" s="14" customFormat="1" ht="6.75" customHeight="1">
      <c r="A282" s="79"/>
      <c r="B282" s="107"/>
      <c r="C282" s="79"/>
      <c r="D282" s="79"/>
      <c r="E282" s="139"/>
      <c r="F282" s="139"/>
      <c r="G282" s="139"/>
      <c r="H282" s="139"/>
      <c r="I282" s="139"/>
      <c r="J282" s="139"/>
      <c r="K282" s="139"/>
      <c r="L282" s="139"/>
      <c r="M282" s="139"/>
      <c r="N282" s="139"/>
      <c r="O282" s="139"/>
      <c r="P282" s="139"/>
      <c r="Q282" s="152"/>
    </row>
    <row r="283" spans="2:17" ht="50.25" customHeight="1">
      <c r="B283" s="153"/>
      <c r="C283" s="153"/>
      <c r="D283" s="153"/>
      <c r="E283" s="153"/>
      <c r="F283" s="153"/>
      <c r="G283" s="153"/>
      <c r="H283" s="153"/>
      <c r="I283" s="153"/>
      <c r="J283" s="153"/>
      <c r="K283" s="153"/>
      <c r="L283" s="153"/>
      <c r="M283" s="153"/>
      <c r="N283" s="153"/>
      <c r="O283" s="153"/>
      <c r="P283" s="153"/>
      <c r="Q283" s="151"/>
    </row>
    <row r="284" spans="1:17" s="14" customFormat="1" ht="29.25" customHeight="1">
      <c r="A284" s="79"/>
      <c r="B284" s="154" t="s">
        <v>337</v>
      </c>
      <c r="C284" s="154"/>
      <c r="D284" s="154"/>
      <c r="E284" s="154"/>
      <c r="F284" s="154"/>
      <c r="G284" s="154"/>
      <c r="H284" s="154"/>
      <c r="I284" s="154"/>
      <c r="J284" s="154"/>
      <c r="K284" s="154"/>
      <c r="L284" s="154"/>
      <c r="M284" s="80"/>
      <c r="N284" s="155" t="s">
        <v>338</v>
      </c>
      <c r="O284" s="155"/>
      <c r="P284" s="155"/>
      <c r="Q284" s="152"/>
    </row>
    <row r="285" spans="5:17" ht="6.75" customHeight="1">
      <c r="E285" s="140"/>
      <c r="F285" s="140"/>
      <c r="G285" s="140"/>
      <c r="H285" s="140"/>
      <c r="I285" s="140"/>
      <c r="J285" s="140"/>
      <c r="K285" s="140"/>
      <c r="L285" s="140"/>
      <c r="M285" s="140"/>
      <c r="N285" s="140"/>
      <c r="O285" s="140"/>
      <c r="P285" s="140"/>
      <c r="Q285" s="151"/>
    </row>
    <row r="286" spans="1:17" s="14" customFormat="1" ht="6.75" customHeight="1">
      <c r="A286" s="79"/>
      <c r="B286" s="107"/>
      <c r="C286" s="79"/>
      <c r="D286" s="79"/>
      <c r="E286" s="139"/>
      <c r="F286" s="139"/>
      <c r="G286" s="139"/>
      <c r="H286" s="139"/>
      <c r="I286" s="139"/>
      <c r="J286" s="139"/>
      <c r="K286" s="139"/>
      <c r="L286" s="139"/>
      <c r="M286" s="139"/>
      <c r="N286" s="139"/>
      <c r="O286" s="139"/>
      <c r="P286" s="139"/>
      <c r="Q286" s="152"/>
    </row>
    <row r="287" spans="5:17" ht="6.75" customHeight="1">
      <c r="E287" s="140"/>
      <c r="F287" s="140"/>
      <c r="G287" s="140"/>
      <c r="H287" s="140"/>
      <c r="I287" s="140"/>
      <c r="J287" s="140"/>
      <c r="K287" s="140"/>
      <c r="L287" s="140"/>
      <c r="M287" s="140"/>
      <c r="N287" s="140"/>
      <c r="O287" s="140"/>
      <c r="P287" s="140"/>
      <c r="Q287" s="151"/>
    </row>
    <row r="288" spans="1:17" s="12" customFormat="1" ht="23.25" customHeight="1">
      <c r="A288" s="11"/>
      <c r="E288" s="77"/>
      <c r="F288" s="141"/>
      <c r="G288" s="141"/>
      <c r="H288" s="141"/>
      <c r="I288" s="141"/>
      <c r="J288" s="141"/>
      <c r="K288" s="141"/>
      <c r="L288" s="149"/>
      <c r="M288" s="149"/>
      <c r="N288" s="149"/>
      <c r="O288" s="149"/>
      <c r="P288" s="11"/>
      <c r="Q288" s="152"/>
    </row>
    <row r="289" spans="1:17" s="143" customFormat="1" ht="23.25" customHeight="1">
      <c r="A289" s="11"/>
      <c r="B289" s="12"/>
      <c r="C289" s="156" t="s">
        <v>339</v>
      </c>
      <c r="D289" s="156"/>
      <c r="E289" s="156"/>
      <c r="F289" s="13"/>
      <c r="G289" s="13"/>
      <c r="H289" s="13"/>
      <c r="I289" s="13"/>
      <c r="J289" s="13"/>
      <c r="K289" s="13"/>
      <c r="L289" s="150"/>
      <c r="M289" s="150"/>
      <c r="N289" s="150"/>
      <c r="O289" s="150"/>
      <c r="P289" s="142"/>
      <c r="Q289" s="151"/>
    </row>
    <row r="290" spans="1:17" s="143" customFormat="1" ht="23.25">
      <c r="A290" s="142"/>
      <c r="B290" s="144"/>
      <c r="C290" s="142" t="s">
        <v>340</v>
      </c>
      <c r="D290" s="142"/>
      <c r="E290" s="142"/>
      <c r="N290" s="142"/>
      <c r="O290" s="142"/>
      <c r="P290" s="142"/>
      <c r="Q290" s="151"/>
    </row>
    <row r="291" spans="1:17" s="10" customFormat="1" ht="23.25">
      <c r="A291" s="9"/>
      <c r="B291" s="41"/>
      <c r="C291" s="156"/>
      <c r="D291" s="156"/>
      <c r="E291" s="156"/>
      <c r="F291" s="11"/>
      <c r="G291" s="11"/>
      <c r="H291" s="11"/>
      <c r="I291" s="11"/>
      <c r="J291" s="11"/>
      <c r="K291" s="11"/>
      <c r="L291" s="11"/>
      <c r="M291" s="11"/>
      <c r="N291" s="11"/>
      <c r="O291" s="11"/>
      <c r="P291" s="9"/>
      <c r="Q291" s="152"/>
    </row>
    <row r="292" spans="1:17" s="14" customFormat="1" ht="23.25" customHeight="1">
      <c r="A292" s="15"/>
      <c r="B292" s="37"/>
      <c r="C292" s="142"/>
      <c r="D292" s="142"/>
      <c r="E292" s="142"/>
      <c r="F292" s="79"/>
      <c r="G292" s="79"/>
      <c r="H292" s="79"/>
      <c r="I292" s="79"/>
      <c r="J292" s="79"/>
      <c r="K292" s="79"/>
      <c r="L292" s="79"/>
      <c r="M292" s="79"/>
      <c r="N292" s="79"/>
      <c r="O292" s="79"/>
      <c r="P292" s="79"/>
      <c r="Q292" s="152"/>
    </row>
    <row r="293" ht="23.25" customHeight="1">
      <c r="Q293" s="151"/>
    </row>
    <row r="294" spans="1:17" s="14" customFormat="1" ht="23.25" customHeight="1">
      <c r="A294" s="79"/>
      <c r="B294" s="107"/>
      <c r="C294" s="79"/>
      <c r="D294" s="79"/>
      <c r="E294" s="79"/>
      <c r="F294" s="79"/>
      <c r="G294" s="79"/>
      <c r="H294" s="79"/>
      <c r="I294" s="79"/>
      <c r="J294" s="79"/>
      <c r="K294" s="79"/>
      <c r="L294" s="79"/>
      <c r="M294" s="79"/>
      <c r="N294" s="79"/>
      <c r="O294" s="79"/>
      <c r="P294" s="79"/>
      <c r="Q294" s="152"/>
    </row>
    <row r="295" ht="23.25" customHeight="1"/>
    <row r="296" spans="1:17" s="14" customFormat="1" ht="23.25" customHeight="1">
      <c r="A296" s="79"/>
      <c r="B296" s="107"/>
      <c r="C296" s="79"/>
      <c r="D296" s="79"/>
      <c r="E296" s="79"/>
      <c r="F296" s="79"/>
      <c r="G296" s="79"/>
      <c r="H296" s="79"/>
      <c r="I296" s="79"/>
      <c r="J296" s="79"/>
      <c r="K296" s="79"/>
      <c r="L296" s="79"/>
      <c r="M296" s="79"/>
      <c r="N296" s="79"/>
      <c r="O296" s="79"/>
      <c r="P296" s="79"/>
      <c r="Q296" s="145"/>
    </row>
  </sheetData>
  <sheetProtection/>
  <mergeCells count="48">
    <mergeCell ref="P126:P127"/>
    <mergeCell ref="L5:P5"/>
    <mergeCell ref="B126:B127"/>
    <mergeCell ref="C126:C127"/>
    <mergeCell ref="E126:E127"/>
    <mergeCell ref="F126:F127"/>
    <mergeCell ref="K12:K14"/>
    <mergeCell ref="J12:J14"/>
    <mergeCell ref="D11:D14"/>
    <mergeCell ref="J11:O11"/>
    <mergeCell ref="Q225:Q242"/>
    <mergeCell ref="Q1:Q24"/>
    <mergeCell ref="Q25:Q53"/>
    <mergeCell ref="Q54:Q69"/>
    <mergeCell ref="Q169:Q176"/>
    <mergeCell ref="Q179:Q193"/>
    <mergeCell ref="Q194:Q213"/>
    <mergeCell ref="Q215:Q224"/>
    <mergeCell ref="Q70:Q89"/>
    <mergeCell ref="Q92:Q117"/>
    <mergeCell ref="O13:O14"/>
    <mergeCell ref="H13:H14"/>
    <mergeCell ref="L13:L14"/>
    <mergeCell ref="G12:H12"/>
    <mergeCell ref="G13:G14"/>
    <mergeCell ref="B11:B14"/>
    <mergeCell ref="E12:E14"/>
    <mergeCell ref="F12:F14"/>
    <mergeCell ref="C11:C14"/>
    <mergeCell ref="L2:O2"/>
    <mergeCell ref="L4:P4"/>
    <mergeCell ref="P11:P14"/>
    <mergeCell ref="C7:P7"/>
    <mergeCell ref="L12:M12"/>
    <mergeCell ref="E11:I11"/>
    <mergeCell ref="C9:P9"/>
    <mergeCell ref="I12:I14"/>
    <mergeCell ref="N12:N14"/>
    <mergeCell ref="M13:M14"/>
    <mergeCell ref="Q244:Q257"/>
    <mergeCell ref="L288:O289"/>
    <mergeCell ref="Q258:Q277"/>
    <mergeCell ref="Q278:Q294"/>
    <mergeCell ref="B283:P283"/>
    <mergeCell ref="B284:L284"/>
    <mergeCell ref="N284:P284"/>
    <mergeCell ref="C289:E289"/>
    <mergeCell ref="C291:E291"/>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4" r:id="rId1"/>
  <headerFooter alignWithMargins="0">
    <oddFooter>&amp;R&amp;18Сторінка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2016-02-23T15:57:44Z</cp:lastPrinted>
  <dcterms:created xsi:type="dcterms:W3CDTF">2014-01-17T10:52:16Z</dcterms:created>
  <dcterms:modified xsi:type="dcterms:W3CDTF">2016-02-25T14:12:05Z</dcterms:modified>
  <cp:category/>
  <cp:version/>
  <cp:contentType/>
  <cp:contentStatus/>
</cp:coreProperties>
</file>