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60" windowWidth="9300" windowHeight="4095" tabRatio="0" activeTab="1"/>
  </bookViews>
  <sheets>
    <sheet name="Диаграмма1" sheetId="1" r:id="rId1"/>
    <sheet name="Sheet1" sheetId="2" r:id="rId2"/>
  </sheets>
  <definedNames>
    <definedName name="_xlnm.Print_Area" localSheetId="1">'Sheet1'!$A$1:$Q$756</definedName>
  </definedNames>
  <calcPr fullCalcOnLoad="1"/>
</workbook>
</file>

<file path=xl/sharedStrings.xml><?xml version="1.0" encoding="utf-8"?>
<sst xmlns="http://schemas.openxmlformats.org/spreadsheetml/2006/main" count="697" uniqueCount="418">
  <si>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</si>
  <si>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</si>
  <si>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</si>
  <si>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</si>
  <si>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</si>
  <si>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</si>
  <si>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</si>
  <si>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</si>
  <si>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</si>
  <si>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</si>
  <si>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</si>
  <si>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</si>
  <si>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</si>
  <si>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</si>
  <si>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</si>
  <si>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</si>
  <si>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</si>
  <si>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</si>
  <si>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</si>
  <si>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</si>
  <si>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</si>
  <si>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</si>
  <si>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</si>
  <si>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</si>
  <si>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</si>
  <si>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</si>
  <si>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</si>
  <si>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</si>
  <si>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кількість спецслужб, од.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</si>
  <si>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</si>
  <si>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</si>
  <si>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</si>
  <si>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</si>
  <si>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</si>
  <si>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довжина відновленого водопроводу на кладовищі, пог. м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</si>
  <si>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</si>
  <si>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</si>
  <si>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</si>
  <si>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</si>
  <si>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</si>
  <si>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</si>
  <si>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</si>
  <si>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</si>
  <si>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</si>
  <si>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</si>
  <si>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</si>
  <si>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</si>
  <si>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</si>
  <si>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</si>
  <si>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</si>
  <si>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</si>
  <si>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</si>
  <si>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</si>
  <si>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</si>
  <si>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</si>
  <si>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середня вартість вивезення 1 куб. м ТПВ з озера Чеха, грн.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</si>
  <si>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</si>
  <si>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</si>
  <si>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</si>
  <si>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</si>
  <si>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</si>
  <si>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</si>
  <si>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</si>
  <si>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</si>
  <si>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</si>
  <si>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</si>
  <si>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</si>
  <si>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</si>
  <si>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</si>
  <si>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</si>
  <si>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</si>
  <si>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</si>
  <si>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</si>
  <si>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</si>
  <si>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</si>
  <si>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</si>
  <si>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</si>
  <si>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</si>
  <si>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</si>
  <si>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</si>
  <si>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</si>
  <si>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</si>
  <si>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</si>
  <si>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</si>
  <si>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</si>
  <si>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</si>
  <si>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</si>
  <si>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</si>
  <si>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</si>
  <si>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</si>
  <si>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</si>
  <si>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</si>
  <si>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</si>
  <si>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</si>
  <si>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</si>
  <si>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</si>
  <si>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</si>
  <si>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</si>
  <si>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</si>
  <si>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</si>
  <si>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</si>
  <si>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</si>
  <si>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</si>
  <si>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</si>
  <si>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</si>
  <si>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</si>
  <si>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</si>
  <si>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</si>
  <si>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</si>
  <si>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</si>
  <si>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</si>
  <si>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</si>
  <si>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</si>
  <si>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</si>
  <si>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</si>
  <si>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</si>
  <si>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</si>
  <si>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</si>
  <si>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</si>
  <si>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</si>
  <si>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</si>
  <si>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</si>
  <si>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</si>
  <si>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</si>
  <si>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</si>
  <si>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</si>
  <si>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</si>
  <si>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</si>
  <si>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</si>
  <si>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</si>
  <si>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</si>
  <si>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</si>
  <si>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</si>
  <si>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</si>
  <si>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</si>
  <si>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</si>
  <si>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</si>
  <si>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</si>
  <si>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</si>
  <si>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</si>
  <si>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</si>
  <si>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</si>
  <si>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</si>
  <si>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</si>
  <si>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</si>
  <si>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</si>
  <si>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</si>
  <si>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</si>
  <si>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</si>
  <si>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</si>
  <si>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</si>
  <si>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</si>
  <si>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</si>
  <si>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</si>
  <si>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</si>
  <si>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</si>
  <si>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</si>
  <si>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</si>
  <si>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</si>
  <si>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</si>
  <si>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</si>
  <si>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</si>
  <si>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</si>
  <si>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</si>
  <si>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</si>
  <si>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</si>
  <si>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</si>
  <si>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</si>
  <si>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</si>
  <si>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</si>
  <si>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</si>
  <si>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</si>
  <si>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</si>
  <si>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</si>
  <si>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</si>
  <si>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</si>
  <si>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</si>
  <si>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</si>
  <si>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</si>
  <si>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</si>
  <si>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</si>
  <si>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</si>
  <si>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</si>
  <si>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</si>
  <si>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</si>
  <si>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</si>
  <si>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</si>
  <si>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</si>
  <si>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</si>
  <si>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</si>
  <si>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</si>
  <si>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</si>
  <si>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</si>
  <si>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</si>
  <si>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</si>
  <si>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</si>
  <si>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</si>
  <si>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</si>
  <si>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</si>
  <si>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</si>
  <si>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</si>
  <si>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</si>
  <si>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</si>
  <si>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</si>
  <si>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</si>
  <si>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</si>
  <si>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</si>
  <si>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</si>
  <si>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</si>
  <si>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</si>
  <si>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</si>
  <si>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</si>
  <si>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</si>
  <si>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</si>
  <si>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</si>
  <si>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</si>
  <si>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</si>
  <si>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</si>
  <si>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</si>
  <si>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</si>
  <si>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</si>
  <si>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</si>
  <si>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</si>
  <si>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</si>
  <si>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</si>
  <si>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</si>
  <si>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</si>
  <si>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</si>
  <si>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</si>
  <si>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</si>
  <si>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</si>
  <si>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</si>
  <si>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</si>
  <si>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</si>
  <si>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</si>
  <si>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</si>
  <si>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</si>
  <si>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</si>
  <si>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</si>
  <si>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</si>
  <si>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</si>
  <si>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</si>
  <si>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</si>
  <si>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</si>
  <si>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</si>
  <si>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</si>
  <si>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</si>
  <si>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</si>
  <si>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</si>
  <si>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</si>
  <si>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</si>
  <si>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</si>
  <si>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</si>
  <si>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</si>
  <si>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</si>
  <si>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</si>
  <si>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</si>
  <si>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</si>
  <si>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</si>
  <si>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</si>
  <si>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</si>
  <si>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</si>
  <si>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</si>
  <si>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</si>
  <si>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</si>
  <si>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</si>
  <si>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</si>
  <si>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</si>
  <si>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</si>
  <si>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</si>
  <si>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</si>
  <si>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</si>
  <si>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</si>
  <si>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</si>
  <si>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</si>
  <si>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</si>
  <si>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</si>
  <si>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</si>
  <si>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</si>
  <si>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</si>
  <si>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</si>
  <si>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</si>
  <si>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</si>
  <si>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</si>
  <si>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</si>
  <si>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</si>
  <si>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</si>
  <si>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</si>
  <si>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</si>
  <si>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</si>
  <si>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</si>
  <si>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</si>
  <si>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</si>
  <si>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</si>
  <si>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</si>
  <si>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</si>
  <si>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</si>
  <si>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</si>
  <si>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</si>
  <si>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</si>
  <si>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</si>
  <si>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</si>
  <si>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</si>
  <si>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</si>
  <si>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</si>
  <si>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</si>
  <si>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</si>
  <si>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</si>
  <si>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</si>
  <si>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</si>
  <si>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</si>
  <si>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</si>
  <si>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</si>
  <si>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</si>
  <si>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</si>
  <si>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</si>
  <si>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</si>
  <si>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</si>
  <si>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</si>
  <si>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</si>
  <si>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</si>
  <si>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</si>
  <si>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</si>
  <si>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</si>
  <si>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</si>
  <si>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планується відремонтувати, грн.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</si>
  <si>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</si>
  <si>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</si>
  <si>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</si>
  <si>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 xml:space="preserve">Показник: кількість комплексних схем і зонування розміщення рекламних засобів на території 
м. Суми
</t>
  </si>
  <si>
    <t>власні кошти підприємства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</si>
  <si>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управління "Інспекція з благоустрою міста Суми" СМР, м3</t>
  </si>
  <si>
    <t xml:space="preserve">    Показник: середні витрати на прибирання, ліквідацію 1 м3 сміття на об'єктах благоустрою загального користування управлінням "Інспекція з благоустрою міста Суми" СМР,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</si>
  <si>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 управлінням "Інспекція з благоустрою міста Суми" СМР, %</t>
  </si>
  <si>
    <t>управління "Інспекція з благоустрою міста Суми" СМР</t>
  </si>
  <si>
    <t xml:space="preserve">    Показник:кількість науково-технічної продукції, од.</t>
  </si>
  <si>
    <t xml:space="preserve">    Показник: середня вартість одиниці науково-технічної продукції,  грн.</t>
  </si>
  <si>
    <t xml:space="preserve">    Мета: Розробка проектно-кошторисної документації</t>
  </si>
  <si>
    <t xml:space="preserve">    Показник:кількість об'єктів, шт.</t>
  </si>
  <si>
    <t xml:space="preserve">    Показник: середня вартість розробки проектно-кошторисної документації для одного об'єкта,  грн.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</si>
  <si>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ДІМ, м3</t>
  </si>
  <si>
    <t xml:space="preserve">    Показник: середні витрати на прибирання, ліквідацію             1 м3 сміття на об'єктах благоустрою загального користування ДІМ, грн.</t>
  </si>
  <si>
    <t xml:space="preserve">    Показник: середня вартість реконструкції для одного об'єкта,  грн.</t>
  </si>
  <si>
    <t xml:space="preserve">від                             року №                -МР </t>
  </si>
  <si>
    <t>Програма  реформування і розвитку житлово-комунального господарства м. Суми на 2015-2017 роки</t>
  </si>
  <si>
    <t>КТКВК 100203, 170703, 150101</t>
  </si>
  <si>
    <t>Управління  архітектури та містобудування Сумської міської ради</t>
  </si>
  <si>
    <t>Департамент містобудування та земельних відносин Сумської міської ради;</t>
  </si>
  <si>
    <t>ДМтаЗВ СМР</t>
  </si>
  <si>
    <t>УАМ СМР</t>
  </si>
  <si>
    <t>КТКВК 240900</t>
  </si>
  <si>
    <t xml:space="preserve">  Завдання: 3. Забезпечення проведення ремонту мостів і шляхопроводів по місту</t>
  </si>
  <si>
    <t xml:space="preserve">    Показник:кількість об'ктів, яка охоплена поточним ремонтом, шт.</t>
  </si>
  <si>
    <t xml:space="preserve">    Показник: загальна кількість об'єктів, що потребує поточного ремонту, шт.</t>
  </si>
  <si>
    <t xml:space="preserve">    Показник: середня вартість ремонту 1 об'єкта, грн.</t>
  </si>
  <si>
    <t xml:space="preserve">    Показник: питома вага об'ктів, що зазнали ремонту до кількості, що потребувала поточного ремонту</t>
  </si>
  <si>
    <t xml:space="preserve">  Завдання: 4.  Забезпечення проведення утримання вулично-дорожньої мережі та штучних споруд</t>
  </si>
  <si>
    <t xml:space="preserve">  Завдання: 5. Забезпечення проведення поточного ремонту проїздів, тротуарів, внутрішньоквартальних проїзних доріг</t>
  </si>
  <si>
    <t xml:space="preserve">  Завдання: 6. Забезпечення проведення капітального ремонту проїздів, тротуарів, внутрішньоквартальних проїзних доріг</t>
  </si>
  <si>
    <t xml:space="preserve">  Завдання: 7. Забезпечення проведення обстеження об'єктів транспортної інфраструктури</t>
  </si>
  <si>
    <t xml:space="preserve">  Завдання: 8. Будівництво об'єктів транспортної інфраструктури</t>
  </si>
  <si>
    <t xml:space="preserve">  Завдання: 9.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</si>
  <si>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10. Забезпечення функціонування мереж зовнішнього освітлення </t>
  </si>
  <si>
    <t xml:space="preserve">  Завдання: 11. Збереження та утримання на належному рівні зеленої зони міста Суми та поліпшення його екологічних умов </t>
  </si>
  <si>
    <t>Показник: площа пішохідних доріжок на кладовищі, що потребують капітального ремонту, м.кв.</t>
  </si>
  <si>
    <t xml:space="preserve">    Показник: середня вартість проведення капітального ремонту 1 кв.м. пішохідних доріжок, грн</t>
  </si>
  <si>
    <t>Показник: середня вартість поховання 1 безрідного, грн.</t>
  </si>
  <si>
    <t xml:space="preserve">    Показник: середня вартість проведення поточного ремонту 1 кв.м. пішохідних доріжок, грн</t>
  </si>
  <si>
    <t>Показник: площа пішохідних доріжок на кладовищі, що потребуютьпоточного ремонту, м.кв.</t>
  </si>
  <si>
    <t xml:space="preserve">  Завдання: 12.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</si>
  <si>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13. Забезпечення санітарної очистки території</t>
  </si>
  <si>
    <t xml:space="preserve">  Завдання: 14. Поточний ремонт та утримання в належному стані об'єктів благоустрою</t>
  </si>
  <si>
    <t xml:space="preserve">  Завдання: 15. Забезпечення сприятливих умов для співіснування людей та тварин</t>
  </si>
  <si>
    <t xml:space="preserve">  Завдання: 16. Капітальний ремонт та утримання в належному стані об'єктів благоустрою </t>
  </si>
  <si>
    <t xml:space="preserve">  Завдання: 17. 1 Проведення капітального ремонту житлових будинків</t>
  </si>
  <si>
    <t xml:space="preserve">  Завдання: 17.2. Проведення капітального ремонту покрівель житлових будинків</t>
  </si>
  <si>
    <t>Показник: кількість ліфтів, що планується замінити, грн.</t>
  </si>
  <si>
    <t xml:space="preserve">  Завдання: 17.3.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</si>
  <si>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17.4. Встановлення індивідуального опалення в квартирах житлового будинку №110 по вул.Роменській</t>
  </si>
  <si>
    <t xml:space="preserve">  Завдання: 17.5. Проведення капітального ремонту житлових будинків об'єднань співвласників багатоквартирних будинків</t>
  </si>
  <si>
    <t xml:space="preserve">  Завдання: 18. Забезпечення святкового оформлення міста</t>
  </si>
  <si>
    <t xml:space="preserve">  Завдання: 19. Придбання та монтаж покажчиків вулиць</t>
  </si>
  <si>
    <t xml:space="preserve">  Завдання: 20. Виготовлення та розміщення соціальної реклами, рекламних матеріалів до святкових та урочистих подій  (ДМтаЗВ СМР)</t>
  </si>
  <si>
    <t xml:space="preserve">  Завдання: 21. Виготовлення та розміщення соціальної реклами, рекламних матеріалів до святкових та урочистих подій (УАМ СМР)</t>
  </si>
  <si>
    <t xml:space="preserve">  Завдання: 22. Демонтаж  рекламних засобів, розміщених самовільно та з порушенням порядку розміщення зовнішньої реклами (ДМтаЗВ СМР)</t>
  </si>
  <si>
    <t xml:space="preserve">  Завдання: 23. Демонтаж  рекламних засобів, розміщених самовільно та з порушенням порядку розміщення зовнішньої реклами (УАМ СМР)</t>
  </si>
  <si>
    <t xml:space="preserve">  Завдання: 24. Забезпечення постачання природного газу монументу "Вічна Слава"</t>
  </si>
  <si>
    <t xml:space="preserve">  Завдання: 25. Орендна плата за землю по вул.Боженко (майданчик для складування рослинних відходів, деревини та опалого листя)</t>
  </si>
  <si>
    <t xml:space="preserve">  Завдання: 26. Оплата податку на земельну ділянку за адресою: м.Суми, вул.Привокзальна, 4/13 (каналізаційно-насосна станція)</t>
  </si>
  <si>
    <t xml:space="preserve">  Завдання: 27. Демонтаж незаконно встановлених тимчасових споруд (ДМтаЗВ СМР та УАМ СМР)</t>
  </si>
  <si>
    <t xml:space="preserve">  Завдання: 28. Зберігання демонтованих тимчасових споруд та рекламних засобів (ДМтаЗВ СМР та УАМ СМР)</t>
  </si>
  <si>
    <t xml:space="preserve">  Завдання: 29. Виготовлення та розміщення соціальної реклами,  рекламних матеріалів до святкових та урочистих подій (ДМтаЗВ СМР)</t>
  </si>
  <si>
    <t xml:space="preserve">  Завдання: 30. Виготовлення та розміщення соціальної реклами,  рекламних матеріалів до святкових та урочистих подій (УАМ СМР)</t>
  </si>
  <si>
    <t xml:space="preserve">  Завдання: 31. Розроблення  Комплексної схеми і зонування розміщення рекламних засобів на території м. Суми (УАМ СМР)</t>
  </si>
  <si>
    <t>Завдання: 32. Розроблення  Комплексної схеми розміщення тимчасових споруд для провадження підприємницької діяльності у місті Суми (УАМ СМР)</t>
  </si>
  <si>
    <t xml:space="preserve">  Завдання: 33. Забезпечення функціонування об'єктів комунального господарства</t>
  </si>
  <si>
    <t xml:space="preserve">  Завдання: 34. Запобігання знищення чи пошкодження Алеї Почесних громадян на Центральному кладовищі</t>
  </si>
  <si>
    <t xml:space="preserve">  Завдання: 35. Забезпечення функціонування водопровідно-каналізаційного господарства</t>
  </si>
  <si>
    <t xml:space="preserve">  Завдання: 36. Розробка нормативів питного водопостачання для населення м. Суми </t>
  </si>
  <si>
    <t xml:space="preserve">  Завдання: 37. Вимоги пожежної безпеки</t>
  </si>
  <si>
    <t>Завдання: 38. Забезпечення належного облуговування каналізаційно-насосної станції за адресою: м. Суми, вул. Привокзальна,4/13</t>
  </si>
  <si>
    <t>Завдання: 39. Придбання водопровідних та каналізаційних люків</t>
  </si>
  <si>
    <t>Завдання: 40. Розрахунок допустимих  концентрацій (ДК) забруднюючих речовин в скидах стічних вод споживачів у каналізаційну мережу м.Суми</t>
  </si>
  <si>
    <t>Завдання: 41. Коригування Правил приймання стічних вод в систему каналізації м.Суми</t>
  </si>
  <si>
    <t>Завдання: 42. Проведення капітального ремонту колекторів та каналізаційних мереж"</t>
  </si>
  <si>
    <t xml:space="preserve">  Завдання: 43. Заходи із землеутрою міста Суми</t>
  </si>
  <si>
    <t xml:space="preserve">  Завдання: 44.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</si>
  <si>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>Завдання: 45. Впровадження енергозберігаючих заходів</t>
  </si>
  <si>
    <t xml:space="preserve">  Завдання: 46.  Встановлення лічильників теплової енергії</t>
  </si>
  <si>
    <t xml:space="preserve">  Завдання: 47. Розробка схем та проектних рішень масового застосування міста Суми</t>
  </si>
  <si>
    <t xml:space="preserve">  Завдання: 48. Розробка єдиної дислокації технічних засобів регулювання дорожнього руху</t>
  </si>
  <si>
    <t xml:space="preserve">  Завдання: 49. Забезпечення зміцнення матеріально-технічної бази підприємств комунальної форми власності</t>
  </si>
  <si>
    <t xml:space="preserve">  Завдання: 50. Створення сприятливих умов проживання населення та забезпечення надання життєво необхідних послуг</t>
  </si>
  <si>
    <t xml:space="preserve">  Завдання: 51. Забезпечення надійного та безперебійного функціонування житлово-експлуатаційного господарства</t>
  </si>
  <si>
    <t xml:space="preserve">  Завдання: 52. Організація та проведення громадських робіт</t>
  </si>
  <si>
    <t xml:space="preserve">  Завдання: 53. Розробка проектно-кошторисної документації по реконструкції колекторів міста Суми</t>
  </si>
  <si>
    <t xml:space="preserve">  Завдання: 54. Реконструкція полігону для складування ТПВ на території В.Бобрицької сільської ради Краснопільського району</t>
  </si>
  <si>
    <t xml:space="preserve">                     Додаток 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</si>
</sst>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3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4" fontId="1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wrapText="1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 vertical="center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wrapText="1"/>
    </xf>
    <xf numFmtId="0" fontId="5" fillId="39" borderId="14" xfId="0" applyFont="1" applyFill="1" applyBorder="1" applyAlignment="1">
      <alignment horizontal="left" wrapText="1"/>
    </xf>
    <xf numFmtId="2" fontId="5" fillId="40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wrapText="1"/>
    </xf>
    <xf numFmtId="4" fontId="5" fillId="40" borderId="11" xfId="0" applyNumberFormat="1" applyFont="1" applyFill="1" applyBorder="1" applyAlignment="1">
      <alignment horizontal="center" vertical="center"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/>
    </xf>
    <xf numFmtId="4" fontId="5" fillId="39" borderId="1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0" borderId="10" xfId="0" applyNumberFormat="1" applyFont="1" applyFill="1" applyBorder="1" applyAlignment="1">
      <alignment horizontal="center" vertical="center"/>
    </xf>
    <xf numFmtId="2" fontId="5" fillId="38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4" fontId="3" fillId="41" borderId="10" xfId="0" applyNumberFormat="1" applyFont="1" applyFill="1" applyBorder="1" applyAlignment="1">
      <alignment horizontal="center" vertical="center" wrapText="1"/>
    </xf>
    <xf numFmtId="0" fontId="1" fillId="41" borderId="0" xfId="0" applyFont="1" applyFill="1" applyAlignment="1">
      <alignment/>
    </xf>
    <xf numFmtId="0" fontId="0" fillId="41" borderId="0" xfId="0" applyFill="1" applyAlignment="1">
      <alignment/>
    </xf>
    <xf numFmtId="4" fontId="1" fillId="41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41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3" fillId="38" borderId="10" xfId="0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4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1" fillId="39" borderId="11" xfId="0" applyFont="1" applyFill="1" applyBorder="1" applyAlignment="1">
      <alignment horizontal="center" wrapText="1"/>
    </xf>
    <xf numFmtId="4" fontId="11" fillId="40" borderId="11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left"/>
    </xf>
    <xf numFmtId="4" fontId="61" fillId="41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5" fillId="40" borderId="15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40" borderId="11" xfId="0" applyNumberFormat="1" applyFont="1" applyFill="1" applyBorder="1" applyAlignment="1">
      <alignment horizontal="center" vertical="center"/>
    </xf>
    <xf numFmtId="4" fontId="4" fillId="4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7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1" fillId="37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left" wrapText="1"/>
    </xf>
    <xf numFmtId="4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" fontId="16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2" fillId="41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/>
    </xf>
    <xf numFmtId="2" fontId="2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4" fontId="24" fillId="41" borderId="10" xfId="0" applyNumberFormat="1" applyFont="1" applyFill="1" applyBorder="1" applyAlignment="1">
      <alignment horizontal="center" vertical="center" wrapText="1"/>
    </xf>
    <xf numFmtId="4" fontId="1" fillId="41" borderId="0" xfId="0" applyNumberFormat="1" applyFont="1" applyFill="1" applyAlignment="1">
      <alignment/>
    </xf>
    <xf numFmtId="4" fontId="3" fillId="38" borderId="10" xfId="0" applyNumberFormat="1" applyFont="1" applyFill="1" applyBorder="1" applyAlignment="1">
      <alignment horizontal="center" vertical="center" wrapText="1"/>
    </xf>
    <xf numFmtId="0" fontId="19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2" fillId="41" borderId="10" xfId="0" applyFont="1" applyFill="1" applyBorder="1" applyAlignment="1">
      <alignment horizontal="left" vertical="center" wrapText="1"/>
    </xf>
    <xf numFmtId="4" fontId="5" fillId="41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62" fillId="4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26377944"/>
        <c:axId val="26762873"/>
      </c:barChart>
      <c:catAx>
        <c:axId val="2637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2873"/>
        <c:crosses val="autoZero"/>
        <c:auto val="1"/>
        <c:lblOffset val="100"/>
        <c:tickLblSkip val="1"/>
        <c:noMultiLvlLbl val="0"/>
      </c:catAx>
      <c:valAx>
        <c:axId val="2676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794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53"/>
  <sheetViews>
    <sheetView tabSelected="1" view="pageBreakPreview" zoomScale="115" zoomScaleNormal="85" zoomScaleSheetLayoutView="115" workbookViewId="0" topLeftCell="A729">
      <selection activeCell="A1" sqref="A1:P756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42" customWidth="1"/>
    <col min="5" max="5" width="16.66015625" style="42" customWidth="1"/>
    <col min="6" max="6" width="17.66015625" style="42" customWidth="1"/>
    <col min="7" max="7" width="17.5" style="42" customWidth="1"/>
    <col min="8" max="9" width="16.16015625" style="42" customWidth="1"/>
    <col min="10" max="10" width="17.16015625" style="42" customWidth="1"/>
    <col min="11" max="13" width="16" style="42" hidden="1" customWidth="1"/>
    <col min="14" max="14" width="15.83203125" style="42" customWidth="1"/>
    <col min="15" max="15" width="17.5" style="42" customWidth="1"/>
    <col min="16" max="16" width="16.16015625" style="42" customWidth="1"/>
    <col min="17" max="17" width="0.328125" style="1" customWidth="1"/>
    <col min="18" max="235" width="10.33203125" style="1" customWidth="1"/>
  </cols>
  <sheetData>
    <row r="1" spans="14:16" ht="12.75">
      <c r="N1" s="205" t="s">
        <v>417</v>
      </c>
      <c r="O1" s="205"/>
      <c r="P1" s="205"/>
    </row>
    <row r="2" spans="1:16" ht="12.75">
      <c r="A2" s="115"/>
      <c r="B2" s="115"/>
      <c r="C2" s="115"/>
      <c r="D2" s="117"/>
      <c r="E2" s="117"/>
      <c r="F2" s="117"/>
      <c r="G2" s="117"/>
      <c r="H2" s="117"/>
      <c r="I2" s="117"/>
      <c r="N2" s="205" t="s">
        <v>82</v>
      </c>
      <c r="O2" s="205"/>
      <c r="P2" s="205"/>
    </row>
    <row r="3" spans="1:16" ht="12.75">
      <c r="A3" s="115"/>
      <c r="B3" s="115"/>
      <c r="C3" s="115"/>
      <c r="D3" s="116"/>
      <c r="E3" s="116"/>
      <c r="F3" s="116"/>
      <c r="G3" s="116"/>
      <c r="H3" s="116"/>
      <c r="I3" s="117"/>
      <c r="N3" s="205" t="s">
        <v>245</v>
      </c>
      <c r="O3" s="205"/>
      <c r="P3" s="205"/>
    </row>
    <row r="4" spans="1:16" ht="12.75">
      <c r="A4" s="115"/>
      <c r="B4" s="115"/>
      <c r="C4" s="115"/>
      <c r="D4" s="116"/>
      <c r="E4" s="127"/>
      <c r="F4" s="116"/>
      <c r="G4" s="116"/>
      <c r="H4" s="116"/>
      <c r="I4" s="117"/>
      <c r="N4" s="205" t="s">
        <v>62</v>
      </c>
      <c r="O4" s="205"/>
      <c r="P4" s="205"/>
    </row>
    <row r="5" spans="1:16" ht="12.75">
      <c r="A5" s="115"/>
      <c r="B5" s="115"/>
      <c r="C5" s="115"/>
      <c r="D5" s="116"/>
      <c r="E5" s="127"/>
      <c r="F5" s="116"/>
      <c r="G5" s="116"/>
      <c r="H5" s="116"/>
      <c r="I5" s="117"/>
      <c r="N5" s="205" t="s">
        <v>87</v>
      </c>
      <c r="O5" s="205"/>
      <c r="P5" s="205"/>
    </row>
    <row r="6" spans="1:16" ht="12.75">
      <c r="A6" s="115"/>
      <c r="B6" s="115"/>
      <c r="C6" s="115"/>
      <c r="D6" s="116"/>
      <c r="E6" s="116"/>
      <c r="F6" s="116"/>
      <c r="G6" s="116"/>
      <c r="H6" s="116"/>
      <c r="I6" s="117"/>
      <c r="N6" s="205" t="s">
        <v>252</v>
      </c>
      <c r="O6" s="205"/>
      <c r="P6" s="205"/>
    </row>
    <row r="7" spans="1:17" ht="15.75">
      <c r="A7" s="115"/>
      <c r="B7" s="115"/>
      <c r="C7" s="115"/>
      <c r="D7" s="116"/>
      <c r="E7" s="116"/>
      <c r="F7" s="116"/>
      <c r="G7" s="116"/>
      <c r="H7" s="116"/>
      <c r="I7" s="117"/>
      <c r="N7" s="205" t="s">
        <v>343</v>
      </c>
      <c r="O7" s="205"/>
      <c r="P7" s="205"/>
      <c r="Q7" s="27"/>
    </row>
    <row r="8" spans="1:17" ht="15.75">
      <c r="A8" s="115"/>
      <c r="B8" s="115"/>
      <c r="C8" s="115"/>
      <c r="D8" s="116"/>
      <c r="E8" s="116"/>
      <c r="F8" s="116"/>
      <c r="G8" s="116"/>
      <c r="H8" s="116"/>
      <c r="I8" s="117"/>
      <c r="N8" s="126"/>
      <c r="O8" s="126"/>
      <c r="P8" s="126"/>
      <c r="Q8" s="27"/>
    </row>
    <row r="9" spans="1:9" ht="11.25">
      <c r="A9" s="115"/>
      <c r="B9" s="115"/>
      <c r="C9" s="115"/>
      <c r="D9" s="116"/>
      <c r="E9" s="116"/>
      <c r="F9" s="116"/>
      <c r="G9" s="116"/>
      <c r="H9" s="116"/>
      <c r="I9" s="117"/>
    </row>
    <row r="10" spans="1:16" ht="31.5" customHeight="1">
      <c r="A10" s="203" t="s">
        <v>88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16" ht="16.5" customHeight="1">
      <c r="A11" s="3"/>
      <c r="B11" s="3"/>
      <c r="C11" s="3"/>
      <c r="D11" s="74"/>
      <c r="E11" s="74"/>
      <c r="F11" s="74"/>
      <c r="G11" s="74"/>
      <c r="H11" s="74"/>
      <c r="I11" s="74"/>
      <c r="K11" s="74"/>
      <c r="P11" s="74" t="s">
        <v>59</v>
      </c>
    </row>
    <row r="12" spans="1:241" ht="11.25" customHeight="1">
      <c r="A12" s="206"/>
      <c r="B12" s="189" t="s">
        <v>52</v>
      </c>
      <c r="C12" s="189" t="s">
        <v>53</v>
      </c>
      <c r="D12" s="199" t="s">
        <v>89</v>
      </c>
      <c r="E12" s="200"/>
      <c r="F12" s="201"/>
      <c r="G12" s="194" t="s">
        <v>90</v>
      </c>
      <c r="H12" s="194"/>
      <c r="I12" s="194"/>
      <c r="J12" s="194"/>
      <c r="K12" s="128"/>
      <c r="L12" s="128"/>
      <c r="M12" s="128"/>
      <c r="N12" s="199" t="s">
        <v>91</v>
      </c>
      <c r="O12" s="200"/>
      <c r="P12" s="201"/>
      <c r="IB12" s="1"/>
      <c r="IC12" s="1"/>
      <c r="ID12" s="1"/>
      <c r="IE12" s="1"/>
      <c r="IF12" s="1"/>
      <c r="IG12" s="1"/>
    </row>
    <row r="13" spans="1:241" ht="12" customHeight="1">
      <c r="A13" s="207"/>
      <c r="B13" s="190"/>
      <c r="C13" s="190"/>
      <c r="D13" s="192" t="s">
        <v>54</v>
      </c>
      <c r="E13" s="193"/>
      <c r="F13" s="197" t="s">
        <v>41</v>
      </c>
      <c r="G13" s="202" t="s">
        <v>54</v>
      </c>
      <c r="H13" s="202"/>
      <c r="I13" s="202"/>
      <c r="J13" s="194" t="s">
        <v>41</v>
      </c>
      <c r="K13" s="199" t="s">
        <v>40</v>
      </c>
      <c r="L13" s="200"/>
      <c r="M13" s="201"/>
      <c r="N13" s="192" t="s">
        <v>54</v>
      </c>
      <c r="O13" s="193"/>
      <c r="P13" s="197" t="s">
        <v>41</v>
      </c>
      <c r="IB13" s="1"/>
      <c r="IC13" s="1"/>
      <c r="ID13" s="1"/>
      <c r="IE13" s="1"/>
      <c r="IF13" s="1"/>
      <c r="IG13" s="1"/>
    </row>
    <row r="14" spans="1:241" ht="24.75" customHeight="1">
      <c r="A14" s="208"/>
      <c r="B14" s="191"/>
      <c r="C14" s="191"/>
      <c r="D14" s="128" t="s">
        <v>0</v>
      </c>
      <c r="E14" s="128" t="s">
        <v>1</v>
      </c>
      <c r="F14" s="198"/>
      <c r="G14" s="128" t="s">
        <v>0</v>
      </c>
      <c r="H14" s="128" t="s">
        <v>1</v>
      </c>
      <c r="I14" s="128" t="s">
        <v>330</v>
      </c>
      <c r="J14" s="194"/>
      <c r="K14" s="128" t="s">
        <v>0</v>
      </c>
      <c r="L14" s="128" t="s">
        <v>1</v>
      </c>
      <c r="M14" s="128" t="s">
        <v>41</v>
      </c>
      <c r="N14" s="128" t="s">
        <v>0</v>
      </c>
      <c r="O14" s="128" t="s">
        <v>1</v>
      </c>
      <c r="P14" s="198"/>
      <c r="IB14" s="1"/>
      <c r="IC14" s="1"/>
      <c r="ID14" s="1"/>
      <c r="IE14" s="1"/>
      <c r="IF14" s="1"/>
      <c r="IG14" s="1"/>
    </row>
    <row r="15" spans="1:241" s="171" customFormat="1" ht="11.25">
      <c r="A15" s="169">
        <v>1</v>
      </c>
      <c r="B15" s="169"/>
      <c r="C15" s="169"/>
      <c r="D15" s="169" t="s">
        <v>2</v>
      </c>
      <c r="E15" s="169" t="s">
        <v>3</v>
      </c>
      <c r="F15" s="169">
        <v>7</v>
      </c>
      <c r="G15" s="169">
        <v>8</v>
      </c>
      <c r="H15" s="169">
        <v>9</v>
      </c>
      <c r="I15" s="169">
        <v>10</v>
      </c>
      <c r="J15" s="169">
        <v>11</v>
      </c>
      <c r="K15" s="169">
        <v>12</v>
      </c>
      <c r="L15" s="169">
        <v>13</v>
      </c>
      <c r="M15" s="169">
        <v>14</v>
      </c>
      <c r="N15" s="169">
        <v>12</v>
      </c>
      <c r="O15" s="169">
        <v>13</v>
      </c>
      <c r="P15" s="169">
        <v>14</v>
      </c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</row>
    <row r="16" spans="1:16" s="1" customFormat="1" ht="28.5" customHeight="1">
      <c r="A16" s="57" t="s">
        <v>76</v>
      </c>
      <c r="B16" s="57"/>
      <c r="C16" s="57"/>
      <c r="D16" s="58">
        <f>D25+D301+D379+D499+D515+D575+D589+D601+D616</f>
        <v>42115300.002</v>
      </c>
      <c r="E16" s="58">
        <f>E25+E301+E379+E499+E515+E575+E619</f>
        <v>42792920</v>
      </c>
      <c r="F16" s="58">
        <f>F25+F301+F379+F499+F515+F575+F589+F601+F619</f>
        <v>84908220.002</v>
      </c>
      <c r="G16" s="180">
        <f>G25+G301+G379+G499+G515+G575+G601+G616+G628+G655+G671+G680+G698+G706</f>
        <v>66517239.99273924</v>
      </c>
      <c r="H16" s="180">
        <f>H25+H301+H379+H499+H515+H601+H628+H671+H575+H680+H698+H616+H655+H706</f>
        <v>209590373.4998774</v>
      </c>
      <c r="I16" s="180">
        <f>I25+I301+I379+I499+I515+I616+I655+I671</f>
        <v>47000</v>
      </c>
      <c r="J16" s="180">
        <f>G16+H16+I16</f>
        <v>276154613.49261665</v>
      </c>
      <c r="K16" s="58" t="e">
        <f>K25+K301+K379+K499+K515</f>
        <v>#REF!</v>
      </c>
      <c r="L16" s="58" t="e">
        <f>L25+L301+L379+L499+L515</f>
        <v>#REF!</v>
      </c>
      <c r="M16" s="58" t="e">
        <f>M25+M301+M379+M499+M515</f>
        <v>#REF!</v>
      </c>
      <c r="N16" s="58">
        <f>N25+N301+N379+N499+N515+N575+N601+N616+N628+N655+N671+N680+N698+N706</f>
        <v>85824059.99991983</v>
      </c>
      <c r="O16" s="58">
        <f>O25+O301+O379+O499+O515+O575+O601+O616+O628+O655+O671+O680+O698+O706</f>
        <v>269505921.001532</v>
      </c>
      <c r="P16" s="58">
        <f aca="true" t="shared" si="0" ref="P16:P21">N16+O16</f>
        <v>355329981.00145185</v>
      </c>
    </row>
    <row r="17" spans="1:16" s="1" customFormat="1" ht="41.25" customHeight="1">
      <c r="A17" s="57" t="s">
        <v>61</v>
      </c>
      <c r="B17" s="57"/>
      <c r="C17" s="57"/>
      <c r="D17" s="58">
        <f>D26</f>
        <v>50736000</v>
      </c>
      <c r="E17" s="58">
        <f>E26</f>
        <v>58817800</v>
      </c>
      <c r="F17" s="58">
        <f>D17+E17</f>
        <v>109553800</v>
      </c>
      <c r="G17" s="180">
        <f>G26+G589</f>
        <v>71963199.997529</v>
      </c>
      <c r="H17" s="180">
        <f>H26+H589</f>
        <v>131508929</v>
      </c>
      <c r="I17" s="180">
        <f>I26+I589</f>
        <v>0</v>
      </c>
      <c r="J17" s="180">
        <f>G17+H17</f>
        <v>203472128.997529</v>
      </c>
      <c r="K17" s="58">
        <f>K26</f>
        <v>0</v>
      </c>
      <c r="L17" s="58">
        <f>L26</f>
        <v>0</v>
      </c>
      <c r="M17" s="58">
        <f>M26</f>
        <v>0</v>
      </c>
      <c r="N17" s="58">
        <f>N26+N589</f>
        <v>73062999.99998</v>
      </c>
      <c r="O17" s="58">
        <f>O26+O589</f>
        <v>81015600</v>
      </c>
      <c r="P17" s="58">
        <f t="shared" si="0"/>
        <v>154078599.99998</v>
      </c>
    </row>
    <row r="18" spans="1:17" ht="51" customHeight="1">
      <c r="A18" s="57" t="s">
        <v>347</v>
      </c>
      <c r="B18" s="57"/>
      <c r="C18" s="57"/>
      <c r="D18" s="58">
        <f>D380+D455</f>
        <v>353680</v>
      </c>
      <c r="E18" s="58">
        <f>E380+E455</f>
        <v>534080</v>
      </c>
      <c r="F18" s="58">
        <f>D18+E18</f>
        <v>887760</v>
      </c>
      <c r="G18" s="180">
        <f aca="true" t="shared" si="1" ref="G18:I19">G380+G455</f>
        <v>0</v>
      </c>
      <c r="H18" s="180">
        <f t="shared" si="1"/>
        <v>64399.99999992592</v>
      </c>
      <c r="I18" s="180">
        <f t="shared" si="1"/>
        <v>0</v>
      </c>
      <c r="J18" s="180">
        <f>G18+H18+I18</f>
        <v>64399.99999992592</v>
      </c>
      <c r="K18" s="58">
        <f>K380+K455</f>
        <v>0</v>
      </c>
      <c r="L18" s="58">
        <f>L380+L455</f>
        <v>0</v>
      </c>
      <c r="M18" s="58">
        <f>M380+M455</f>
        <v>0</v>
      </c>
      <c r="N18" s="58">
        <f>N380+N455</f>
        <v>0</v>
      </c>
      <c r="O18" s="58">
        <f>O380+O455</f>
        <v>0</v>
      </c>
      <c r="P18" s="58">
        <f t="shared" si="0"/>
        <v>0</v>
      </c>
      <c r="Q18" s="42"/>
    </row>
    <row r="19" spans="1:17" ht="51" customHeight="1">
      <c r="A19" s="57" t="s">
        <v>346</v>
      </c>
      <c r="B19" s="57"/>
      <c r="C19" s="57"/>
      <c r="D19" s="58">
        <f>D381+D456</f>
        <v>0</v>
      </c>
      <c r="E19" s="58">
        <f aca="true" t="shared" si="2" ref="E19:O19">E381+E456</f>
        <v>0</v>
      </c>
      <c r="F19" s="58">
        <f>D19+E19</f>
        <v>0</v>
      </c>
      <c r="G19" s="180">
        <f t="shared" si="1"/>
        <v>219999.99999799998</v>
      </c>
      <c r="H19" s="180">
        <f t="shared" si="1"/>
        <v>814109.999999774</v>
      </c>
      <c r="I19" s="180">
        <f t="shared" si="1"/>
        <v>0</v>
      </c>
      <c r="J19" s="180">
        <f>G19+H19+I19</f>
        <v>1034109.999997774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8">
        <f t="shared" si="2"/>
        <v>419213.19999932</v>
      </c>
      <c r="O19" s="58">
        <f t="shared" si="2"/>
        <v>569509.9999997</v>
      </c>
      <c r="P19" s="58">
        <f t="shared" si="0"/>
        <v>988723.19999902</v>
      </c>
      <c r="Q19" s="42"/>
    </row>
    <row r="20" spans="1:17" ht="29.25" customHeight="1">
      <c r="A20" s="57" t="s">
        <v>75</v>
      </c>
      <c r="B20" s="57"/>
      <c r="C20" s="57"/>
      <c r="D20" s="58">
        <f>D28</f>
        <v>132300</v>
      </c>
      <c r="E20" s="58">
        <f>E28</f>
        <v>0</v>
      </c>
      <c r="F20" s="58">
        <f>D20+E20</f>
        <v>132300</v>
      </c>
      <c r="G20" s="180">
        <f>G28</f>
        <v>172439.79</v>
      </c>
      <c r="H20" s="180">
        <f>H28</f>
        <v>0</v>
      </c>
      <c r="I20" s="180">
        <f>I28</f>
        <v>0</v>
      </c>
      <c r="J20" s="180">
        <f>G20+H20</f>
        <v>172439.79</v>
      </c>
      <c r="K20" s="58">
        <f>K28</f>
        <v>0</v>
      </c>
      <c r="L20" s="58">
        <f>L28</f>
        <v>0</v>
      </c>
      <c r="M20" s="58">
        <f>M28</f>
        <v>0</v>
      </c>
      <c r="N20" s="58">
        <f>N28</f>
        <v>165000</v>
      </c>
      <c r="O20" s="58">
        <f>O28</f>
        <v>0</v>
      </c>
      <c r="P20" s="58">
        <f t="shared" si="0"/>
        <v>165000</v>
      </c>
      <c r="Q20" s="42"/>
    </row>
    <row r="21" spans="1:235" s="113" customFormat="1" ht="29.25" customHeight="1">
      <c r="A21" s="178" t="s">
        <v>334</v>
      </c>
      <c r="B21" s="179"/>
      <c r="C21" s="179"/>
      <c r="D21" s="180"/>
      <c r="E21" s="180"/>
      <c r="F21" s="180"/>
      <c r="G21" s="180">
        <f>G29</f>
        <v>365080.002</v>
      </c>
      <c r="H21" s="180">
        <f aca="true" t="shared" si="3" ref="H21:O21">H29</f>
        <v>0</v>
      </c>
      <c r="I21" s="180">
        <f t="shared" si="3"/>
        <v>0</v>
      </c>
      <c r="J21" s="180">
        <f>G21+H21+I21</f>
        <v>365080.002</v>
      </c>
      <c r="K21" s="180">
        <f t="shared" si="3"/>
        <v>0</v>
      </c>
      <c r="L21" s="180">
        <f t="shared" si="3"/>
        <v>0</v>
      </c>
      <c r="M21" s="180">
        <f t="shared" si="3"/>
        <v>0</v>
      </c>
      <c r="N21" s="180">
        <f t="shared" si="3"/>
        <v>789999.9999959131</v>
      </c>
      <c r="O21" s="180">
        <f t="shared" si="3"/>
        <v>0</v>
      </c>
      <c r="P21" s="180">
        <f t="shared" si="0"/>
        <v>789999.9999959131</v>
      </c>
      <c r="Q21" s="181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</row>
    <row r="22" spans="1:17" ht="20.25" customHeight="1">
      <c r="A22" s="57" t="s">
        <v>221</v>
      </c>
      <c r="B22" s="57"/>
      <c r="C22" s="57"/>
      <c r="D22" s="58">
        <f>D16+D17+D18+D20</f>
        <v>93337280.002</v>
      </c>
      <c r="E22" s="58">
        <f>E16+E17+E18+E20</f>
        <v>102144800</v>
      </c>
      <c r="F22" s="58">
        <f>F16+F17+F18+F20</f>
        <v>195482080.002</v>
      </c>
      <c r="G22" s="58">
        <f>G16+G17+G18+G20+G21+G19</f>
        <v>139237959.78226623</v>
      </c>
      <c r="H22" s="58">
        <f>H16+H17+H18+H20+H21+H19</f>
        <v>341977812.4998771</v>
      </c>
      <c r="I22" s="58">
        <f>I16+I17+I18+I20+I21+I19</f>
        <v>47000</v>
      </c>
      <c r="J22" s="58">
        <f>J16+J17+J18+J20+J21+J19</f>
        <v>481262772.2821434</v>
      </c>
      <c r="K22" s="58" t="e">
        <f>K16+K17+K18+K20</f>
        <v>#REF!</v>
      </c>
      <c r="L22" s="58" t="e">
        <f>L16+L17+L18+L20</f>
        <v>#REF!</v>
      </c>
      <c r="M22" s="58" t="e">
        <f>M16+M17+M18+M20</f>
        <v>#REF!</v>
      </c>
      <c r="N22" s="58">
        <f>N16+N17+N18+N20+N19+N21</f>
        <v>160261273.19989508</v>
      </c>
      <c r="O22" s="58">
        <f>O16+O17+O18+O20+O19+O21</f>
        <v>351091031.0015317</v>
      </c>
      <c r="P22" s="58">
        <f>P16+P17+P18+P20+P19+P21</f>
        <v>511352304.20142674</v>
      </c>
      <c r="Q22" s="42"/>
    </row>
    <row r="23" spans="1:235" s="85" customFormat="1" ht="18.75" customHeight="1">
      <c r="A23" s="118" t="s">
        <v>345</v>
      </c>
      <c r="B23" s="88"/>
      <c r="C23" s="88"/>
      <c r="D23" s="119">
        <f>D25+D26+D28</f>
        <v>85352300</v>
      </c>
      <c r="E23" s="119">
        <f aca="true" t="shared" si="4" ref="E23:M23">E25+E26+E28</f>
        <v>73485300</v>
      </c>
      <c r="F23" s="119">
        <f>F25+F26+F28</f>
        <v>158837600</v>
      </c>
      <c r="G23" s="119">
        <f>G25+G26+G28+G29</f>
        <v>116963019.7841544</v>
      </c>
      <c r="H23" s="119">
        <f>H25+H26+H28+H29</f>
        <v>153548611.5</v>
      </c>
      <c r="I23" s="119">
        <f>I25+I26+I28+I29</f>
        <v>0</v>
      </c>
      <c r="J23" s="119">
        <f t="shared" si="4"/>
        <v>270146551.2821544</v>
      </c>
      <c r="K23" s="119">
        <f t="shared" si="4"/>
        <v>-1039.33</v>
      </c>
      <c r="L23" s="119">
        <f t="shared" si="4"/>
        <v>-1039.33</v>
      </c>
      <c r="M23" s="119">
        <f t="shared" si="4"/>
        <v>-1039.33</v>
      </c>
      <c r="N23" s="119">
        <f>N25+N26+N28+N29</f>
        <v>138227799.99992236</v>
      </c>
      <c r="O23" s="119">
        <f>O25+O26+O28+O29</f>
        <v>121912700.00186001</v>
      </c>
      <c r="P23" s="119">
        <f>N23+O23</f>
        <v>260140500.00178236</v>
      </c>
      <c r="Q23" s="120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</row>
    <row r="24" spans="1:17" ht="27" customHeight="1">
      <c r="A24" s="18" t="s">
        <v>222</v>
      </c>
      <c r="B24" s="8"/>
      <c r="C24" s="8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0"/>
      <c r="O24" s="10"/>
      <c r="P24" s="10"/>
      <c r="Q24" s="42"/>
    </row>
    <row r="25" spans="1:235" s="85" customFormat="1" ht="15" customHeight="1">
      <c r="A25" s="108" t="s">
        <v>97</v>
      </c>
      <c r="B25" s="108"/>
      <c r="C25" s="108"/>
      <c r="D25" s="119">
        <f>D77+(D92*D95)+D141+D169+D206+D247+D262+D282+D292+D99</f>
        <v>34484000</v>
      </c>
      <c r="E25" s="119">
        <f>E77+(E92*E95)+E141+E169+E206+E247+E262+E282+E292</f>
        <v>14667500</v>
      </c>
      <c r="F25" s="119">
        <f>D25+E25</f>
        <v>49151500</v>
      </c>
      <c r="G25" s="119">
        <f>G77+(G92*G95)+G141+G169+G206+G247+G262+G282+G292+G99-G29+G50</f>
        <v>52542299.99462538</v>
      </c>
      <c r="H25" s="119">
        <f>H77+(H92*H95)+H141+H169+H206+H247+H262+H282+H292-H298</f>
        <v>22039682.5</v>
      </c>
      <c r="I25" s="119">
        <f>I77+(I92*I95)+I141+I169+I206+I247+I262+I282+I292-I298</f>
        <v>0</v>
      </c>
      <c r="J25" s="119">
        <f>G25+H25</f>
        <v>74581982.49462539</v>
      </c>
      <c r="K25" s="119">
        <f>K77+(K92*K95)+K141+K169+K206+K247+K262+K282+K292</f>
        <v>-1039.33</v>
      </c>
      <c r="L25" s="119">
        <f>L77+(L92*L95)+L141+L169+L206+L247+L262+L282+L292</f>
        <v>-1039.33</v>
      </c>
      <c r="M25" s="119">
        <f>M77+(M92*M95)+M141+M169+M206+M247+M262+M282+M292</f>
        <v>-1039.33</v>
      </c>
      <c r="N25" s="119">
        <f>N77+(N92*N95)+N141+N169+N206+N247+N262+N282+N292+N99+N50-N29</f>
        <v>64209799.99994643</v>
      </c>
      <c r="O25" s="119">
        <f>O77+(O92*O95)+O141+O169+O206+O247+O262+O282+O292-O298</f>
        <v>40897100.00186001</v>
      </c>
      <c r="P25" s="119">
        <f>N25+O25</f>
        <v>105106900.00180644</v>
      </c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</row>
    <row r="26" spans="1:235" s="85" customFormat="1" ht="13.5" customHeight="1">
      <c r="A26" s="108" t="s">
        <v>98</v>
      </c>
      <c r="B26" s="108"/>
      <c r="C26" s="108"/>
      <c r="D26" s="119">
        <f>D30+D41+D59+D106+D113-D28</f>
        <v>50736000</v>
      </c>
      <c r="E26" s="119">
        <f>E30+E41+E59+E106+E113-E28+(E91*E94)</f>
        <v>58817800</v>
      </c>
      <c r="F26" s="119">
        <f>D26+E26</f>
        <v>109553800</v>
      </c>
      <c r="G26" s="119">
        <f>G30+G41+G59+G106+G113-G28</f>
        <v>63883199.997529</v>
      </c>
      <c r="H26" s="119">
        <f>H30+H41+H59+H106+H113-H28+(J91*J94)+H298-600180</f>
        <v>131508929</v>
      </c>
      <c r="I26" s="119">
        <f>I30+I41+I59+I106+I113-I28+(K91*K94)+I298</f>
        <v>0</v>
      </c>
      <c r="J26" s="119">
        <f>G26+H26</f>
        <v>195392128.997529</v>
      </c>
      <c r="K26" s="119">
        <f>K30+K41+K59+K106+K113-K28+(L91*L94)</f>
        <v>0</v>
      </c>
      <c r="L26" s="119">
        <f>L30+L41+L59+L106+L113-L28+(M91*M94)</f>
        <v>0</v>
      </c>
      <c r="M26" s="119">
        <f>M30+M41+M59+M106+M113-M28+(N91*N94)</f>
        <v>0</v>
      </c>
      <c r="N26" s="119">
        <f>N30+N41+N59+N106+N113-N28</f>
        <v>73062999.99998</v>
      </c>
      <c r="O26" s="119">
        <f>O30+O41+O59+O106+O113-O28+O91*O94+O298+220000</f>
        <v>81015600</v>
      </c>
      <c r="P26" s="119">
        <f>N26+O26</f>
        <v>154078599.99998</v>
      </c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</row>
    <row r="27" spans="1:235" s="85" customFormat="1" ht="30.75" customHeight="1" hidden="1">
      <c r="A27" s="108"/>
      <c r="B27" s="108"/>
      <c r="C27" s="108"/>
      <c r="D27" s="119">
        <f>D30+D41+D77+D59+D113</f>
        <v>57221000</v>
      </c>
      <c r="E27" s="119">
        <f>E30+E41+E77+E59+E113</f>
        <v>25700000</v>
      </c>
      <c r="F27" s="119">
        <f>D27+E27</f>
        <v>82921000</v>
      </c>
      <c r="G27" s="119">
        <f>G30+G41+G77+G59+G113</f>
        <v>73655639.78602898</v>
      </c>
      <c r="H27" s="119">
        <f>H30+H41+H77+H59+H113</f>
        <v>72700000</v>
      </c>
      <c r="I27" s="119"/>
      <c r="J27" s="119">
        <f>G27+H27</f>
        <v>146355639.78602898</v>
      </c>
      <c r="K27" s="119">
        <f>K30+K41+K77+K59+K113</f>
        <v>0</v>
      </c>
      <c r="L27" s="119">
        <f>L30+L41+L77+L59+L113</f>
        <v>0</v>
      </c>
      <c r="M27" s="119">
        <f>M30+M41+M77+M59+M113</f>
        <v>0</v>
      </c>
      <c r="N27" s="119">
        <f>N30+N41+N77+N59+N113</f>
        <v>84727999.99998</v>
      </c>
      <c r="O27" s="119" t="e">
        <f>O31+O42+#REF!+#REF!</f>
        <v>#REF!</v>
      </c>
      <c r="P27" s="119" t="e">
        <f>N27+O27</f>
        <v>#REF!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</row>
    <row r="28" spans="1:235" s="85" customFormat="1" ht="13.5" customHeight="1">
      <c r="A28" s="108" t="s">
        <v>220</v>
      </c>
      <c r="B28" s="108"/>
      <c r="C28" s="108"/>
      <c r="D28" s="119">
        <v>132300</v>
      </c>
      <c r="E28" s="119"/>
      <c r="F28" s="119">
        <f>D28+E28</f>
        <v>132300</v>
      </c>
      <c r="G28" s="119">
        <f>135000+37439.79</f>
        <v>172439.79</v>
      </c>
      <c r="H28" s="119"/>
      <c r="I28" s="119"/>
      <c r="J28" s="119">
        <f>G28+H28</f>
        <v>172439.79</v>
      </c>
      <c r="K28" s="119"/>
      <c r="L28" s="119"/>
      <c r="M28" s="119"/>
      <c r="N28" s="119">
        <v>165000</v>
      </c>
      <c r="O28" s="119"/>
      <c r="P28" s="119">
        <f>N28+O28</f>
        <v>165000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</row>
    <row r="29" spans="1:235" s="85" customFormat="1" ht="24">
      <c r="A29" s="108" t="s">
        <v>334</v>
      </c>
      <c r="B29" s="108"/>
      <c r="C29" s="108"/>
      <c r="D29" s="119"/>
      <c r="E29" s="119"/>
      <c r="F29" s="119"/>
      <c r="G29" s="119">
        <f>G252*G257</f>
        <v>365080.002</v>
      </c>
      <c r="H29" s="119">
        <f aca="true" t="shared" si="5" ref="H29:O29">H252*H257</f>
        <v>0</v>
      </c>
      <c r="I29" s="119">
        <f t="shared" si="5"/>
        <v>0</v>
      </c>
      <c r="J29" s="119">
        <f>G29+H29+I29</f>
        <v>365080.002</v>
      </c>
      <c r="K29" s="119">
        <f t="shared" si="5"/>
        <v>0</v>
      </c>
      <c r="L29" s="119">
        <f t="shared" si="5"/>
        <v>0</v>
      </c>
      <c r="M29" s="119">
        <f t="shared" si="5"/>
        <v>0</v>
      </c>
      <c r="N29" s="119">
        <f t="shared" si="5"/>
        <v>789999.9999959131</v>
      </c>
      <c r="O29" s="119">
        <f t="shared" si="5"/>
        <v>0</v>
      </c>
      <c r="P29" s="119">
        <f>N29+O29</f>
        <v>789999.9999959131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</row>
    <row r="30" spans="1:235" s="102" customFormat="1" ht="33.75">
      <c r="A30" s="82" t="s">
        <v>44</v>
      </c>
      <c r="B30" s="88"/>
      <c r="C30" s="88"/>
      <c r="D30" s="89"/>
      <c r="E30" s="89">
        <f>E37*E35</f>
        <v>22500000</v>
      </c>
      <c r="F30" s="89">
        <f>F37*F35</f>
        <v>22500000</v>
      </c>
      <c r="G30" s="89"/>
      <c r="H30" s="89">
        <f>H35*H37</f>
        <v>71500000</v>
      </c>
      <c r="I30" s="89"/>
      <c r="J30" s="89">
        <f>H30</f>
        <v>71500000</v>
      </c>
      <c r="K30" s="95"/>
      <c r="L30" s="95"/>
      <c r="M30" s="95"/>
      <c r="N30" s="89"/>
      <c r="O30" s="89">
        <f>(O37*O35)</f>
        <v>32400000</v>
      </c>
      <c r="P30" s="89">
        <f>(P37*P35)</f>
        <v>32400000</v>
      </c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</row>
    <row r="31" spans="1:235" s="50" customFormat="1" ht="12">
      <c r="A31" s="54" t="s">
        <v>4</v>
      </c>
      <c r="B31" s="61"/>
      <c r="C31" s="61"/>
      <c r="D31" s="64"/>
      <c r="E31" s="64"/>
      <c r="F31" s="64"/>
      <c r="G31" s="64"/>
      <c r="H31" s="64"/>
      <c r="I31" s="64"/>
      <c r="J31" s="64"/>
      <c r="K31" s="63"/>
      <c r="L31" s="63"/>
      <c r="M31" s="63"/>
      <c r="N31" s="64"/>
      <c r="O31" s="64"/>
      <c r="P31" s="64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</row>
    <row r="32" spans="1:235" s="50" customFormat="1" ht="27" customHeight="1">
      <c r="A32" s="55" t="s">
        <v>9</v>
      </c>
      <c r="B32" s="59"/>
      <c r="C32" s="59"/>
      <c r="D32" s="62"/>
      <c r="E32" s="62">
        <v>270000</v>
      </c>
      <c r="F32" s="62">
        <f>E32</f>
        <v>270000</v>
      </c>
      <c r="G32" s="62"/>
      <c r="H32" s="62">
        <v>270000</v>
      </c>
      <c r="I32" s="62"/>
      <c r="J32" s="62">
        <f>H32</f>
        <v>270000</v>
      </c>
      <c r="K32" s="63"/>
      <c r="L32" s="63"/>
      <c r="M32" s="63"/>
      <c r="N32" s="62"/>
      <c r="O32" s="62">
        <v>300000</v>
      </c>
      <c r="P32" s="62">
        <f>O32</f>
        <v>300000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</row>
    <row r="33" spans="1:235" s="50" customFormat="1" ht="27" customHeight="1">
      <c r="A33" s="55" t="s">
        <v>223</v>
      </c>
      <c r="B33" s="59"/>
      <c r="C33" s="59"/>
      <c r="D33" s="62"/>
      <c r="E33" s="62"/>
      <c r="F33" s="62"/>
      <c r="G33" s="62"/>
      <c r="H33" s="62"/>
      <c r="I33" s="62"/>
      <c r="J33" s="62"/>
      <c r="K33" s="63"/>
      <c r="L33" s="63"/>
      <c r="M33" s="63"/>
      <c r="N33" s="62"/>
      <c r="O33" s="62"/>
      <c r="P33" s="62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</row>
    <row r="34" spans="1:235" s="50" customFormat="1" ht="12">
      <c r="A34" s="54" t="s">
        <v>5</v>
      </c>
      <c r="B34" s="61"/>
      <c r="C34" s="61"/>
      <c r="D34" s="62"/>
      <c r="E34" s="64"/>
      <c r="F34" s="64"/>
      <c r="G34" s="62"/>
      <c r="H34" s="64"/>
      <c r="I34" s="64"/>
      <c r="J34" s="64"/>
      <c r="K34" s="63"/>
      <c r="L34" s="63"/>
      <c r="M34" s="63"/>
      <c r="N34" s="62"/>
      <c r="O34" s="64"/>
      <c r="P34" s="64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</row>
    <row r="35" spans="1:235" s="50" customFormat="1" ht="22.5">
      <c r="A35" s="55" t="s">
        <v>12</v>
      </c>
      <c r="B35" s="59"/>
      <c r="C35" s="59"/>
      <c r="D35" s="62"/>
      <c r="E35" s="62">
        <f>50000+25000</f>
        <v>75000</v>
      </c>
      <c r="F35" s="62">
        <f>E35</f>
        <v>75000</v>
      </c>
      <c r="G35" s="62"/>
      <c r="H35" s="62">
        <f>50000+25000+103750</f>
        <v>178750</v>
      </c>
      <c r="I35" s="62"/>
      <c r="J35" s="62">
        <f>H35</f>
        <v>178750</v>
      </c>
      <c r="K35" s="63"/>
      <c r="L35" s="63"/>
      <c r="M35" s="63"/>
      <c r="N35" s="62"/>
      <c r="O35" s="62">
        <f>54000+27000</f>
        <v>81000</v>
      </c>
      <c r="P35" s="62">
        <f>O35</f>
        <v>81000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</row>
    <row r="36" spans="1:235" s="50" customFormat="1" ht="12">
      <c r="A36" s="54" t="s">
        <v>7</v>
      </c>
      <c r="B36" s="61"/>
      <c r="C36" s="61"/>
      <c r="D36" s="62"/>
      <c r="E36" s="64"/>
      <c r="F36" s="64"/>
      <c r="G36" s="62"/>
      <c r="H36" s="64"/>
      <c r="I36" s="64"/>
      <c r="J36" s="64"/>
      <c r="K36" s="63"/>
      <c r="L36" s="63"/>
      <c r="M36" s="63"/>
      <c r="N36" s="62"/>
      <c r="O36" s="64"/>
      <c r="P36" s="64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</row>
    <row r="37" spans="1:235" s="50" customFormat="1" ht="22.5">
      <c r="A37" s="55" t="s">
        <v>17</v>
      </c>
      <c r="B37" s="59"/>
      <c r="C37" s="59"/>
      <c r="D37" s="62"/>
      <c r="E37" s="62">
        <v>300</v>
      </c>
      <c r="F37" s="62">
        <f>E37</f>
        <v>300</v>
      </c>
      <c r="G37" s="62"/>
      <c r="H37" s="62">
        <v>400</v>
      </c>
      <c r="I37" s="62"/>
      <c r="J37" s="62">
        <f>H37</f>
        <v>400</v>
      </c>
      <c r="K37" s="63"/>
      <c r="L37" s="63"/>
      <c r="M37" s="63"/>
      <c r="N37" s="62"/>
      <c r="O37" s="62">
        <v>400</v>
      </c>
      <c r="P37" s="62">
        <f>O37</f>
        <v>400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</row>
    <row r="38" spans="1:235" s="50" customFormat="1" ht="12">
      <c r="A38" s="54" t="s">
        <v>6</v>
      </c>
      <c r="B38" s="61"/>
      <c r="C38" s="61"/>
      <c r="D38" s="62"/>
      <c r="E38" s="64"/>
      <c r="F38" s="64"/>
      <c r="G38" s="62"/>
      <c r="H38" s="64"/>
      <c r="I38" s="64"/>
      <c r="J38" s="64"/>
      <c r="K38" s="63"/>
      <c r="L38" s="63"/>
      <c r="M38" s="63"/>
      <c r="N38" s="62"/>
      <c r="O38" s="64"/>
      <c r="P38" s="64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</row>
    <row r="39" spans="1:235" s="50" customFormat="1" ht="22.5">
      <c r="A39" s="55" t="s">
        <v>23</v>
      </c>
      <c r="B39" s="59"/>
      <c r="C39" s="59"/>
      <c r="D39" s="62"/>
      <c r="E39" s="62">
        <f>E35/E32*100</f>
        <v>27.77777777777778</v>
      </c>
      <c r="F39" s="62">
        <f>F35/F32*100</f>
        <v>27.77777777777778</v>
      </c>
      <c r="G39" s="62"/>
      <c r="H39" s="62">
        <f>H35/H32*100</f>
        <v>66.20370370370371</v>
      </c>
      <c r="I39" s="62"/>
      <c r="J39" s="62">
        <f>J35/J32*100</f>
        <v>66.20370370370371</v>
      </c>
      <c r="K39" s="63"/>
      <c r="L39" s="63"/>
      <c r="M39" s="63"/>
      <c r="N39" s="62"/>
      <c r="O39" s="62">
        <f>O35/O32*100</f>
        <v>27</v>
      </c>
      <c r="P39" s="62">
        <f>P35/P32*100</f>
        <v>27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</row>
    <row r="40" spans="1:235" s="184" customFormat="1" ht="15.75" customHeight="1">
      <c r="A40" s="108" t="s">
        <v>345</v>
      </c>
      <c r="B40" s="77"/>
      <c r="C40" s="77"/>
      <c r="D40" s="78"/>
      <c r="E40" s="78"/>
      <c r="F40" s="78"/>
      <c r="G40" s="78"/>
      <c r="H40" s="78"/>
      <c r="I40" s="78"/>
      <c r="J40" s="78"/>
      <c r="K40" s="182"/>
      <c r="L40" s="182"/>
      <c r="M40" s="182"/>
      <c r="N40" s="78"/>
      <c r="O40" s="78"/>
      <c r="P40" s="78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</row>
    <row r="41" spans="1:235" s="102" customFormat="1" ht="35.25" customHeight="1">
      <c r="A41" s="82" t="s">
        <v>92</v>
      </c>
      <c r="B41" s="88"/>
      <c r="C41" s="88"/>
      <c r="D41" s="89">
        <f>D47*D45+100</f>
        <v>29500000</v>
      </c>
      <c r="E41" s="89"/>
      <c r="F41" s="89">
        <f>F47*F45+100</f>
        <v>29500000</v>
      </c>
      <c r="G41" s="89">
        <f>G45*G47</f>
        <v>38399999.9985</v>
      </c>
      <c r="H41" s="89"/>
      <c r="I41" s="89"/>
      <c r="J41" s="89">
        <f>G41</f>
        <v>38399999.9985</v>
      </c>
      <c r="K41" s="95"/>
      <c r="L41" s="95"/>
      <c r="M41" s="95"/>
      <c r="N41" s="89">
        <f>N45*N47</f>
        <v>42480000</v>
      </c>
      <c r="O41" s="89"/>
      <c r="P41" s="89">
        <f>N41</f>
        <v>42480000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</row>
    <row r="42" spans="1:235" s="50" customFormat="1" ht="12">
      <c r="A42" s="54" t="s">
        <v>4</v>
      </c>
      <c r="B42" s="61"/>
      <c r="C42" s="61"/>
      <c r="D42" s="62"/>
      <c r="E42" s="62"/>
      <c r="F42" s="62"/>
      <c r="G42" s="62"/>
      <c r="H42" s="62"/>
      <c r="I42" s="62"/>
      <c r="J42" s="62"/>
      <c r="K42" s="63"/>
      <c r="L42" s="63"/>
      <c r="M42" s="63"/>
      <c r="N42" s="62"/>
      <c r="O42" s="62"/>
      <c r="P42" s="62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</row>
    <row r="43" spans="1:235" s="50" customFormat="1" ht="22.5">
      <c r="A43" s="55" t="s">
        <v>10</v>
      </c>
      <c r="B43" s="59"/>
      <c r="C43" s="59"/>
      <c r="D43" s="62">
        <v>292000</v>
      </c>
      <c r="E43" s="62"/>
      <c r="F43" s="62">
        <f>D43</f>
        <v>292000</v>
      </c>
      <c r="G43" s="62">
        <v>292000</v>
      </c>
      <c r="H43" s="62"/>
      <c r="I43" s="62"/>
      <c r="J43" s="62">
        <f>G43</f>
        <v>292000</v>
      </c>
      <c r="K43" s="63"/>
      <c r="L43" s="63"/>
      <c r="M43" s="63"/>
      <c r="N43" s="62">
        <v>300000</v>
      </c>
      <c r="O43" s="62"/>
      <c r="P43" s="62">
        <f>N43</f>
        <v>300000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</row>
    <row r="44" spans="1:235" s="50" customFormat="1" ht="12">
      <c r="A44" s="54" t="s">
        <v>5</v>
      </c>
      <c r="B44" s="61"/>
      <c r="C44" s="61"/>
      <c r="D44" s="62"/>
      <c r="E44" s="62"/>
      <c r="F44" s="62"/>
      <c r="G44" s="62"/>
      <c r="H44" s="62"/>
      <c r="I44" s="62"/>
      <c r="J44" s="62"/>
      <c r="K44" s="63"/>
      <c r="L44" s="63"/>
      <c r="M44" s="63"/>
      <c r="N44" s="62"/>
      <c r="O44" s="62"/>
      <c r="P44" s="62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</row>
    <row r="45" spans="1:235" s="50" customFormat="1" ht="22.5">
      <c r="A45" s="55" t="s">
        <v>11</v>
      </c>
      <c r="B45" s="59"/>
      <c r="C45" s="59"/>
      <c r="D45" s="62">
        <f>73333+25000</f>
        <v>98333</v>
      </c>
      <c r="E45" s="62"/>
      <c r="F45" s="62">
        <f>D45</f>
        <v>98333</v>
      </c>
      <c r="G45" s="62">
        <f>73333+25000+8333</f>
        <v>106666</v>
      </c>
      <c r="H45" s="62"/>
      <c r="I45" s="62"/>
      <c r="J45" s="62">
        <f>G45</f>
        <v>106666</v>
      </c>
      <c r="K45" s="63"/>
      <c r="L45" s="63"/>
      <c r="M45" s="63"/>
      <c r="N45" s="62">
        <f>79200+27000</f>
        <v>106200</v>
      </c>
      <c r="O45" s="62"/>
      <c r="P45" s="62">
        <f>N45</f>
        <v>106200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</row>
    <row r="46" spans="1:235" s="50" customFormat="1" ht="12">
      <c r="A46" s="54" t="s">
        <v>7</v>
      </c>
      <c r="B46" s="61"/>
      <c r="C46" s="61"/>
      <c r="D46" s="62"/>
      <c r="E46" s="62"/>
      <c r="F46" s="62"/>
      <c r="G46" s="62"/>
      <c r="H46" s="62"/>
      <c r="I46" s="62"/>
      <c r="J46" s="62"/>
      <c r="K46" s="63"/>
      <c r="L46" s="63"/>
      <c r="M46" s="63"/>
      <c r="N46" s="62"/>
      <c r="O46" s="62"/>
      <c r="P46" s="62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</row>
    <row r="47" spans="1:235" s="50" customFormat="1" ht="24" customHeight="1">
      <c r="A47" s="55" t="s">
        <v>20</v>
      </c>
      <c r="B47" s="59"/>
      <c r="C47" s="59"/>
      <c r="D47" s="62">
        <v>300</v>
      </c>
      <c r="E47" s="62"/>
      <c r="F47" s="62">
        <f>D47</f>
        <v>300</v>
      </c>
      <c r="G47" s="62">
        <v>360.00225</v>
      </c>
      <c r="H47" s="62"/>
      <c r="I47" s="62"/>
      <c r="J47" s="62">
        <f>G47</f>
        <v>360.00225</v>
      </c>
      <c r="K47" s="63"/>
      <c r="L47" s="63"/>
      <c r="M47" s="63"/>
      <c r="N47" s="62">
        <v>400</v>
      </c>
      <c r="O47" s="62"/>
      <c r="P47" s="62">
        <f>N47</f>
        <v>400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</row>
    <row r="48" spans="1:235" s="50" customFormat="1" ht="12">
      <c r="A48" s="54" t="s">
        <v>6</v>
      </c>
      <c r="B48" s="61"/>
      <c r="C48" s="61"/>
      <c r="D48" s="62"/>
      <c r="E48" s="62"/>
      <c r="F48" s="62"/>
      <c r="G48" s="62"/>
      <c r="H48" s="62"/>
      <c r="I48" s="62"/>
      <c r="J48" s="62"/>
      <c r="K48" s="63"/>
      <c r="L48" s="63"/>
      <c r="M48" s="63"/>
      <c r="N48" s="62"/>
      <c r="O48" s="62"/>
      <c r="P48" s="62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</row>
    <row r="49" spans="1:235" s="50" customFormat="1" ht="21.75" customHeight="1">
      <c r="A49" s="55" t="s">
        <v>22</v>
      </c>
      <c r="B49" s="59"/>
      <c r="C49" s="59"/>
      <c r="D49" s="62">
        <f aca="true" t="shared" si="6" ref="D49:J49">D45/D43*100</f>
        <v>33.67568493150685</v>
      </c>
      <c r="E49" s="62"/>
      <c r="F49" s="62">
        <f t="shared" si="6"/>
        <v>33.67568493150685</v>
      </c>
      <c r="G49" s="62">
        <f t="shared" si="6"/>
        <v>36.52945205479452</v>
      </c>
      <c r="H49" s="62"/>
      <c r="I49" s="62"/>
      <c r="J49" s="62">
        <f t="shared" si="6"/>
        <v>36.52945205479452</v>
      </c>
      <c r="K49" s="63"/>
      <c r="L49" s="63"/>
      <c r="M49" s="63"/>
      <c r="N49" s="62">
        <f>N45/N43*100</f>
        <v>35.4</v>
      </c>
      <c r="O49" s="62"/>
      <c r="P49" s="62">
        <f>P45/P43*100</f>
        <v>35.4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</row>
    <row r="50" spans="1:235" s="102" customFormat="1" ht="35.25" customHeight="1">
      <c r="A50" s="82" t="s">
        <v>351</v>
      </c>
      <c r="B50" s="88"/>
      <c r="C50" s="88"/>
      <c r="D50" s="89">
        <f>D56*D54+100</f>
        <v>29500000</v>
      </c>
      <c r="E50" s="89"/>
      <c r="F50" s="89">
        <f>F56*F54</f>
        <v>0</v>
      </c>
      <c r="G50" s="89">
        <f>G54*G56</f>
        <v>150000</v>
      </c>
      <c r="H50" s="89"/>
      <c r="I50" s="89"/>
      <c r="J50" s="89">
        <f>G50</f>
        <v>150000</v>
      </c>
      <c r="K50" s="95"/>
      <c r="L50" s="95"/>
      <c r="M50" s="95"/>
      <c r="N50" s="89">
        <f>N54*N56</f>
        <v>800000</v>
      </c>
      <c r="O50" s="89"/>
      <c r="P50" s="89">
        <f>N50</f>
        <v>800000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</row>
    <row r="51" spans="1:235" s="50" customFormat="1" ht="12">
      <c r="A51" s="54" t="s">
        <v>4</v>
      </c>
      <c r="B51" s="61"/>
      <c r="C51" s="61"/>
      <c r="D51" s="62"/>
      <c r="E51" s="62"/>
      <c r="F51" s="62"/>
      <c r="G51" s="62"/>
      <c r="H51" s="62"/>
      <c r="I51" s="62"/>
      <c r="J51" s="62"/>
      <c r="K51" s="63"/>
      <c r="L51" s="63"/>
      <c r="M51" s="63"/>
      <c r="N51" s="62"/>
      <c r="O51" s="62"/>
      <c r="P51" s="62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</row>
    <row r="52" spans="1:235" s="50" customFormat="1" ht="22.5">
      <c r="A52" s="55" t="s">
        <v>353</v>
      </c>
      <c r="B52" s="59"/>
      <c r="C52" s="59"/>
      <c r="D52" s="62">
        <v>292000</v>
      </c>
      <c r="E52" s="62"/>
      <c r="F52" s="62"/>
      <c r="G52" s="62">
        <v>4</v>
      </c>
      <c r="H52" s="62"/>
      <c r="I52" s="62"/>
      <c r="J52" s="62">
        <f>G52</f>
        <v>4</v>
      </c>
      <c r="K52" s="63"/>
      <c r="L52" s="63"/>
      <c r="M52" s="63"/>
      <c r="N52" s="62">
        <v>3</v>
      </c>
      <c r="O52" s="62"/>
      <c r="P52" s="62">
        <f>N52</f>
        <v>3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</row>
    <row r="53" spans="1:235" s="50" customFormat="1" ht="12">
      <c r="A53" s="54" t="s">
        <v>5</v>
      </c>
      <c r="B53" s="61"/>
      <c r="C53" s="61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2"/>
      <c r="O53" s="62"/>
      <c r="P53" s="62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</row>
    <row r="54" spans="1:235" s="50" customFormat="1" ht="22.5">
      <c r="A54" s="55" t="s">
        <v>352</v>
      </c>
      <c r="B54" s="59"/>
      <c r="C54" s="59"/>
      <c r="D54" s="62">
        <f>73333+25000</f>
        <v>98333</v>
      </c>
      <c r="E54" s="62"/>
      <c r="F54" s="62"/>
      <c r="G54" s="62">
        <v>1</v>
      </c>
      <c r="H54" s="62"/>
      <c r="I54" s="62"/>
      <c r="J54" s="62">
        <f>G54</f>
        <v>1</v>
      </c>
      <c r="K54" s="63"/>
      <c r="L54" s="63"/>
      <c r="M54" s="63"/>
      <c r="N54" s="62">
        <v>3</v>
      </c>
      <c r="O54" s="62"/>
      <c r="P54" s="62">
        <f>N54</f>
        <v>3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</row>
    <row r="55" spans="1:235" s="50" customFormat="1" ht="12">
      <c r="A55" s="54" t="s">
        <v>7</v>
      </c>
      <c r="B55" s="61"/>
      <c r="C55" s="61"/>
      <c r="D55" s="62"/>
      <c r="E55" s="62"/>
      <c r="F55" s="62"/>
      <c r="G55" s="62"/>
      <c r="H55" s="62"/>
      <c r="I55" s="62"/>
      <c r="J55" s="62"/>
      <c r="K55" s="63"/>
      <c r="L55" s="63"/>
      <c r="M55" s="63"/>
      <c r="N55" s="62"/>
      <c r="O55" s="62"/>
      <c r="P55" s="62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</row>
    <row r="56" spans="1:235" s="50" customFormat="1" ht="22.5">
      <c r="A56" s="55" t="s">
        <v>354</v>
      </c>
      <c r="B56" s="59"/>
      <c r="C56" s="59"/>
      <c r="D56" s="62">
        <v>300</v>
      </c>
      <c r="E56" s="62"/>
      <c r="F56" s="62"/>
      <c r="G56" s="62">
        <v>150000</v>
      </c>
      <c r="H56" s="62"/>
      <c r="I56" s="62"/>
      <c r="J56" s="62">
        <f>G56</f>
        <v>150000</v>
      </c>
      <c r="K56" s="63"/>
      <c r="L56" s="63"/>
      <c r="M56" s="63"/>
      <c r="N56" s="62">
        <f>800000/3</f>
        <v>266666.6666666667</v>
      </c>
      <c r="O56" s="62"/>
      <c r="P56" s="62">
        <f>N56</f>
        <v>266666.6666666667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</row>
    <row r="57" spans="1:235" s="50" customFormat="1" ht="12">
      <c r="A57" s="54" t="s">
        <v>6</v>
      </c>
      <c r="B57" s="61"/>
      <c r="C57" s="61"/>
      <c r="D57" s="62"/>
      <c r="E57" s="62"/>
      <c r="F57" s="62"/>
      <c r="G57" s="62"/>
      <c r="H57" s="62"/>
      <c r="I57" s="62"/>
      <c r="J57" s="62"/>
      <c r="K57" s="63"/>
      <c r="L57" s="63"/>
      <c r="M57" s="63"/>
      <c r="N57" s="62"/>
      <c r="O57" s="62"/>
      <c r="P57" s="62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</row>
    <row r="58" spans="1:235" s="50" customFormat="1" ht="21.75" customHeight="1">
      <c r="A58" s="55" t="s">
        <v>355</v>
      </c>
      <c r="B58" s="59"/>
      <c r="C58" s="59"/>
      <c r="D58" s="62">
        <f>D54/D52*100</f>
        <v>33.67568493150685</v>
      </c>
      <c r="E58" s="62"/>
      <c r="F58" s="62"/>
      <c r="G58" s="62">
        <f>G54/G52</f>
        <v>0.25</v>
      </c>
      <c r="H58" s="62"/>
      <c r="I58" s="62"/>
      <c r="J58" s="62">
        <f>J54/J52*100</f>
        <v>25</v>
      </c>
      <c r="K58" s="63"/>
      <c r="L58" s="63"/>
      <c r="M58" s="63"/>
      <c r="N58" s="62">
        <f>N54/N52</f>
        <v>1</v>
      </c>
      <c r="O58" s="62"/>
      <c r="P58" s="62">
        <f>P54/P52*100</f>
        <v>100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</row>
    <row r="59" spans="1:235" s="102" customFormat="1" ht="28.5" customHeight="1">
      <c r="A59" s="82" t="s">
        <v>356</v>
      </c>
      <c r="B59" s="88"/>
      <c r="C59" s="88"/>
      <c r="D59" s="89">
        <f>(D63*D65)+0.4</f>
        <v>19000000</v>
      </c>
      <c r="E59" s="89"/>
      <c r="F59" s="89">
        <f>(F63*F65)+0.4</f>
        <v>19000000</v>
      </c>
      <c r="G59" s="89">
        <f>G63*G65</f>
        <v>22799999.9995862</v>
      </c>
      <c r="H59" s="89"/>
      <c r="I59" s="89"/>
      <c r="J59" s="89">
        <f>G59</f>
        <v>22799999.9995862</v>
      </c>
      <c r="K59" s="95"/>
      <c r="L59" s="95"/>
      <c r="M59" s="95"/>
      <c r="N59" s="89">
        <f>N63*N65</f>
        <v>27360000</v>
      </c>
      <c r="O59" s="89"/>
      <c r="P59" s="89">
        <f>N59</f>
        <v>27360000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</row>
    <row r="60" spans="1:235" s="50" customFormat="1" ht="12">
      <c r="A60" s="54" t="s">
        <v>4</v>
      </c>
      <c r="B60" s="61"/>
      <c r="C60" s="61"/>
      <c r="D60" s="62"/>
      <c r="E60" s="62"/>
      <c r="F60" s="62"/>
      <c r="G60" s="62"/>
      <c r="H60" s="62"/>
      <c r="I60" s="62"/>
      <c r="J60" s="62"/>
      <c r="K60" s="63"/>
      <c r="L60" s="63"/>
      <c r="M60" s="63"/>
      <c r="N60" s="62"/>
      <c r="O60" s="62"/>
      <c r="P60" s="62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</row>
    <row r="61" spans="1:235" s="50" customFormat="1" ht="22.5">
      <c r="A61" s="55" t="s">
        <v>83</v>
      </c>
      <c r="B61" s="59"/>
      <c r="C61" s="59"/>
      <c r="D61" s="62">
        <v>3372600</v>
      </c>
      <c r="E61" s="62"/>
      <c r="F61" s="62">
        <f>D61</f>
        <v>3372600</v>
      </c>
      <c r="G61" s="62">
        <v>3372600</v>
      </c>
      <c r="H61" s="62"/>
      <c r="I61" s="62"/>
      <c r="J61" s="62">
        <f>G61</f>
        <v>3372600</v>
      </c>
      <c r="K61" s="63"/>
      <c r="L61" s="63"/>
      <c r="M61" s="63"/>
      <c r="N61" s="62">
        <v>3372600</v>
      </c>
      <c r="O61" s="62"/>
      <c r="P61" s="62">
        <f>N61</f>
        <v>3372600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</row>
    <row r="62" spans="1:235" s="50" customFormat="1" ht="12">
      <c r="A62" s="54" t="s">
        <v>5</v>
      </c>
      <c r="B62" s="61"/>
      <c r="C62" s="61"/>
      <c r="D62" s="62"/>
      <c r="E62" s="62"/>
      <c r="F62" s="62"/>
      <c r="G62" s="62"/>
      <c r="H62" s="62"/>
      <c r="I62" s="62"/>
      <c r="J62" s="62"/>
      <c r="K62" s="63"/>
      <c r="L62" s="63"/>
      <c r="M62" s="63"/>
      <c r="N62" s="62"/>
      <c r="O62" s="62"/>
      <c r="P62" s="62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</row>
    <row r="63" spans="1:235" s="50" customFormat="1" ht="21.75" customHeight="1">
      <c r="A63" s="55" t="s">
        <v>84</v>
      </c>
      <c r="B63" s="59"/>
      <c r="C63" s="59"/>
      <c r="D63" s="62">
        <v>1310344.8</v>
      </c>
      <c r="E63" s="62"/>
      <c r="F63" s="62">
        <f>D63</f>
        <v>1310344.8</v>
      </c>
      <c r="G63" s="62">
        <v>1310344.8</v>
      </c>
      <c r="H63" s="62"/>
      <c r="I63" s="62"/>
      <c r="J63" s="62">
        <f>G63</f>
        <v>1310344.8</v>
      </c>
      <c r="K63" s="63"/>
      <c r="L63" s="63"/>
      <c r="M63" s="63"/>
      <c r="N63" s="62">
        <v>1425000</v>
      </c>
      <c r="O63" s="62"/>
      <c r="P63" s="62">
        <f>N63</f>
        <v>1425000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</row>
    <row r="64" spans="1:235" s="50" customFormat="1" ht="12">
      <c r="A64" s="54" t="s">
        <v>7</v>
      </c>
      <c r="B64" s="61"/>
      <c r="C64" s="61"/>
      <c r="D64" s="62"/>
      <c r="E64" s="62"/>
      <c r="F64" s="62"/>
      <c r="G64" s="62"/>
      <c r="H64" s="62"/>
      <c r="I64" s="62"/>
      <c r="J64" s="62"/>
      <c r="K64" s="63"/>
      <c r="L64" s="63"/>
      <c r="M64" s="63"/>
      <c r="N64" s="62"/>
      <c r="O64" s="62"/>
      <c r="P64" s="62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</row>
    <row r="65" spans="1:235" s="50" customFormat="1" ht="21.75" customHeight="1">
      <c r="A65" s="55" t="s">
        <v>18</v>
      </c>
      <c r="B65" s="59"/>
      <c r="C65" s="59"/>
      <c r="D65" s="62">
        <v>14.5</v>
      </c>
      <c r="E65" s="62"/>
      <c r="F65" s="62">
        <f>D65</f>
        <v>14.5</v>
      </c>
      <c r="G65" s="62">
        <v>17.400000366</v>
      </c>
      <c r="H65" s="62"/>
      <c r="I65" s="62"/>
      <c r="J65" s="62">
        <f>G65</f>
        <v>17.400000366</v>
      </c>
      <c r="K65" s="63"/>
      <c r="L65" s="63"/>
      <c r="M65" s="63"/>
      <c r="N65" s="62">
        <v>19.2</v>
      </c>
      <c r="O65" s="62"/>
      <c r="P65" s="62">
        <f>N65</f>
        <v>19.2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</row>
    <row r="66" spans="1:235" s="50" customFormat="1" ht="12">
      <c r="A66" s="54" t="s">
        <v>6</v>
      </c>
      <c r="B66" s="61"/>
      <c r="C66" s="61"/>
      <c r="D66" s="62"/>
      <c r="E66" s="62"/>
      <c r="F66" s="62"/>
      <c r="G66" s="62"/>
      <c r="H66" s="62"/>
      <c r="I66" s="62"/>
      <c r="J66" s="62"/>
      <c r="K66" s="63"/>
      <c r="L66" s="63"/>
      <c r="M66" s="63"/>
      <c r="N66" s="62"/>
      <c r="O66" s="62"/>
      <c r="P66" s="62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</row>
    <row r="67" spans="1:235" s="50" customFormat="1" ht="26.25" customHeight="1">
      <c r="A67" s="55" t="s">
        <v>85</v>
      </c>
      <c r="B67" s="59"/>
      <c r="C67" s="59"/>
      <c r="D67" s="62">
        <f>D63/D61*100</f>
        <v>38.852659669098024</v>
      </c>
      <c r="E67" s="62"/>
      <c r="F67" s="62">
        <f>F63/F61*100</f>
        <v>38.852659669098024</v>
      </c>
      <c r="G67" s="62">
        <f>G63/G61*100</f>
        <v>38.852659669098024</v>
      </c>
      <c r="H67" s="62"/>
      <c r="I67" s="62"/>
      <c r="J67" s="62">
        <f>J63/J61*100</f>
        <v>38.852659669098024</v>
      </c>
      <c r="K67" s="63"/>
      <c r="L67" s="63"/>
      <c r="M67" s="63"/>
      <c r="N67" s="62">
        <f>N63/N61*100</f>
        <v>42.252268279665536</v>
      </c>
      <c r="O67" s="62"/>
      <c r="P67" s="62">
        <f>P63/P61*100</f>
        <v>42.252268279665536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</row>
    <row r="68" spans="1:235" s="50" customFormat="1" ht="0.75" customHeight="1" hidden="1">
      <c r="A68" s="55"/>
      <c r="B68" s="59"/>
      <c r="C68" s="59"/>
      <c r="D68" s="62"/>
      <c r="E68" s="62"/>
      <c r="F68" s="62"/>
      <c r="G68" s="62"/>
      <c r="H68" s="62"/>
      <c r="I68" s="62"/>
      <c r="J68" s="62"/>
      <c r="K68" s="63"/>
      <c r="L68" s="63"/>
      <c r="M68" s="63"/>
      <c r="N68" s="62"/>
      <c r="O68" s="62"/>
      <c r="P68" s="62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</row>
    <row r="69" spans="1:235" s="50" customFormat="1" ht="21.75" customHeight="1" hidden="1">
      <c r="A69" s="55"/>
      <c r="B69" s="59"/>
      <c r="C69" s="59"/>
      <c r="D69" s="62"/>
      <c r="E69" s="62"/>
      <c r="F69" s="62"/>
      <c r="G69" s="62"/>
      <c r="H69" s="62"/>
      <c r="I69" s="62"/>
      <c r="J69" s="62"/>
      <c r="K69" s="63"/>
      <c r="L69" s="63"/>
      <c r="M69" s="63"/>
      <c r="N69" s="62"/>
      <c r="O69" s="62"/>
      <c r="P69" s="62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</row>
    <row r="70" spans="1:235" s="50" customFormat="1" ht="21.75" customHeight="1" hidden="1">
      <c r="A70" s="55"/>
      <c r="B70" s="59"/>
      <c r="C70" s="59"/>
      <c r="D70" s="62"/>
      <c r="E70" s="62"/>
      <c r="F70" s="62"/>
      <c r="G70" s="62"/>
      <c r="H70" s="62"/>
      <c r="I70" s="62"/>
      <c r="J70" s="62"/>
      <c r="K70" s="63"/>
      <c r="L70" s="63"/>
      <c r="M70" s="63"/>
      <c r="N70" s="62"/>
      <c r="O70" s="62"/>
      <c r="P70" s="62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</row>
    <row r="71" spans="1:235" s="50" customFormat="1" ht="1.5" customHeight="1" hidden="1">
      <c r="A71" s="55"/>
      <c r="B71" s="59"/>
      <c r="C71" s="59"/>
      <c r="D71" s="62"/>
      <c r="E71" s="62"/>
      <c r="F71" s="62"/>
      <c r="G71" s="62"/>
      <c r="H71" s="62"/>
      <c r="I71" s="62"/>
      <c r="J71" s="62"/>
      <c r="K71" s="63"/>
      <c r="L71" s="63"/>
      <c r="M71" s="63"/>
      <c r="N71" s="62"/>
      <c r="O71" s="62"/>
      <c r="P71" s="62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</row>
    <row r="72" spans="1:235" s="50" customFormat="1" ht="21.75" customHeight="1" hidden="1">
      <c r="A72" s="55"/>
      <c r="B72" s="59"/>
      <c r="C72" s="59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62"/>
      <c r="O72" s="62"/>
      <c r="P72" s="62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</row>
    <row r="73" spans="1:235" s="50" customFormat="1" ht="21.75" customHeight="1" hidden="1">
      <c r="A73" s="55"/>
      <c r="B73" s="59"/>
      <c r="C73" s="59"/>
      <c r="D73" s="62"/>
      <c r="E73" s="62"/>
      <c r="F73" s="62"/>
      <c r="G73" s="62"/>
      <c r="H73" s="62"/>
      <c r="I73" s="62"/>
      <c r="J73" s="62"/>
      <c r="K73" s="63"/>
      <c r="L73" s="63"/>
      <c r="M73" s="63"/>
      <c r="N73" s="62"/>
      <c r="O73" s="62"/>
      <c r="P73" s="62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</row>
    <row r="74" spans="1:235" s="50" customFormat="1" ht="21.75" customHeight="1" hidden="1">
      <c r="A74" s="55"/>
      <c r="B74" s="59"/>
      <c r="C74" s="59"/>
      <c r="D74" s="62"/>
      <c r="E74" s="62"/>
      <c r="F74" s="62"/>
      <c r="G74" s="62"/>
      <c r="H74" s="62"/>
      <c r="I74" s="62"/>
      <c r="J74" s="62"/>
      <c r="K74" s="63"/>
      <c r="L74" s="63"/>
      <c r="M74" s="63"/>
      <c r="N74" s="62"/>
      <c r="O74" s="62"/>
      <c r="P74" s="62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</row>
    <row r="75" spans="1:235" s="50" customFormat="1" ht="21.75" customHeight="1" hidden="1">
      <c r="A75" s="55"/>
      <c r="B75" s="59"/>
      <c r="C75" s="59"/>
      <c r="D75" s="62"/>
      <c r="E75" s="62"/>
      <c r="F75" s="62"/>
      <c r="G75" s="62"/>
      <c r="H75" s="62"/>
      <c r="I75" s="62"/>
      <c r="J75" s="62"/>
      <c r="K75" s="63"/>
      <c r="L75" s="63"/>
      <c r="M75" s="63"/>
      <c r="N75" s="62"/>
      <c r="O75" s="62"/>
      <c r="P75" s="62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</row>
    <row r="76" spans="1:235" s="50" customFormat="1" ht="0.75" customHeight="1" hidden="1">
      <c r="A76" s="55"/>
      <c r="B76" s="59"/>
      <c r="C76" s="59"/>
      <c r="D76" s="62"/>
      <c r="E76" s="62"/>
      <c r="F76" s="62"/>
      <c r="G76" s="62"/>
      <c r="H76" s="62"/>
      <c r="I76" s="62"/>
      <c r="J76" s="62"/>
      <c r="K76" s="63"/>
      <c r="L76" s="63"/>
      <c r="M76" s="63"/>
      <c r="N76" s="62"/>
      <c r="O76" s="62"/>
      <c r="P76" s="62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</row>
    <row r="77" spans="1:235" s="92" customFormat="1" ht="38.25" customHeight="1">
      <c r="A77" s="82" t="s">
        <v>357</v>
      </c>
      <c r="B77" s="88"/>
      <c r="C77" s="88"/>
      <c r="D77" s="89">
        <f>(D81*D83)</f>
        <v>6352700</v>
      </c>
      <c r="E77" s="89"/>
      <c r="F77" s="89">
        <f>(F83*F81)</f>
        <v>6352700</v>
      </c>
      <c r="G77" s="89">
        <f>(G83*G81)</f>
        <v>9599999.9985</v>
      </c>
      <c r="H77" s="89"/>
      <c r="I77" s="89"/>
      <c r="J77" s="89">
        <f>G77+H77</f>
        <v>9599999.9985</v>
      </c>
      <c r="K77" s="95"/>
      <c r="L77" s="95"/>
      <c r="M77" s="95"/>
      <c r="N77" s="89">
        <f>(N81*N83)</f>
        <v>11500000</v>
      </c>
      <c r="O77" s="89"/>
      <c r="P77" s="89">
        <f>(P81*P83)</f>
        <v>11500000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</row>
    <row r="78" spans="1:16" ht="12">
      <c r="A78" s="54" t="s">
        <v>4</v>
      </c>
      <c r="B78" s="61"/>
      <c r="C78" s="61"/>
      <c r="D78" s="62"/>
      <c r="E78" s="62"/>
      <c r="F78" s="62"/>
      <c r="G78" s="62"/>
      <c r="H78" s="62"/>
      <c r="I78" s="62"/>
      <c r="J78" s="62"/>
      <c r="K78" s="63"/>
      <c r="L78" s="63"/>
      <c r="M78" s="63"/>
      <c r="N78" s="62"/>
      <c r="O78" s="62"/>
      <c r="P78" s="62"/>
    </row>
    <row r="79" spans="1:16" ht="33" customHeight="1">
      <c r="A79" s="55" t="s">
        <v>93</v>
      </c>
      <c r="B79" s="59"/>
      <c r="C79" s="59"/>
      <c r="D79" s="62">
        <v>500000</v>
      </c>
      <c r="E79" s="62"/>
      <c r="F79" s="62">
        <f>D79</f>
        <v>500000</v>
      </c>
      <c r="G79" s="62">
        <f>D79</f>
        <v>500000</v>
      </c>
      <c r="H79" s="62"/>
      <c r="I79" s="62"/>
      <c r="J79" s="62">
        <f>G79</f>
        <v>500000</v>
      </c>
      <c r="K79" s="63"/>
      <c r="L79" s="63"/>
      <c r="M79" s="63"/>
      <c r="N79" s="62">
        <f>D79</f>
        <v>500000</v>
      </c>
      <c r="O79" s="62"/>
      <c r="P79" s="62">
        <f>N79</f>
        <v>500000</v>
      </c>
    </row>
    <row r="80" spans="1:16" ht="12">
      <c r="A80" s="54" t="s">
        <v>5</v>
      </c>
      <c r="B80" s="61"/>
      <c r="C80" s="61"/>
      <c r="D80" s="62"/>
      <c r="E80" s="62"/>
      <c r="F80" s="62"/>
      <c r="G80" s="62"/>
      <c r="H80" s="62"/>
      <c r="I80" s="62"/>
      <c r="J80" s="62"/>
      <c r="K80" s="63"/>
      <c r="L80" s="63"/>
      <c r="M80" s="63"/>
      <c r="N80" s="62"/>
      <c r="O80" s="62"/>
      <c r="P80" s="62"/>
    </row>
    <row r="81" spans="1:16" ht="34.5" customHeight="1">
      <c r="A81" s="55" t="s">
        <v>94</v>
      </c>
      <c r="B81" s="59"/>
      <c r="C81" s="59"/>
      <c r="D81" s="14">
        <v>15881.75</v>
      </c>
      <c r="E81" s="62"/>
      <c r="F81" s="62">
        <f>D81</f>
        <v>15881.75</v>
      </c>
      <c r="G81" s="62">
        <v>21333.33333</v>
      </c>
      <c r="H81" s="62"/>
      <c r="I81" s="62"/>
      <c r="J81" s="62">
        <f>G81</f>
        <v>21333.33333</v>
      </c>
      <c r="K81" s="63"/>
      <c r="L81" s="63"/>
      <c r="M81" s="63"/>
      <c r="N81" s="62">
        <v>23000</v>
      </c>
      <c r="O81" s="62"/>
      <c r="P81" s="62">
        <f>N81</f>
        <v>23000</v>
      </c>
    </row>
    <row r="82" spans="1:16" ht="12">
      <c r="A82" s="54" t="s">
        <v>7</v>
      </c>
      <c r="B82" s="61"/>
      <c r="C82" s="61"/>
      <c r="D82" s="62"/>
      <c r="E82" s="62"/>
      <c r="F82" s="62"/>
      <c r="G82" s="62"/>
      <c r="H82" s="62"/>
      <c r="I82" s="62"/>
      <c r="J82" s="62"/>
      <c r="K82" s="63"/>
      <c r="L82" s="63"/>
      <c r="M82" s="63"/>
      <c r="N82" s="62"/>
      <c r="O82" s="62"/>
      <c r="P82" s="62"/>
    </row>
    <row r="83" spans="1:16" ht="33.75">
      <c r="A83" s="55" t="s">
        <v>95</v>
      </c>
      <c r="B83" s="59"/>
      <c r="C83" s="59"/>
      <c r="D83" s="62">
        <v>400</v>
      </c>
      <c r="E83" s="62"/>
      <c r="F83" s="62">
        <f>D83</f>
        <v>400</v>
      </c>
      <c r="G83" s="62">
        <v>450</v>
      </c>
      <c r="H83" s="62"/>
      <c r="I83" s="62"/>
      <c r="J83" s="62">
        <f>G83</f>
        <v>450</v>
      </c>
      <c r="K83" s="63"/>
      <c r="L83" s="63"/>
      <c r="M83" s="63"/>
      <c r="N83" s="62">
        <v>500</v>
      </c>
      <c r="O83" s="62"/>
      <c r="P83" s="62">
        <f>N83</f>
        <v>500</v>
      </c>
    </row>
    <row r="84" spans="1:16" ht="12">
      <c r="A84" s="54" t="s">
        <v>6</v>
      </c>
      <c r="B84" s="61"/>
      <c r="C84" s="61"/>
      <c r="D84" s="62"/>
      <c r="E84" s="62"/>
      <c r="F84" s="62"/>
      <c r="G84" s="62"/>
      <c r="H84" s="62"/>
      <c r="I84" s="62"/>
      <c r="J84" s="62"/>
      <c r="K84" s="63"/>
      <c r="L84" s="63"/>
      <c r="M84" s="63"/>
      <c r="N84" s="62"/>
      <c r="O84" s="62"/>
      <c r="P84" s="62"/>
    </row>
    <row r="85" spans="1:16" ht="45">
      <c r="A85" s="55" t="s">
        <v>96</v>
      </c>
      <c r="B85" s="59"/>
      <c r="C85" s="59"/>
      <c r="D85" s="62">
        <f>D81/D79*100</f>
        <v>3.1763500000000002</v>
      </c>
      <c r="E85" s="62"/>
      <c r="F85" s="62">
        <f>F81/F79*100</f>
        <v>3.1763500000000002</v>
      </c>
      <c r="G85" s="62">
        <f>G81/G79*100</f>
        <v>4.266666666000001</v>
      </c>
      <c r="H85" s="62"/>
      <c r="I85" s="62"/>
      <c r="J85" s="62">
        <f>J81/J79*100</f>
        <v>4.266666666000001</v>
      </c>
      <c r="K85" s="63"/>
      <c r="L85" s="63"/>
      <c r="M85" s="63"/>
      <c r="N85" s="62">
        <f>N81/N79*100</f>
        <v>4.6</v>
      </c>
      <c r="O85" s="62"/>
      <c r="P85" s="62">
        <f>P81/P79*100</f>
        <v>4.6</v>
      </c>
    </row>
    <row r="86" spans="1:235" s="92" customFormat="1" ht="39" customHeight="1">
      <c r="A86" s="82" t="s">
        <v>358</v>
      </c>
      <c r="B86" s="88"/>
      <c r="C86" s="88"/>
      <c r="D86" s="89"/>
      <c r="E86" s="89">
        <f>(E91*E94)+(E92*E95)</f>
        <v>32417800</v>
      </c>
      <c r="F86" s="89">
        <f>E86</f>
        <v>32417800</v>
      </c>
      <c r="G86" s="89"/>
      <c r="H86" s="89">
        <f>(H91*H94)+(H92*H95)-600781.39+599.89</f>
        <v>56164110</v>
      </c>
      <c r="I86" s="89"/>
      <c r="J86" s="89">
        <f>H86</f>
        <v>56164110</v>
      </c>
      <c r="K86" s="89">
        <f aca="true" t="shared" si="7" ref="K86:P86">(K91*K94)+(K92*K95)</f>
        <v>0</v>
      </c>
      <c r="L86" s="89">
        <f t="shared" si="7"/>
        <v>0</v>
      </c>
      <c r="M86" s="89">
        <f t="shared" si="7"/>
        <v>0</v>
      </c>
      <c r="N86" s="89"/>
      <c r="O86" s="89">
        <f>(O91*O94)+(O92*O95)</f>
        <v>44600000</v>
      </c>
      <c r="P86" s="89">
        <f t="shared" si="7"/>
        <v>44600000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</row>
    <row r="87" spans="1:16" ht="12">
      <c r="A87" s="54" t="s">
        <v>4</v>
      </c>
      <c r="B87" s="59"/>
      <c r="C87" s="59"/>
      <c r="D87" s="62"/>
      <c r="E87" s="62"/>
      <c r="F87" s="62"/>
      <c r="G87" s="62"/>
      <c r="H87" s="62"/>
      <c r="I87" s="62"/>
      <c r="J87" s="64"/>
      <c r="K87" s="63"/>
      <c r="L87" s="63"/>
      <c r="M87" s="63"/>
      <c r="N87" s="62"/>
      <c r="O87" s="62"/>
      <c r="P87" s="62"/>
    </row>
    <row r="88" spans="1:16" ht="33.75">
      <c r="A88" s="55" t="s">
        <v>223</v>
      </c>
      <c r="B88" s="59"/>
      <c r="C88" s="59"/>
      <c r="D88" s="62"/>
      <c r="E88" s="62">
        <v>380000</v>
      </c>
      <c r="F88" s="62">
        <f>E88</f>
        <v>380000</v>
      </c>
      <c r="G88" s="62"/>
      <c r="H88" s="62">
        <f>E88</f>
        <v>380000</v>
      </c>
      <c r="I88" s="62"/>
      <c r="J88" s="64">
        <f aca="true" t="shared" si="8" ref="J88:J94">H88</f>
        <v>380000</v>
      </c>
      <c r="K88" s="63"/>
      <c r="L88" s="63"/>
      <c r="M88" s="63"/>
      <c r="N88" s="62"/>
      <c r="O88" s="62">
        <f>H88</f>
        <v>380000</v>
      </c>
      <c r="P88" s="64">
        <f>O88</f>
        <v>380000</v>
      </c>
    </row>
    <row r="89" spans="1:16" ht="29.25" customHeight="1">
      <c r="A89" s="55" t="s">
        <v>224</v>
      </c>
      <c r="B89" s="59"/>
      <c r="C89" s="59"/>
      <c r="D89" s="62"/>
      <c r="E89" s="62">
        <v>76000</v>
      </c>
      <c r="F89" s="62">
        <f>E89</f>
        <v>76000</v>
      </c>
      <c r="G89" s="62"/>
      <c r="H89" s="62">
        <f>E89</f>
        <v>76000</v>
      </c>
      <c r="I89" s="62"/>
      <c r="J89" s="64">
        <f>H89</f>
        <v>76000</v>
      </c>
      <c r="K89" s="63"/>
      <c r="L89" s="63"/>
      <c r="M89" s="63"/>
      <c r="N89" s="62"/>
      <c r="O89" s="62">
        <f>H89</f>
        <v>76000</v>
      </c>
      <c r="P89" s="64">
        <f>O89</f>
        <v>76000</v>
      </c>
    </row>
    <row r="90" spans="1:235" s="113" customFormat="1" ht="12">
      <c r="A90" s="185" t="s">
        <v>5</v>
      </c>
      <c r="B90" s="110"/>
      <c r="C90" s="110"/>
      <c r="D90" s="114"/>
      <c r="E90" s="114"/>
      <c r="F90" s="114"/>
      <c r="G90" s="114"/>
      <c r="H90" s="114"/>
      <c r="I90" s="114"/>
      <c r="J90" s="186"/>
      <c r="K90" s="111"/>
      <c r="L90" s="111"/>
      <c r="M90" s="111"/>
      <c r="N90" s="114"/>
      <c r="O90" s="114"/>
      <c r="P90" s="114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</row>
    <row r="91" spans="1:235" s="113" customFormat="1" ht="34.5" customHeight="1">
      <c r="A91" s="109" t="s">
        <v>225</v>
      </c>
      <c r="B91" s="110"/>
      <c r="C91" s="110"/>
      <c r="D91" s="114"/>
      <c r="E91" s="114">
        <f>65000+5294.5</f>
        <v>70294.5</v>
      </c>
      <c r="F91" s="114">
        <f>E91</f>
        <v>70294.5</v>
      </c>
      <c r="G91" s="114"/>
      <c r="H91" s="114">
        <v>109798.02</v>
      </c>
      <c r="I91" s="114"/>
      <c r="J91" s="186">
        <f t="shared" si="8"/>
        <v>109798.02</v>
      </c>
      <c r="K91" s="111"/>
      <c r="L91" s="111"/>
      <c r="M91" s="111"/>
      <c r="N91" s="114"/>
      <c r="O91" s="114">
        <v>74800</v>
      </c>
      <c r="P91" s="186">
        <f>O91</f>
        <v>74800</v>
      </c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</row>
    <row r="92" spans="1:235" s="113" customFormat="1" ht="26.25" customHeight="1">
      <c r="A92" s="109" t="s">
        <v>226</v>
      </c>
      <c r="B92" s="110"/>
      <c r="C92" s="110"/>
      <c r="D92" s="114"/>
      <c r="E92" s="114">
        <v>10750</v>
      </c>
      <c r="F92" s="114">
        <f>E92</f>
        <v>10750</v>
      </c>
      <c r="G92" s="114"/>
      <c r="H92" s="114">
        <v>16344.85</v>
      </c>
      <c r="I92" s="114"/>
      <c r="J92" s="186">
        <f>H92</f>
        <v>16344.85</v>
      </c>
      <c r="K92" s="111"/>
      <c r="L92" s="111"/>
      <c r="M92" s="111"/>
      <c r="N92" s="114"/>
      <c r="O92" s="114">
        <v>14400</v>
      </c>
      <c r="P92" s="186">
        <f>O92</f>
        <v>14400</v>
      </c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</row>
    <row r="93" spans="1:235" s="113" customFormat="1" ht="12">
      <c r="A93" s="185" t="s">
        <v>7</v>
      </c>
      <c r="B93" s="110"/>
      <c r="C93" s="110"/>
      <c r="D93" s="114"/>
      <c r="E93" s="114"/>
      <c r="F93" s="114"/>
      <c r="G93" s="114"/>
      <c r="H93" s="114"/>
      <c r="I93" s="114"/>
      <c r="J93" s="186"/>
      <c r="K93" s="111"/>
      <c r="L93" s="111"/>
      <c r="M93" s="111"/>
      <c r="N93" s="114"/>
      <c r="O93" s="114"/>
      <c r="P93" s="114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</row>
    <row r="94" spans="1:235" s="113" customFormat="1" ht="22.5" customHeight="1">
      <c r="A94" s="109" t="s">
        <v>229</v>
      </c>
      <c r="B94" s="110"/>
      <c r="C94" s="110"/>
      <c r="D94" s="114"/>
      <c r="E94" s="114">
        <v>400</v>
      </c>
      <c r="F94" s="114">
        <f>E94</f>
        <v>400</v>
      </c>
      <c r="G94" s="114"/>
      <c r="H94" s="114">
        <v>450</v>
      </c>
      <c r="I94" s="114"/>
      <c r="J94" s="186">
        <f t="shared" si="8"/>
        <v>450</v>
      </c>
      <c r="K94" s="111"/>
      <c r="L94" s="111"/>
      <c r="M94" s="111"/>
      <c r="N94" s="114"/>
      <c r="O94" s="114">
        <v>500</v>
      </c>
      <c r="P94" s="186">
        <v>500</v>
      </c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</row>
    <row r="95" spans="1:235" s="113" customFormat="1" ht="22.5" customHeight="1">
      <c r="A95" s="109" t="s">
        <v>230</v>
      </c>
      <c r="B95" s="110"/>
      <c r="C95" s="110"/>
      <c r="D95" s="114"/>
      <c r="E95" s="114">
        <v>400</v>
      </c>
      <c r="F95" s="114">
        <f>E95</f>
        <v>400</v>
      </c>
      <c r="G95" s="114"/>
      <c r="H95" s="114">
        <v>450</v>
      </c>
      <c r="I95" s="114"/>
      <c r="J95" s="186">
        <f>H95</f>
        <v>450</v>
      </c>
      <c r="K95" s="111"/>
      <c r="L95" s="111"/>
      <c r="M95" s="111"/>
      <c r="N95" s="114"/>
      <c r="O95" s="114">
        <v>500</v>
      </c>
      <c r="P95" s="186">
        <f>O95</f>
        <v>500</v>
      </c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</row>
    <row r="96" spans="1:235" s="113" customFormat="1" ht="12">
      <c r="A96" s="185" t="s">
        <v>6</v>
      </c>
      <c r="B96" s="110"/>
      <c r="C96" s="110"/>
      <c r="D96" s="114"/>
      <c r="E96" s="114"/>
      <c r="F96" s="114"/>
      <c r="G96" s="114"/>
      <c r="H96" s="114"/>
      <c r="I96" s="114"/>
      <c r="J96" s="186"/>
      <c r="K96" s="111"/>
      <c r="L96" s="111"/>
      <c r="M96" s="111"/>
      <c r="N96" s="114"/>
      <c r="O96" s="114"/>
      <c r="P96" s="114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</row>
    <row r="97" spans="1:235" s="113" customFormat="1" ht="38.25" customHeight="1">
      <c r="A97" s="109" t="s">
        <v>227</v>
      </c>
      <c r="B97" s="110"/>
      <c r="C97" s="110"/>
      <c r="D97" s="114"/>
      <c r="E97" s="114">
        <f>E91/E88*100</f>
        <v>18.498552631578946</v>
      </c>
      <c r="F97" s="114">
        <f aca="true" t="shared" si="9" ref="F97:P97">F91/F88*100</f>
        <v>18.498552631578946</v>
      </c>
      <c r="G97" s="114"/>
      <c r="H97" s="114">
        <f t="shared" si="9"/>
        <v>28.894215789473687</v>
      </c>
      <c r="I97" s="114"/>
      <c r="J97" s="114">
        <f t="shared" si="9"/>
        <v>28.894215789473687</v>
      </c>
      <c r="K97" s="114" t="e">
        <f t="shared" si="9"/>
        <v>#DIV/0!</v>
      </c>
      <c r="L97" s="114" t="e">
        <f t="shared" si="9"/>
        <v>#DIV/0!</v>
      </c>
      <c r="M97" s="114" t="e">
        <f t="shared" si="9"/>
        <v>#DIV/0!</v>
      </c>
      <c r="N97" s="114"/>
      <c r="O97" s="114">
        <f t="shared" si="9"/>
        <v>19.68421052631579</v>
      </c>
      <c r="P97" s="114">
        <f t="shared" si="9"/>
        <v>19.68421052631579</v>
      </c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  <c r="HZ97" s="112"/>
      <c r="IA97" s="112"/>
    </row>
    <row r="98" spans="1:16" ht="38.25" customHeight="1">
      <c r="A98" s="55" t="s">
        <v>228</v>
      </c>
      <c r="B98" s="59"/>
      <c r="C98" s="59"/>
      <c r="D98" s="62"/>
      <c r="E98" s="62">
        <f>E92/E89*100</f>
        <v>14.144736842105262</v>
      </c>
      <c r="F98" s="62">
        <f aca="true" t="shared" si="10" ref="F98:P98">F92/F89*100</f>
        <v>14.144736842105262</v>
      </c>
      <c r="G98" s="62"/>
      <c r="H98" s="62">
        <f t="shared" si="10"/>
        <v>21.50638157894737</v>
      </c>
      <c r="I98" s="62"/>
      <c r="J98" s="62">
        <f t="shared" si="10"/>
        <v>21.50638157894737</v>
      </c>
      <c r="K98" s="62" t="e">
        <f t="shared" si="10"/>
        <v>#DIV/0!</v>
      </c>
      <c r="L98" s="62" t="e">
        <f t="shared" si="10"/>
        <v>#DIV/0!</v>
      </c>
      <c r="M98" s="62" t="e">
        <f t="shared" si="10"/>
        <v>#DIV/0!</v>
      </c>
      <c r="N98" s="62"/>
      <c r="O98" s="62">
        <f t="shared" si="10"/>
        <v>18.947368421052634</v>
      </c>
      <c r="P98" s="62">
        <f t="shared" si="10"/>
        <v>18.947368421052634</v>
      </c>
    </row>
    <row r="99" spans="1:235" s="92" customFormat="1" ht="33.75">
      <c r="A99" s="82" t="s">
        <v>359</v>
      </c>
      <c r="B99" s="88"/>
      <c r="C99" s="88"/>
      <c r="D99" s="89">
        <f>D101</f>
        <v>37000</v>
      </c>
      <c r="E99" s="89"/>
      <c r="F99" s="89">
        <f>D99</f>
        <v>37000</v>
      </c>
      <c r="G99" s="89">
        <f>G101</f>
        <v>200000</v>
      </c>
      <c r="H99" s="89"/>
      <c r="I99" s="89"/>
      <c r="J99" s="89">
        <f>G99</f>
        <v>200000</v>
      </c>
      <c r="K99" s="89"/>
      <c r="L99" s="89"/>
      <c r="M99" s="89"/>
      <c r="N99" s="89">
        <f>N105*N103</f>
        <v>50000</v>
      </c>
      <c r="O99" s="89"/>
      <c r="P99" s="89">
        <f>N99+O99</f>
        <v>50000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</row>
    <row r="100" spans="1:16" ht="11.25">
      <c r="A100" s="54" t="s">
        <v>4</v>
      </c>
      <c r="B100" s="59"/>
      <c r="C100" s="59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27" customHeight="1">
      <c r="A101" s="55" t="s">
        <v>253</v>
      </c>
      <c r="B101" s="59"/>
      <c r="C101" s="59"/>
      <c r="D101" s="14">
        <v>37000</v>
      </c>
      <c r="E101" s="62"/>
      <c r="F101" s="62">
        <f>D101</f>
        <v>37000</v>
      </c>
      <c r="G101" s="14">
        <v>200000</v>
      </c>
      <c r="H101" s="62"/>
      <c r="I101" s="62"/>
      <c r="J101" s="62">
        <f>G101</f>
        <v>200000</v>
      </c>
      <c r="K101" s="62"/>
      <c r="L101" s="62"/>
      <c r="M101" s="62"/>
      <c r="N101" s="62">
        <v>50000</v>
      </c>
      <c r="O101" s="62"/>
      <c r="P101" s="62">
        <f>N101+O101</f>
        <v>50000</v>
      </c>
    </row>
    <row r="102" spans="1:16" ht="11.25">
      <c r="A102" s="54" t="s">
        <v>5</v>
      </c>
      <c r="B102" s="59"/>
      <c r="C102" s="59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25.5" customHeight="1">
      <c r="A103" s="55" t="s">
        <v>254</v>
      </c>
      <c r="B103" s="59"/>
      <c r="C103" s="59"/>
      <c r="D103" s="62">
        <v>1</v>
      </c>
      <c r="E103" s="62"/>
      <c r="F103" s="62">
        <f>D103</f>
        <v>1</v>
      </c>
      <c r="G103" s="62">
        <v>3</v>
      </c>
      <c r="H103" s="62"/>
      <c r="I103" s="62"/>
      <c r="J103" s="62">
        <f>G103</f>
        <v>3</v>
      </c>
      <c r="K103" s="62"/>
      <c r="L103" s="62"/>
      <c r="M103" s="62"/>
      <c r="N103" s="62">
        <v>1</v>
      </c>
      <c r="O103" s="62"/>
      <c r="P103" s="62">
        <f>N103+O103</f>
        <v>1</v>
      </c>
    </row>
    <row r="104" spans="1:16" ht="11.25">
      <c r="A104" s="54" t="s">
        <v>7</v>
      </c>
      <c r="B104" s="59"/>
      <c r="C104" s="59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</row>
    <row r="105" spans="1:16" ht="23.25" customHeight="1">
      <c r="A105" s="55" t="s">
        <v>255</v>
      </c>
      <c r="B105" s="59"/>
      <c r="C105" s="59"/>
      <c r="D105" s="62">
        <f>D101/D103</f>
        <v>37000</v>
      </c>
      <c r="E105" s="62"/>
      <c r="F105" s="62">
        <f>D105</f>
        <v>37000</v>
      </c>
      <c r="G105" s="62">
        <f>G101/G103</f>
        <v>66666.66666666667</v>
      </c>
      <c r="H105" s="62"/>
      <c r="I105" s="62"/>
      <c r="J105" s="62">
        <f>G105</f>
        <v>66666.66666666667</v>
      </c>
      <c r="K105" s="62"/>
      <c r="L105" s="62"/>
      <c r="M105" s="62"/>
      <c r="N105" s="62">
        <f>N101/N103</f>
        <v>50000</v>
      </c>
      <c r="O105" s="62"/>
      <c r="P105" s="62">
        <f>N105+O105</f>
        <v>50000</v>
      </c>
    </row>
    <row r="106" spans="1:235" s="92" customFormat="1" ht="31.5" customHeight="1">
      <c r="A106" s="82" t="s">
        <v>360</v>
      </c>
      <c r="B106" s="88"/>
      <c r="C106" s="88"/>
      <c r="D106" s="89"/>
      <c r="E106" s="89">
        <f>E110*E112</f>
        <v>5000000</v>
      </c>
      <c r="F106" s="89">
        <f>E106</f>
        <v>5000000</v>
      </c>
      <c r="G106" s="89"/>
      <c r="H106" s="89">
        <f>H110*H112</f>
        <v>10000000</v>
      </c>
      <c r="I106" s="89"/>
      <c r="J106" s="89">
        <f>H106</f>
        <v>10000000</v>
      </c>
      <c r="K106" s="95"/>
      <c r="L106" s="95"/>
      <c r="M106" s="95"/>
      <c r="N106" s="89"/>
      <c r="O106" s="89">
        <f>O110*O112</f>
        <v>7200000</v>
      </c>
      <c r="P106" s="89">
        <f>O106</f>
        <v>7200000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</row>
    <row r="107" spans="1:16" ht="12">
      <c r="A107" s="54" t="s">
        <v>4</v>
      </c>
      <c r="B107" s="59"/>
      <c r="C107" s="59"/>
      <c r="D107" s="62"/>
      <c r="E107" s="62"/>
      <c r="F107" s="62"/>
      <c r="G107" s="62"/>
      <c r="H107" s="62"/>
      <c r="I107" s="62"/>
      <c r="J107" s="64"/>
      <c r="K107" s="63"/>
      <c r="L107" s="63"/>
      <c r="M107" s="63"/>
      <c r="N107" s="62"/>
      <c r="O107" s="62"/>
      <c r="P107" s="62"/>
    </row>
    <row r="108" spans="1:16" ht="20.25" customHeight="1">
      <c r="A108" s="55" t="s">
        <v>99</v>
      </c>
      <c r="B108" s="59"/>
      <c r="C108" s="59"/>
      <c r="D108" s="62"/>
      <c r="E108" s="62">
        <v>5000000</v>
      </c>
      <c r="F108" s="64">
        <f>E108</f>
        <v>5000000</v>
      </c>
      <c r="G108" s="62"/>
      <c r="H108" s="62">
        <v>10000000</v>
      </c>
      <c r="I108" s="62"/>
      <c r="J108" s="64">
        <f>H108</f>
        <v>10000000</v>
      </c>
      <c r="K108" s="63"/>
      <c r="L108" s="63"/>
      <c r="M108" s="63"/>
      <c r="N108" s="62"/>
      <c r="O108" s="62">
        <v>7200000</v>
      </c>
      <c r="P108" s="64">
        <f>O108</f>
        <v>7200000</v>
      </c>
    </row>
    <row r="109" spans="1:16" ht="12">
      <c r="A109" s="54" t="s">
        <v>5</v>
      </c>
      <c r="B109" s="59"/>
      <c r="C109" s="59"/>
      <c r="D109" s="62"/>
      <c r="E109" s="62"/>
      <c r="F109" s="64"/>
      <c r="G109" s="62"/>
      <c r="H109" s="62"/>
      <c r="I109" s="62"/>
      <c r="J109" s="64"/>
      <c r="K109" s="63"/>
      <c r="L109" s="63"/>
      <c r="M109" s="63"/>
      <c r="N109" s="62"/>
      <c r="O109" s="62"/>
      <c r="P109" s="64"/>
    </row>
    <row r="110" spans="1:16" ht="21" customHeight="1">
      <c r="A110" s="55" t="s">
        <v>100</v>
      </c>
      <c r="B110" s="59"/>
      <c r="C110" s="59"/>
      <c r="D110" s="62"/>
      <c r="E110" s="62">
        <v>1</v>
      </c>
      <c r="F110" s="64">
        <f>E110</f>
        <v>1</v>
      </c>
      <c r="G110" s="62"/>
      <c r="H110" s="62">
        <v>2</v>
      </c>
      <c r="I110" s="62"/>
      <c r="J110" s="64">
        <v>2</v>
      </c>
      <c r="K110" s="63"/>
      <c r="L110" s="63"/>
      <c r="M110" s="63"/>
      <c r="N110" s="62"/>
      <c r="O110" s="62">
        <v>1</v>
      </c>
      <c r="P110" s="64">
        <f>O110</f>
        <v>1</v>
      </c>
    </row>
    <row r="111" spans="1:16" ht="12">
      <c r="A111" s="54" t="s">
        <v>7</v>
      </c>
      <c r="B111" s="59"/>
      <c r="C111" s="59"/>
      <c r="D111" s="62"/>
      <c r="E111" s="62"/>
      <c r="F111" s="64"/>
      <c r="G111" s="62"/>
      <c r="H111" s="62"/>
      <c r="I111" s="62"/>
      <c r="J111" s="64"/>
      <c r="K111" s="63"/>
      <c r="L111" s="63"/>
      <c r="M111" s="63"/>
      <c r="N111" s="62"/>
      <c r="O111" s="62"/>
      <c r="P111" s="64"/>
    </row>
    <row r="112" spans="1:16" ht="27" customHeight="1">
      <c r="A112" s="55" t="s">
        <v>101</v>
      </c>
      <c r="B112" s="59"/>
      <c r="C112" s="59"/>
      <c r="D112" s="62"/>
      <c r="E112" s="62">
        <f>E108/E110</f>
        <v>5000000</v>
      </c>
      <c r="F112" s="64">
        <f>E112</f>
        <v>5000000</v>
      </c>
      <c r="G112" s="62"/>
      <c r="H112" s="62">
        <f>H108/H110</f>
        <v>5000000</v>
      </c>
      <c r="I112" s="62"/>
      <c r="J112" s="64">
        <f>H112</f>
        <v>5000000</v>
      </c>
      <c r="K112" s="63"/>
      <c r="L112" s="63"/>
      <c r="M112" s="63"/>
      <c r="N112" s="62"/>
      <c r="O112" s="62">
        <f>O108/O110</f>
        <v>7200000</v>
      </c>
      <c r="P112" s="64">
        <f>P108/P110</f>
        <v>7200000</v>
      </c>
    </row>
    <row r="113" spans="1:235" s="92" customFormat="1" ht="48" customHeight="1">
      <c r="A113" s="82" t="s">
        <v>361</v>
      </c>
      <c r="B113" s="88"/>
      <c r="C113" s="88"/>
      <c r="D113" s="89">
        <f>(D121*D128)+(D122*D129)+(D123*D130)+(D124*D131)+(D125*D132)+(D133*D122*D134)</f>
        <v>2368300</v>
      </c>
      <c r="E113" s="89">
        <f aca="true" t="shared" si="11" ref="E113:O113">(E121*E128)+(E122*E129)+(E123*E130)+(E124*E131)+(E125*E132)+(E133*E122*E134)</f>
        <v>3200000</v>
      </c>
      <c r="F113" s="89">
        <f>D113+E113</f>
        <v>5568300</v>
      </c>
      <c r="G113" s="89">
        <f>(G121*G128)+(G122*G129)+(G123*G130)+(G124*G131)+(G125*G132)+(G133*G122*G134)</f>
        <v>2855639.7894428</v>
      </c>
      <c r="H113" s="89">
        <f t="shared" si="11"/>
        <v>1200000</v>
      </c>
      <c r="I113" s="89"/>
      <c r="J113" s="89">
        <f>G113+H113</f>
        <v>4055639.7894428</v>
      </c>
      <c r="K113" s="89">
        <f t="shared" si="11"/>
        <v>0</v>
      </c>
      <c r="L113" s="89">
        <f t="shared" si="11"/>
        <v>0</v>
      </c>
      <c r="M113" s="89">
        <f t="shared" si="11"/>
        <v>0</v>
      </c>
      <c r="N113" s="89">
        <f>(N121*N128)+(N122*N129)+(N123*N130)+(N124*N131)+(N125*N132)+(N133*N122*N134)+3000</f>
        <v>3387999.99998</v>
      </c>
      <c r="O113" s="89">
        <f t="shared" si="11"/>
        <v>2250000</v>
      </c>
      <c r="P113" s="89">
        <f>N113+O113</f>
        <v>5637999.99998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</row>
    <row r="114" spans="1:235" s="50" customFormat="1" ht="12">
      <c r="A114" s="54" t="s">
        <v>4</v>
      </c>
      <c r="B114" s="61"/>
      <c r="C114" s="61"/>
      <c r="D114" s="62"/>
      <c r="E114" s="62"/>
      <c r="F114" s="62"/>
      <c r="G114" s="62"/>
      <c r="H114" s="62"/>
      <c r="I114" s="62"/>
      <c r="J114" s="62"/>
      <c r="K114" s="63"/>
      <c r="L114" s="63"/>
      <c r="M114" s="63"/>
      <c r="N114" s="62"/>
      <c r="O114" s="62"/>
      <c r="P114" s="62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</row>
    <row r="115" spans="1:235" s="50" customFormat="1" ht="12">
      <c r="A115" s="55" t="s">
        <v>102</v>
      </c>
      <c r="B115" s="59"/>
      <c r="C115" s="59"/>
      <c r="D115" s="62">
        <v>56</v>
      </c>
      <c r="E115" s="62"/>
      <c r="F115" s="62">
        <f>D115</f>
        <v>56</v>
      </c>
      <c r="G115" s="62">
        <v>42</v>
      </c>
      <c r="H115" s="62"/>
      <c r="I115" s="62"/>
      <c r="J115" s="62">
        <f>G115</f>
        <v>42</v>
      </c>
      <c r="K115" s="63"/>
      <c r="L115" s="63"/>
      <c r="M115" s="63"/>
      <c r="N115" s="62">
        <v>67</v>
      </c>
      <c r="O115" s="62"/>
      <c r="P115" s="62">
        <f>N115</f>
        <v>67</v>
      </c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</row>
    <row r="116" spans="1:235" s="50" customFormat="1" ht="12">
      <c r="A116" s="55" t="s">
        <v>8</v>
      </c>
      <c r="B116" s="59"/>
      <c r="C116" s="59"/>
      <c r="D116" s="62">
        <v>37000</v>
      </c>
      <c r="E116" s="62"/>
      <c r="F116" s="62">
        <f>D116</f>
        <v>37000</v>
      </c>
      <c r="G116" s="62">
        <v>37400</v>
      </c>
      <c r="H116" s="62"/>
      <c r="I116" s="62"/>
      <c r="J116" s="62">
        <f>G116</f>
        <v>37400</v>
      </c>
      <c r="K116" s="63"/>
      <c r="L116" s="63"/>
      <c r="M116" s="63"/>
      <c r="N116" s="62">
        <v>37400</v>
      </c>
      <c r="O116" s="62"/>
      <c r="P116" s="62">
        <f>N116</f>
        <v>37400</v>
      </c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</row>
    <row r="117" spans="1:235" s="50" customFormat="1" ht="33.75">
      <c r="A117" s="55" t="s">
        <v>108</v>
      </c>
      <c r="B117" s="59"/>
      <c r="C117" s="59"/>
      <c r="D117" s="62">
        <v>37400</v>
      </c>
      <c r="E117" s="62"/>
      <c r="F117" s="62">
        <v>37400</v>
      </c>
      <c r="G117" s="62">
        <v>37400</v>
      </c>
      <c r="H117" s="62"/>
      <c r="I117" s="62"/>
      <c r="J117" s="62">
        <v>37400</v>
      </c>
      <c r="K117" s="63"/>
      <c r="L117" s="63"/>
      <c r="M117" s="63"/>
      <c r="N117" s="62">
        <v>37400</v>
      </c>
      <c r="O117" s="62"/>
      <c r="P117" s="62">
        <v>37400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</row>
    <row r="118" spans="1:235" s="52" customFormat="1" ht="22.5">
      <c r="A118" s="21" t="s">
        <v>72</v>
      </c>
      <c r="B118" s="7"/>
      <c r="C118" s="7"/>
      <c r="D118" s="14">
        <v>73500</v>
      </c>
      <c r="E118" s="14"/>
      <c r="F118" s="14">
        <f>D118</f>
        <v>73500</v>
      </c>
      <c r="G118" s="14">
        <v>81756</v>
      </c>
      <c r="H118" s="14"/>
      <c r="I118" s="14"/>
      <c r="J118" s="14">
        <f>G118</f>
        <v>81756</v>
      </c>
      <c r="K118" s="16"/>
      <c r="L118" s="16"/>
      <c r="M118" s="16"/>
      <c r="N118" s="14">
        <v>89932</v>
      </c>
      <c r="O118" s="14"/>
      <c r="P118" s="14">
        <f>N118</f>
        <v>89932</v>
      </c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</row>
    <row r="119" spans="1:241" s="49" customFormat="1" ht="12" customHeight="1">
      <c r="A119" s="54" t="s">
        <v>5</v>
      </c>
      <c r="B119" s="61"/>
      <c r="C119" s="61"/>
      <c r="D119" s="62"/>
      <c r="E119" s="62"/>
      <c r="F119" s="62"/>
      <c r="G119" s="62"/>
      <c r="H119" s="62"/>
      <c r="I119" s="62"/>
      <c r="J119" s="62"/>
      <c r="K119" s="63"/>
      <c r="L119" s="63"/>
      <c r="M119" s="63"/>
      <c r="N119" s="62"/>
      <c r="O119" s="62"/>
      <c r="P119" s="62"/>
      <c r="IB119" s="50"/>
      <c r="IC119" s="50"/>
      <c r="ID119" s="50"/>
      <c r="IE119" s="50"/>
      <c r="IF119" s="50"/>
      <c r="IG119" s="50"/>
    </row>
    <row r="120" spans="1:241" s="49" customFormat="1" ht="22.5">
      <c r="A120" s="55" t="s">
        <v>14</v>
      </c>
      <c r="B120" s="59"/>
      <c r="C120" s="59"/>
      <c r="D120" s="62"/>
      <c r="E120" s="62"/>
      <c r="F120" s="62">
        <f>D120</f>
        <v>0</v>
      </c>
      <c r="G120" s="62"/>
      <c r="H120" s="62"/>
      <c r="I120" s="62"/>
      <c r="J120" s="62">
        <f>G120</f>
        <v>0</v>
      </c>
      <c r="K120" s="63"/>
      <c r="L120" s="63"/>
      <c r="M120" s="63"/>
      <c r="N120" s="62"/>
      <c r="O120" s="62"/>
      <c r="P120" s="62">
        <f>N120</f>
        <v>0</v>
      </c>
      <c r="IB120" s="50"/>
      <c r="IC120" s="50"/>
      <c r="ID120" s="50"/>
      <c r="IE120" s="50"/>
      <c r="IF120" s="50"/>
      <c r="IG120" s="50"/>
    </row>
    <row r="121" spans="1:241" s="49" customFormat="1" ht="27.75" customHeight="1">
      <c r="A121" s="55" t="s">
        <v>103</v>
      </c>
      <c r="B121" s="59"/>
      <c r="C121" s="61"/>
      <c r="D121" s="62"/>
      <c r="E121" s="62">
        <v>8</v>
      </c>
      <c r="F121" s="62">
        <f>E121</f>
        <v>8</v>
      </c>
      <c r="G121" s="62"/>
      <c r="H121" s="62">
        <v>3</v>
      </c>
      <c r="I121" s="62"/>
      <c r="J121" s="62">
        <v>3</v>
      </c>
      <c r="K121" s="63"/>
      <c r="L121" s="63"/>
      <c r="M121" s="63"/>
      <c r="N121" s="62"/>
      <c r="O121" s="62">
        <v>5</v>
      </c>
      <c r="P121" s="62">
        <f>O121</f>
        <v>5</v>
      </c>
      <c r="IB121" s="50"/>
      <c r="IC121" s="50"/>
      <c r="ID121" s="50"/>
      <c r="IE121" s="50"/>
      <c r="IF121" s="50"/>
      <c r="IG121" s="50"/>
    </row>
    <row r="122" spans="1:241" s="49" customFormat="1" ht="27" customHeight="1">
      <c r="A122" s="55" t="s">
        <v>104</v>
      </c>
      <c r="B122" s="59"/>
      <c r="C122" s="61"/>
      <c r="D122" s="62">
        <v>56</v>
      </c>
      <c r="E122" s="62"/>
      <c r="F122" s="62">
        <f>D122</f>
        <v>56</v>
      </c>
      <c r="G122" s="62">
        <v>42</v>
      </c>
      <c r="H122" s="62"/>
      <c r="I122" s="62"/>
      <c r="J122" s="62">
        <f>G122</f>
        <v>42</v>
      </c>
      <c r="K122" s="63"/>
      <c r="L122" s="63"/>
      <c r="M122" s="63"/>
      <c r="N122" s="62">
        <v>67</v>
      </c>
      <c r="O122" s="62"/>
      <c r="P122" s="62">
        <f>N122</f>
        <v>67</v>
      </c>
      <c r="IB122" s="50"/>
      <c r="IC122" s="50"/>
      <c r="ID122" s="50"/>
      <c r="IE122" s="50"/>
      <c r="IF122" s="50"/>
      <c r="IG122" s="50"/>
    </row>
    <row r="123" spans="1:241" s="49" customFormat="1" ht="22.5">
      <c r="A123" s="55" t="s">
        <v>42</v>
      </c>
      <c r="B123" s="59"/>
      <c r="C123" s="61"/>
      <c r="D123" s="62">
        <v>300</v>
      </c>
      <c r="E123" s="62"/>
      <c r="F123" s="62">
        <f>D123</f>
        <v>300</v>
      </c>
      <c r="G123" s="62">
        <v>300</v>
      </c>
      <c r="H123" s="62"/>
      <c r="I123" s="62"/>
      <c r="J123" s="62">
        <f>G123</f>
        <v>300</v>
      </c>
      <c r="K123" s="63"/>
      <c r="L123" s="63"/>
      <c r="M123" s="63"/>
      <c r="N123" s="62">
        <v>300</v>
      </c>
      <c r="O123" s="62"/>
      <c r="P123" s="62">
        <v>300</v>
      </c>
      <c r="IB123" s="50"/>
      <c r="IC123" s="50"/>
      <c r="ID123" s="50"/>
      <c r="IE123" s="50"/>
      <c r="IF123" s="50"/>
      <c r="IG123" s="50"/>
    </row>
    <row r="124" spans="1:241" s="49" customFormat="1" ht="22.5">
      <c r="A124" s="55" t="s">
        <v>46</v>
      </c>
      <c r="B124" s="59"/>
      <c r="C124" s="61"/>
      <c r="D124" s="62">
        <v>300</v>
      </c>
      <c r="E124" s="62"/>
      <c r="F124" s="62">
        <f>D124</f>
        <v>300</v>
      </c>
      <c r="G124" s="62">
        <v>300</v>
      </c>
      <c r="H124" s="62"/>
      <c r="I124" s="62"/>
      <c r="J124" s="62">
        <v>300</v>
      </c>
      <c r="K124" s="63"/>
      <c r="L124" s="63"/>
      <c r="M124" s="63"/>
      <c r="N124" s="62">
        <v>300</v>
      </c>
      <c r="O124" s="62"/>
      <c r="P124" s="62">
        <f>N124</f>
        <v>300</v>
      </c>
      <c r="IB124" s="50"/>
      <c r="IC124" s="50"/>
      <c r="ID124" s="50"/>
      <c r="IE124" s="50"/>
      <c r="IF124" s="50"/>
      <c r="IG124" s="50"/>
    </row>
    <row r="125" spans="1:241" s="49" customFormat="1" ht="22.5">
      <c r="A125" s="55" t="s">
        <v>13</v>
      </c>
      <c r="B125" s="59"/>
      <c r="C125" s="61"/>
      <c r="D125" s="62">
        <v>37400</v>
      </c>
      <c r="E125" s="62"/>
      <c r="F125" s="62">
        <f aca="true" t="shared" si="12" ref="F125:F140">D125</f>
        <v>37400</v>
      </c>
      <c r="G125" s="62">
        <v>37400</v>
      </c>
      <c r="H125" s="62"/>
      <c r="I125" s="62"/>
      <c r="J125" s="62">
        <f>G125</f>
        <v>37400</v>
      </c>
      <c r="K125" s="63"/>
      <c r="L125" s="63"/>
      <c r="M125" s="63"/>
      <c r="N125" s="62">
        <v>37400</v>
      </c>
      <c r="O125" s="62"/>
      <c r="P125" s="62">
        <f>N125</f>
        <v>37400</v>
      </c>
      <c r="IB125" s="50"/>
      <c r="IC125" s="50"/>
      <c r="ID125" s="50"/>
      <c r="IE125" s="50"/>
      <c r="IF125" s="50"/>
      <c r="IG125" s="50"/>
    </row>
    <row r="126" spans="1:241" s="49" customFormat="1" ht="12">
      <c r="A126" s="54" t="s">
        <v>7</v>
      </c>
      <c r="B126" s="61"/>
      <c r="C126" s="61"/>
      <c r="D126" s="62"/>
      <c r="E126" s="62"/>
      <c r="F126" s="62">
        <f t="shared" si="12"/>
        <v>0</v>
      </c>
      <c r="G126" s="62"/>
      <c r="H126" s="62"/>
      <c r="I126" s="62"/>
      <c r="J126" s="62"/>
      <c r="K126" s="63"/>
      <c r="L126" s="63"/>
      <c r="M126" s="63"/>
      <c r="N126" s="62"/>
      <c r="O126" s="62"/>
      <c r="P126" s="62"/>
      <c r="IB126" s="50"/>
      <c r="IC126" s="50"/>
      <c r="ID126" s="50"/>
      <c r="IE126" s="50"/>
      <c r="IF126" s="50"/>
      <c r="IG126" s="50"/>
    </row>
    <row r="127" spans="1:241" s="49" customFormat="1" ht="22.5" customHeight="1">
      <c r="A127" s="55" t="s">
        <v>16</v>
      </c>
      <c r="B127" s="59"/>
      <c r="C127" s="59"/>
      <c r="D127" s="62"/>
      <c r="E127" s="62"/>
      <c r="F127" s="62">
        <f t="shared" si="12"/>
        <v>0</v>
      </c>
      <c r="G127" s="62"/>
      <c r="H127" s="62"/>
      <c r="I127" s="62"/>
      <c r="J127" s="62">
        <f>G127</f>
        <v>0</v>
      </c>
      <c r="K127" s="63"/>
      <c r="L127" s="63"/>
      <c r="M127" s="63"/>
      <c r="N127" s="62"/>
      <c r="O127" s="62"/>
      <c r="P127" s="62">
        <f>N127</f>
        <v>0</v>
      </c>
      <c r="IB127" s="50"/>
      <c r="IC127" s="50"/>
      <c r="ID127" s="50"/>
      <c r="IE127" s="50"/>
      <c r="IF127" s="50"/>
      <c r="IG127" s="50"/>
    </row>
    <row r="128" spans="1:241" s="49" customFormat="1" ht="27" customHeight="1">
      <c r="A128" s="21" t="s">
        <v>105</v>
      </c>
      <c r="B128" s="7"/>
      <c r="C128" s="7"/>
      <c r="D128" s="14"/>
      <c r="E128" s="14">
        <v>400000</v>
      </c>
      <c r="F128" s="14">
        <f>E128</f>
        <v>400000</v>
      </c>
      <c r="G128" s="14"/>
      <c r="H128" s="14">
        <v>400000</v>
      </c>
      <c r="I128" s="14"/>
      <c r="J128" s="14">
        <f>H128</f>
        <v>400000</v>
      </c>
      <c r="K128" s="16"/>
      <c r="L128" s="16"/>
      <c r="M128" s="16"/>
      <c r="N128" s="14"/>
      <c r="O128" s="14">
        <v>450000</v>
      </c>
      <c r="P128" s="14">
        <f>O128</f>
        <v>450000</v>
      </c>
      <c r="IB128" s="50"/>
      <c r="IC128" s="50"/>
      <c r="ID128" s="50"/>
      <c r="IE128" s="50"/>
      <c r="IF128" s="50"/>
      <c r="IG128" s="50"/>
    </row>
    <row r="129" spans="1:241" s="49" customFormat="1" ht="22.5">
      <c r="A129" s="55" t="s">
        <v>106</v>
      </c>
      <c r="B129" s="59"/>
      <c r="C129" s="59"/>
      <c r="D129" s="62">
        <v>10000</v>
      </c>
      <c r="E129" s="62"/>
      <c r="F129" s="62">
        <f t="shared" si="12"/>
        <v>10000</v>
      </c>
      <c r="G129" s="62">
        <v>23980.9523809</v>
      </c>
      <c r="H129" s="62"/>
      <c r="I129" s="62"/>
      <c r="J129" s="62">
        <f aca="true" t="shared" si="13" ref="J129:J134">G129</f>
        <v>23980.9523809</v>
      </c>
      <c r="K129" s="63"/>
      <c r="L129" s="63"/>
      <c r="M129" s="63"/>
      <c r="N129" s="62">
        <v>17021.75194</v>
      </c>
      <c r="O129" s="62"/>
      <c r="P129" s="62">
        <f aca="true" t="shared" si="14" ref="P129:P134">N129</f>
        <v>17021.75194</v>
      </c>
      <c r="IB129" s="50"/>
      <c r="IC129" s="50"/>
      <c r="ID129" s="50"/>
      <c r="IE129" s="50"/>
      <c r="IF129" s="50"/>
      <c r="IG129" s="50"/>
    </row>
    <row r="130" spans="1:241" s="49" customFormat="1" ht="27" customHeight="1">
      <c r="A130" s="55" t="s">
        <v>43</v>
      </c>
      <c r="B130" s="59"/>
      <c r="C130" s="59"/>
      <c r="D130" s="62">
        <v>300</v>
      </c>
      <c r="E130" s="62"/>
      <c r="F130" s="62">
        <f>D130</f>
        <v>300</v>
      </c>
      <c r="G130" s="62">
        <v>300</v>
      </c>
      <c r="H130" s="62"/>
      <c r="I130" s="62"/>
      <c r="J130" s="62">
        <f t="shared" si="13"/>
        <v>300</v>
      </c>
      <c r="K130" s="63"/>
      <c r="L130" s="63"/>
      <c r="M130" s="63"/>
      <c r="N130" s="62">
        <v>350</v>
      </c>
      <c r="O130" s="62"/>
      <c r="P130" s="62">
        <f t="shared" si="14"/>
        <v>350</v>
      </c>
      <c r="IB130" s="50"/>
      <c r="IC130" s="50"/>
      <c r="ID130" s="50"/>
      <c r="IE130" s="50"/>
      <c r="IF130" s="50"/>
      <c r="IG130" s="50"/>
    </row>
    <row r="131" spans="1:241" s="49" customFormat="1" ht="27" customHeight="1">
      <c r="A131" s="55" t="s">
        <v>19</v>
      </c>
      <c r="B131" s="59"/>
      <c r="C131" s="59"/>
      <c r="D131" s="62">
        <v>300</v>
      </c>
      <c r="E131" s="62"/>
      <c r="F131" s="62">
        <f t="shared" si="12"/>
        <v>300</v>
      </c>
      <c r="G131" s="62">
        <v>300</v>
      </c>
      <c r="H131" s="62"/>
      <c r="I131" s="62"/>
      <c r="J131" s="62">
        <f t="shared" si="13"/>
        <v>300</v>
      </c>
      <c r="K131" s="63"/>
      <c r="L131" s="63"/>
      <c r="M131" s="63"/>
      <c r="N131" s="62">
        <v>350</v>
      </c>
      <c r="O131" s="62"/>
      <c r="P131" s="62">
        <f t="shared" si="14"/>
        <v>350</v>
      </c>
      <c r="IB131" s="50"/>
      <c r="IC131" s="50"/>
      <c r="ID131" s="50"/>
      <c r="IE131" s="50"/>
      <c r="IF131" s="50"/>
      <c r="IG131" s="50"/>
    </row>
    <row r="132" spans="1:241" s="49" customFormat="1" ht="22.5">
      <c r="A132" s="55" t="s">
        <v>15</v>
      </c>
      <c r="B132" s="59"/>
      <c r="C132" s="59"/>
      <c r="D132" s="62">
        <v>40</v>
      </c>
      <c r="E132" s="62"/>
      <c r="F132" s="62">
        <f t="shared" si="12"/>
        <v>40</v>
      </c>
      <c r="G132" s="62">
        <v>40</v>
      </c>
      <c r="H132" s="62"/>
      <c r="I132" s="62"/>
      <c r="J132" s="62">
        <f t="shared" si="13"/>
        <v>40</v>
      </c>
      <c r="K132" s="63"/>
      <c r="L132" s="63"/>
      <c r="M132" s="63"/>
      <c r="N132" s="62">
        <v>50</v>
      </c>
      <c r="O132" s="62"/>
      <c r="P132" s="62">
        <f t="shared" si="14"/>
        <v>50</v>
      </c>
      <c r="S132" s="49">
        <f>1277*64*1.65</f>
        <v>134851.19999999998</v>
      </c>
      <c r="IB132" s="50"/>
      <c r="IC132" s="50"/>
      <c r="ID132" s="50"/>
      <c r="IE132" s="50"/>
      <c r="IF132" s="50"/>
      <c r="IG132" s="50"/>
    </row>
    <row r="133" spans="1:241" s="49" customFormat="1" ht="22.5">
      <c r="A133" s="55" t="s">
        <v>73</v>
      </c>
      <c r="B133" s="59"/>
      <c r="C133" s="59"/>
      <c r="D133" s="62">
        <v>1312.5</v>
      </c>
      <c r="E133" s="62"/>
      <c r="F133" s="62">
        <f>D133</f>
        <v>1312.5</v>
      </c>
      <c r="G133" s="62">
        <v>2488.30865</v>
      </c>
      <c r="H133" s="62"/>
      <c r="I133" s="62"/>
      <c r="J133" s="62">
        <f t="shared" si="13"/>
        <v>2488.30865</v>
      </c>
      <c r="K133" s="63"/>
      <c r="L133" s="63"/>
      <c r="M133" s="63"/>
      <c r="N133" s="62">
        <v>1342</v>
      </c>
      <c r="O133" s="62"/>
      <c r="P133" s="62">
        <f t="shared" si="14"/>
        <v>1342</v>
      </c>
      <c r="S133" s="49">
        <f>21572/4</f>
        <v>5393</v>
      </c>
      <c r="IB133" s="50"/>
      <c r="IC133" s="50"/>
      <c r="ID133" s="50"/>
      <c r="IE133" s="50"/>
      <c r="IF133" s="50"/>
      <c r="IG133" s="50"/>
    </row>
    <row r="134" spans="1:241" s="49" customFormat="1" ht="22.5">
      <c r="A134" s="21" t="s">
        <v>74</v>
      </c>
      <c r="B134" s="7"/>
      <c r="C134" s="7"/>
      <c r="D134" s="14">
        <v>1.8</v>
      </c>
      <c r="E134" s="14"/>
      <c r="F134" s="14">
        <f>D134</f>
        <v>1.8</v>
      </c>
      <c r="G134" s="14">
        <v>1.65</v>
      </c>
      <c r="H134" s="14"/>
      <c r="I134" s="14"/>
      <c r="J134" s="14">
        <f t="shared" si="13"/>
        <v>1.65</v>
      </c>
      <c r="K134" s="16"/>
      <c r="L134" s="16"/>
      <c r="M134" s="16"/>
      <c r="N134" s="14">
        <v>1.83</v>
      </c>
      <c r="O134" s="14"/>
      <c r="P134" s="14">
        <f t="shared" si="14"/>
        <v>1.83</v>
      </c>
      <c r="IB134" s="50"/>
      <c r="IC134" s="50"/>
      <c r="ID134" s="50"/>
      <c r="IE134" s="50"/>
      <c r="IF134" s="50"/>
      <c r="IG134" s="50"/>
    </row>
    <row r="135" spans="1:241" s="49" customFormat="1" ht="12">
      <c r="A135" s="54" t="s">
        <v>6</v>
      </c>
      <c r="B135" s="61"/>
      <c r="C135" s="61"/>
      <c r="D135" s="62"/>
      <c r="E135" s="62"/>
      <c r="F135" s="62"/>
      <c r="G135" s="62"/>
      <c r="H135" s="62"/>
      <c r="I135" s="62"/>
      <c r="J135" s="62"/>
      <c r="K135" s="63"/>
      <c r="L135" s="63"/>
      <c r="M135" s="63"/>
      <c r="N135" s="62"/>
      <c r="O135" s="62"/>
      <c r="P135" s="62"/>
      <c r="IB135" s="50"/>
      <c r="IC135" s="50"/>
      <c r="ID135" s="50"/>
      <c r="IE135" s="50"/>
      <c r="IF135" s="50"/>
      <c r="IG135" s="50"/>
    </row>
    <row r="136" spans="1:241" s="49" customFormat="1" ht="22.5" customHeight="1">
      <c r="A136" s="55" t="s">
        <v>45</v>
      </c>
      <c r="B136" s="59"/>
      <c r="C136" s="59"/>
      <c r="D136" s="62"/>
      <c r="E136" s="62"/>
      <c r="F136" s="62">
        <f t="shared" si="12"/>
        <v>0</v>
      </c>
      <c r="G136" s="62"/>
      <c r="H136" s="62"/>
      <c r="I136" s="62"/>
      <c r="J136" s="62"/>
      <c r="K136" s="63"/>
      <c r="L136" s="63"/>
      <c r="M136" s="63"/>
      <c r="N136" s="62"/>
      <c r="O136" s="62"/>
      <c r="P136" s="62"/>
      <c r="IB136" s="50"/>
      <c r="IC136" s="50"/>
      <c r="ID136" s="50"/>
      <c r="IE136" s="50"/>
      <c r="IF136" s="50"/>
      <c r="IG136" s="50"/>
    </row>
    <row r="137" spans="1:241" s="49" customFormat="1" ht="30.75" customHeight="1">
      <c r="A137" s="55" t="s">
        <v>107</v>
      </c>
      <c r="B137" s="59"/>
      <c r="C137" s="59"/>
      <c r="D137" s="62">
        <v>100</v>
      </c>
      <c r="E137" s="62"/>
      <c r="F137" s="62">
        <f t="shared" si="12"/>
        <v>100</v>
      </c>
      <c r="G137" s="62">
        <v>100</v>
      </c>
      <c r="H137" s="62"/>
      <c r="I137" s="62"/>
      <c r="J137" s="62">
        <v>100</v>
      </c>
      <c r="K137" s="63"/>
      <c r="L137" s="63"/>
      <c r="M137" s="63"/>
      <c r="N137" s="62">
        <v>100</v>
      </c>
      <c r="O137" s="62"/>
      <c r="P137" s="62">
        <v>100</v>
      </c>
      <c r="IB137" s="50"/>
      <c r="IC137" s="50"/>
      <c r="ID137" s="50"/>
      <c r="IE137" s="50"/>
      <c r="IF137" s="50"/>
      <c r="IG137" s="50"/>
    </row>
    <row r="138" spans="1:241" s="49" customFormat="1" ht="22.5" customHeight="1">
      <c r="A138" s="55" t="s">
        <v>47</v>
      </c>
      <c r="B138" s="59"/>
      <c r="C138" s="59"/>
      <c r="D138" s="62"/>
      <c r="E138" s="62"/>
      <c r="F138" s="62">
        <f t="shared" si="12"/>
        <v>0</v>
      </c>
      <c r="G138" s="62"/>
      <c r="H138" s="62"/>
      <c r="I138" s="62"/>
      <c r="J138" s="62"/>
      <c r="K138" s="63"/>
      <c r="L138" s="63"/>
      <c r="M138" s="63"/>
      <c r="N138" s="62"/>
      <c r="O138" s="62"/>
      <c r="P138" s="62"/>
      <c r="IB138" s="50"/>
      <c r="IC138" s="50"/>
      <c r="ID138" s="50"/>
      <c r="IE138" s="50"/>
      <c r="IF138" s="50"/>
      <c r="IG138" s="50"/>
    </row>
    <row r="139" spans="1:241" s="49" customFormat="1" ht="23.25" customHeight="1">
      <c r="A139" s="55" t="s">
        <v>21</v>
      </c>
      <c r="B139" s="59"/>
      <c r="C139" s="59"/>
      <c r="D139" s="62">
        <v>100</v>
      </c>
      <c r="E139" s="62"/>
      <c r="F139" s="62">
        <f t="shared" si="12"/>
        <v>100</v>
      </c>
      <c r="G139" s="62">
        <v>100</v>
      </c>
      <c r="H139" s="62"/>
      <c r="I139" s="62"/>
      <c r="J139" s="62">
        <v>100</v>
      </c>
      <c r="K139" s="63"/>
      <c r="L139" s="63"/>
      <c r="M139" s="63"/>
      <c r="N139" s="62">
        <v>100</v>
      </c>
      <c r="O139" s="62"/>
      <c r="P139" s="62">
        <v>100</v>
      </c>
      <c r="IB139" s="50"/>
      <c r="IC139" s="50"/>
      <c r="ID139" s="50"/>
      <c r="IE139" s="50"/>
      <c r="IF139" s="50"/>
      <c r="IG139" s="50"/>
    </row>
    <row r="140" spans="1:241" s="49" customFormat="1" ht="30" customHeight="1">
      <c r="A140" s="55" t="s">
        <v>57</v>
      </c>
      <c r="B140" s="59"/>
      <c r="C140" s="59"/>
      <c r="D140" s="62">
        <v>100</v>
      </c>
      <c r="E140" s="62"/>
      <c r="F140" s="62">
        <f t="shared" si="12"/>
        <v>100</v>
      </c>
      <c r="G140" s="62">
        <f>G125/G117*100</f>
        <v>100</v>
      </c>
      <c r="H140" s="62"/>
      <c r="I140" s="62"/>
      <c r="J140" s="62">
        <f>J125/J117*100</f>
        <v>100</v>
      </c>
      <c r="K140" s="63"/>
      <c r="L140" s="63"/>
      <c r="M140" s="63"/>
      <c r="N140" s="62">
        <f>N125/N117*100</f>
        <v>100</v>
      </c>
      <c r="O140" s="62"/>
      <c r="P140" s="62">
        <f>P125/P117*100</f>
        <v>100</v>
      </c>
      <c r="IB140" s="50"/>
      <c r="IC140" s="50"/>
      <c r="ID140" s="50"/>
      <c r="IE140" s="50"/>
      <c r="IF140" s="50"/>
      <c r="IG140" s="50"/>
    </row>
    <row r="141" spans="1:241" s="91" customFormat="1" ht="24" customHeight="1">
      <c r="A141" s="82" t="s">
        <v>362</v>
      </c>
      <c r="B141" s="88"/>
      <c r="C141" s="88"/>
      <c r="D141" s="89">
        <f>(D152*D158)+(D153*D159)+(D155*D161)+(D154*D160)+(D156*D163)+100</f>
        <v>10575000</v>
      </c>
      <c r="E141" s="89">
        <f>(E152*E158)+(E153*E159)+(E155*E161)+(E154*E160)+(E156*E163)+4.4</f>
        <v>6200000.000000001</v>
      </c>
      <c r="F141" s="89">
        <f>D141+E141</f>
        <v>16775000</v>
      </c>
      <c r="G141" s="89">
        <f>(G152*G158)+(G153*G159)+(G155*G161)+(G154*G160)+(G156*G163)</f>
        <v>17699999.999072</v>
      </c>
      <c r="H141" s="89">
        <f>(H152*H158)+(H153*H159)+(H155*H161)+(H154*H160)+(H156*H163)+6.2-774.52</f>
        <v>10000000</v>
      </c>
      <c r="I141" s="89"/>
      <c r="J141" s="89">
        <f>G141+H141</f>
        <v>27699999.999072</v>
      </c>
      <c r="K141" s="89">
        <f>(K152*K158)+(K153*K159)+(K155*K161)+(K154*K160)+(K156*K163)+100</f>
        <v>100</v>
      </c>
      <c r="L141" s="89">
        <f>(L152*L158)+(L153*L159)+(L155*L161)+(L154*L160)+(L156*L163)+100</f>
        <v>100</v>
      </c>
      <c r="M141" s="89">
        <f>(M152*M158)+(M153*M159)+(M155*M161)+(M154*M160)+(M156*M163)+100</f>
        <v>100</v>
      </c>
      <c r="N141" s="89">
        <f>(N152*N158)+(N153*N159)+(N155*N161)+(N154*N160)+(N156*N163)-3197301.8</f>
        <v>20500000</v>
      </c>
      <c r="O141" s="89">
        <f>(O152*O158)+(O153*O159)+(O155*O161)+(O154*O160)+(O156*O163)</f>
        <v>11000000.0019</v>
      </c>
      <c r="P141" s="89">
        <f>N141+O141</f>
        <v>31500000.001900002</v>
      </c>
      <c r="IB141" s="92"/>
      <c r="IC141" s="92"/>
      <c r="ID141" s="92"/>
      <c r="IE141" s="92"/>
      <c r="IF141" s="92"/>
      <c r="IG141" s="92"/>
    </row>
    <row r="142" spans="1:241" s="1" customFormat="1" ht="0.75" customHeight="1">
      <c r="A142" s="23" t="s">
        <v>48</v>
      </c>
      <c r="B142" s="15"/>
      <c r="C142" s="15"/>
      <c r="D142" s="14" t="e">
        <f>#REF!*D158+D155*D160+D154*D161</f>
        <v>#REF!</v>
      </c>
      <c r="E142" s="14" t="e">
        <f>#REF!*E158+E155*E160+E154*E161</f>
        <v>#REF!</v>
      </c>
      <c r="F142" s="14" t="e">
        <f>#REF!*F158+F155*F160+F154*F161</f>
        <v>#REF!</v>
      </c>
      <c r="G142" s="14" t="e">
        <f>#REF!*G158+G155*G160+G154*G161</f>
        <v>#REF!</v>
      </c>
      <c r="H142" s="14"/>
      <c r="I142" s="14"/>
      <c r="J142" s="14" t="e">
        <f>#REF!*J158+J155*J160+J154*J161</f>
        <v>#REF!</v>
      </c>
      <c r="K142" s="11"/>
      <c r="L142" s="11"/>
      <c r="M142" s="11"/>
      <c r="N142" s="14" t="e">
        <f>#REF!*N158+N155*N160+N154*N161</f>
        <v>#REF!</v>
      </c>
      <c r="O142" s="14"/>
      <c r="P142" s="14" t="e">
        <f>#REF!*P158+P155*P160+P154*P161</f>
        <v>#REF!</v>
      </c>
      <c r="IB142"/>
      <c r="IC142"/>
      <c r="ID142"/>
      <c r="IE142"/>
      <c r="IF142"/>
      <c r="IG142"/>
    </row>
    <row r="143" spans="1:241" s="1" customFormat="1" ht="12">
      <c r="A143" s="54" t="s">
        <v>4</v>
      </c>
      <c r="B143" s="61"/>
      <c r="C143" s="61"/>
      <c r="D143" s="129"/>
      <c r="E143" s="129"/>
      <c r="F143" s="129"/>
      <c r="G143" s="129"/>
      <c r="H143" s="129"/>
      <c r="I143" s="129"/>
      <c r="J143" s="129"/>
      <c r="K143" s="63"/>
      <c r="L143" s="63"/>
      <c r="M143" s="63"/>
      <c r="N143" s="129"/>
      <c r="O143" s="129"/>
      <c r="P143" s="129"/>
      <c r="IB143"/>
      <c r="IC143"/>
      <c r="ID143"/>
      <c r="IE143"/>
      <c r="IF143"/>
      <c r="IG143"/>
    </row>
    <row r="144" spans="1:241" s="1" customFormat="1" ht="21" customHeight="1">
      <c r="A144" s="55" t="s">
        <v>109</v>
      </c>
      <c r="B144" s="59"/>
      <c r="C144" s="59"/>
      <c r="D144" s="62">
        <v>600.663</v>
      </c>
      <c r="E144" s="62"/>
      <c r="F144" s="62">
        <f>D144</f>
        <v>600.663</v>
      </c>
      <c r="G144" s="62">
        <f>D144</f>
        <v>600.663</v>
      </c>
      <c r="H144" s="62"/>
      <c r="I144" s="62"/>
      <c r="J144" s="62">
        <f>G144</f>
        <v>600.663</v>
      </c>
      <c r="K144" s="63"/>
      <c r="L144" s="63"/>
      <c r="M144" s="63"/>
      <c r="N144" s="62">
        <f>J144</f>
        <v>600.663</v>
      </c>
      <c r="O144" s="62"/>
      <c r="P144" s="62">
        <f>N144</f>
        <v>600.663</v>
      </c>
      <c r="IB144"/>
      <c r="IC144"/>
      <c r="ID144"/>
      <c r="IE144"/>
      <c r="IF144"/>
      <c r="IG144"/>
    </row>
    <row r="145" spans="1:241" s="1" customFormat="1" ht="27" customHeight="1">
      <c r="A145" s="55" t="s">
        <v>110</v>
      </c>
      <c r="B145" s="59"/>
      <c r="C145" s="59"/>
      <c r="D145" s="62"/>
      <c r="E145" s="62">
        <v>427.5</v>
      </c>
      <c r="F145" s="62">
        <f>E145</f>
        <v>427.5</v>
      </c>
      <c r="G145" s="62"/>
      <c r="H145" s="62">
        <v>427.5</v>
      </c>
      <c r="I145" s="62"/>
      <c r="J145" s="62">
        <f>H145</f>
        <v>427.5</v>
      </c>
      <c r="K145" s="63"/>
      <c r="L145" s="63"/>
      <c r="M145" s="63"/>
      <c r="N145" s="62"/>
      <c r="O145" s="62">
        <v>427.5</v>
      </c>
      <c r="P145" s="62">
        <f>O145</f>
        <v>427.5</v>
      </c>
      <c r="IB145"/>
      <c r="IC145"/>
      <c r="ID145"/>
      <c r="IE145"/>
      <c r="IF145"/>
      <c r="IG145"/>
    </row>
    <row r="146" spans="1:241" s="1" customFormat="1" ht="30.75" customHeight="1">
      <c r="A146" s="55" t="s">
        <v>111</v>
      </c>
      <c r="B146" s="59"/>
      <c r="C146" s="59"/>
      <c r="D146" s="62">
        <v>97.9</v>
      </c>
      <c r="E146" s="62"/>
      <c r="F146" s="62">
        <f>D146</f>
        <v>97.9</v>
      </c>
      <c r="G146" s="62">
        <v>97.9</v>
      </c>
      <c r="H146" s="62"/>
      <c r="I146" s="62"/>
      <c r="J146" s="62">
        <f>G146</f>
        <v>97.9</v>
      </c>
      <c r="K146" s="63"/>
      <c r="L146" s="63"/>
      <c r="M146" s="63"/>
      <c r="N146" s="62">
        <v>97.9</v>
      </c>
      <c r="O146" s="62"/>
      <c r="P146" s="62">
        <f>N146</f>
        <v>97.9</v>
      </c>
      <c r="IB146"/>
      <c r="IC146"/>
      <c r="ID146"/>
      <c r="IE146"/>
      <c r="IF146"/>
      <c r="IG146"/>
    </row>
    <row r="147" spans="1:241" s="1" customFormat="1" ht="25.5" customHeight="1">
      <c r="A147" s="55" t="s">
        <v>112</v>
      </c>
      <c r="B147" s="59"/>
      <c r="C147" s="59"/>
      <c r="D147" s="62">
        <v>15870</v>
      </c>
      <c r="E147" s="62"/>
      <c r="F147" s="62">
        <f>D147</f>
        <v>15870</v>
      </c>
      <c r="G147" s="62">
        <v>15920</v>
      </c>
      <c r="H147" s="62"/>
      <c r="I147" s="62"/>
      <c r="J147" s="62">
        <f aca="true" t="shared" si="15" ref="J147:J165">G147</f>
        <v>15920</v>
      </c>
      <c r="K147" s="63"/>
      <c r="L147" s="63"/>
      <c r="M147" s="63"/>
      <c r="N147" s="62">
        <v>15920</v>
      </c>
      <c r="O147" s="62"/>
      <c r="P147" s="62">
        <f aca="true" t="shared" si="16" ref="P147:P165">N147</f>
        <v>15920</v>
      </c>
      <c r="IB147"/>
      <c r="IC147"/>
      <c r="ID147"/>
      <c r="IE147"/>
      <c r="IF147"/>
      <c r="IG147"/>
    </row>
    <row r="148" spans="1:241" s="1" customFormat="1" ht="22.5">
      <c r="A148" s="55" t="s">
        <v>113</v>
      </c>
      <c r="B148" s="59"/>
      <c r="C148" s="59"/>
      <c r="D148" s="62">
        <v>8286</v>
      </c>
      <c r="E148" s="62"/>
      <c r="F148" s="62">
        <f>D148</f>
        <v>8286</v>
      </c>
      <c r="G148" s="62">
        <f>F148</f>
        <v>8286</v>
      </c>
      <c r="H148" s="62"/>
      <c r="I148" s="62"/>
      <c r="J148" s="62">
        <f t="shared" si="15"/>
        <v>8286</v>
      </c>
      <c r="K148" s="63"/>
      <c r="L148" s="63"/>
      <c r="M148" s="63"/>
      <c r="N148" s="62">
        <f>G148</f>
        <v>8286</v>
      </c>
      <c r="O148" s="62"/>
      <c r="P148" s="62">
        <f t="shared" si="16"/>
        <v>8286</v>
      </c>
      <c r="IB148"/>
      <c r="IC148"/>
      <c r="ID148"/>
      <c r="IE148"/>
      <c r="IF148"/>
      <c r="IG148"/>
    </row>
    <row r="149" spans="1:241" s="1" customFormat="1" ht="29.25" customHeight="1">
      <c r="A149" s="55" t="s">
        <v>114</v>
      </c>
      <c r="B149" s="59"/>
      <c r="C149" s="59"/>
      <c r="D149" s="62">
        <v>7800</v>
      </c>
      <c r="E149" s="62"/>
      <c r="F149" s="62">
        <f>D149</f>
        <v>7800</v>
      </c>
      <c r="G149" s="62">
        <f>F149</f>
        <v>7800</v>
      </c>
      <c r="H149" s="62"/>
      <c r="I149" s="62"/>
      <c r="J149" s="62">
        <f>G149</f>
        <v>7800</v>
      </c>
      <c r="K149" s="63"/>
      <c r="L149" s="63"/>
      <c r="M149" s="63"/>
      <c r="N149" s="62">
        <v>7800</v>
      </c>
      <c r="O149" s="62"/>
      <c r="P149" s="62">
        <f>N149</f>
        <v>7800</v>
      </c>
      <c r="IB149"/>
      <c r="IC149"/>
      <c r="ID149"/>
      <c r="IE149"/>
      <c r="IF149"/>
      <c r="IG149"/>
    </row>
    <row r="150" spans="1:241" s="1" customFormat="1" ht="12">
      <c r="A150" s="54" t="s">
        <v>5</v>
      </c>
      <c r="B150" s="61"/>
      <c r="C150" s="61"/>
      <c r="D150" s="129"/>
      <c r="E150" s="129"/>
      <c r="F150" s="62"/>
      <c r="G150" s="129"/>
      <c r="H150" s="129"/>
      <c r="I150" s="129"/>
      <c r="J150" s="62">
        <f t="shared" si="15"/>
        <v>0</v>
      </c>
      <c r="K150" s="63"/>
      <c r="L150" s="63"/>
      <c r="M150" s="63"/>
      <c r="N150" s="129"/>
      <c r="O150" s="129"/>
      <c r="P150" s="62">
        <f t="shared" si="16"/>
        <v>0</v>
      </c>
      <c r="IB150"/>
      <c r="IC150"/>
      <c r="ID150"/>
      <c r="IE150"/>
      <c r="IF150"/>
      <c r="IG150"/>
    </row>
    <row r="151" spans="1:241" s="1" customFormat="1" ht="22.5" customHeight="1">
      <c r="A151" s="55" t="s">
        <v>24</v>
      </c>
      <c r="B151" s="59"/>
      <c r="C151" s="59"/>
      <c r="D151" s="62"/>
      <c r="E151" s="62"/>
      <c r="F151" s="62"/>
      <c r="G151" s="62"/>
      <c r="H151" s="62"/>
      <c r="I151" s="62"/>
      <c r="J151" s="62">
        <f t="shared" si="15"/>
        <v>0</v>
      </c>
      <c r="K151" s="63"/>
      <c r="L151" s="63"/>
      <c r="M151" s="63"/>
      <c r="N151" s="62"/>
      <c r="O151" s="62"/>
      <c r="P151" s="62">
        <f t="shared" si="16"/>
        <v>0</v>
      </c>
      <c r="IB151"/>
      <c r="IC151"/>
      <c r="ID151"/>
      <c r="IE151"/>
      <c r="IF151"/>
      <c r="IG151"/>
    </row>
    <row r="152" spans="1:241" s="1" customFormat="1" ht="29.25" customHeight="1">
      <c r="A152" s="55" t="s">
        <v>115</v>
      </c>
      <c r="B152" s="59"/>
      <c r="C152" s="59"/>
      <c r="D152" s="62">
        <v>3</v>
      </c>
      <c r="E152" s="62"/>
      <c r="F152" s="62">
        <f>D152</f>
        <v>3</v>
      </c>
      <c r="G152" s="62">
        <v>4</v>
      </c>
      <c r="H152" s="62"/>
      <c r="I152" s="62"/>
      <c r="J152" s="62">
        <f>G152</f>
        <v>4</v>
      </c>
      <c r="K152" s="63"/>
      <c r="L152" s="63"/>
      <c r="M152" s="63"/>
      <c r="N152" s="62">
        <v>5</v>
      </c>
      <c r="O152" s="62"/>
      <c r="P152" s="62">
        <f>N152</f>
        <v>5</v>
      </c>
      <c r="IB152"/>
      <c r="IC152"/>
      <c r="ID152"/>
      <c r="IE152"/>
      <c r="IF152"/>
      <c r="IG152"/>
    </row>
    <row r="153" spans="1:241" s="1" customFormat="1" ht="30" customHeight="1">
      <c r="A153" s="55" t="s">
        <v>116</v>
      </c>
      <c r="B153" s="59"/>
      <c r="C153" s="59"/>
      <c r="D153" s="62"/>
      <c r="E153" s="62">
        <v>18.8</v>
      </c>
      <c r="F153" s="62">
        <f>E153</f>
        <v>18.8</v>
      </c>
      <c r="G153" s="62"/>
      <c r="H153" s="62">
        <v>27.84</v>
      </c>
      <c r="I153" s="62"/>
      <c r="J153" s="62">
        <f>H153</f>
        <v>27.84</v>
      </c>
      <c r="K153" s="63"/>
      <c r="L153" s="63"/>
      <c r="M153" s="63"/>
      <c r="N153" s="62"/>
      <c r="O153" s="62">
        <v>27.3</v>
      </c>
      <c r="P153" s="62">
        <f>O153</f>
        <v>27.3</v>
      </c>
      <c r="IB153"/>
      <c r="IC153"/>
      <c r="ID153"/>
      <c r="IE153"/>
      <c r="IF153"/>
      <c r="IG153"/>
    </row>
    <row r="154" spans="1:241" s="1" customFormat="1" ht="26.25" customHeight="1">
      <c r="A154" s="55" t="s">
        <v>157</v>
      </c>
      <c r="B154" s="59"/>
      <c r="C154" s="59"/>
      <c r="D154" s="62">
        <v>15870</v>
      </c>
      <c r="E154" s="62"/>
      <c r="F154" s="62">
        <f>D154</f>
        <v>15870</v>
      </c>
      <c r="G154" s="62">
        <f>G147</f>
        <v>15920</v>
      </c>
      <c r="H154" s="62"/>
      <c r="I154" s="62"/>
      <c r="J154" s="62">
        <f>G154</f>
        <v>15920</v>
      </c>
      <c r="K154" s="63"/>
      <c r="L154" s="63"/>
      <c r="M154" s="63"/>
      <c r="N154" s="62">
        <f>N147</f>
        <v>15920</v>
      </c>
      <c r="O154" s="62"/>
      <c r="P154" s="62">
        <f>N154</f>
        <v>15920</v>
      </c>
      <c r="IB154"/>
      <c r="IC154"/>
      <c r="ID154"/>
      <c r="IE154"/>
      <c r="IF154"/>
      <c r="IG154"/>
    </row>
    <row r="155" spans="1:241" s="1" customFormat="1" ht="24.75" customHeight="1">
      <c r="A155" s="55" t="s">
        <v>117</v>
      </c>
      <c r="B155" s="59"/>
      <c r="C155" s="59"/>
      <c r="D155" s="62">
        <v>800</v>
      </c>
      <c r="E155" s="62"/>
      <c r="F155" s="62">
        <f aca="true" t="shared" si="17" ref="F155:F165">D155</f>
        <v>800</v>
      </c>
      <c r="G155" s="62">
        <v>900</v>
      </c>
      <c r="H155" s="62"/>
      <c r="I155" s="62"/>
      <c r="J155" s="62">
        <f t="shared" si="15"/>
        <v>900</v>
      </c>
      <c r="K155" s="63"/>
      <c r="L155" s="63"/>
      <c r="M155" s="63"/>
      <c r="N155" s="62">
        <v>1000</v>
      </c>
      <c r="O155" s="62"/>
      <c r="P155" s="62">
        <f t="shared" si="16"/>
        <v>1000</v>
      </c>
      <c r="IB155"/>
      <c r="IC155"/>
      <c r="ID155"/>
      <c r="IE155"/>
      <c r="IF155"/>
      <c r="IG155"/>
    </row>
    <row r="156" spans="1:241" s="1" customFormat="1" ht="24.75" customHeight="1">
      <c r="A156" s="55" t="s">
        <v>118</v>
      </c>
      <c r="B156" s="59"/>
      <c r="C156" s="59"/>
      <c r="D156" s="62">
        <v>7800000</v>
      </c>
      <c r="E156" s="62"/>
      <c r="F156" s="62">
        <f>D156</f>
        <v>7800000</v>
      </c>
      <c r="G156" s="62">
        <v>7816720</v>
      </c>
      <c r="H156" s="62"/>
      <c r="I156" s="62"/>
      <c r="J156" s="62">
        <f>G156</f>
        <v>7816720</v>
      </c>
      <c r="K156" s="63"/>
      <c r="L156" s="63"/>
      <c r="M156" s="63"/>
      <c r="N156" s="62">
        <v>9941270</v>
      </c>
      <c r="O156" s="62"/>
      <c r="P156" s="62">
        <f>N156</f>
        <v>9941270</v>
      </c>
      <c r="IB156"/>
      <c r="IC156"/>
      <c r="ID156"/>
      <c r="IE156"/>
      <c r="IF156"/>
      <c r="IG156"/>
    </row>
    <row r="157" spans="1:241" s="1" customFormat="1" ht="12">
      <c r="A157" s="54" t="s">
        <v>7</v>
      </c>
      <c r="B157" s="61"/>
      <c r="C157" s="61"/>
      <c r="D157" s="129"/>
      <c r="E157" s="129"/>
      <c r="F157" s="62">
        <f t="shared" si="17"/>
        <v>0</v>
      </c>
      <c r="G157" s="129"/>
      <c r="H157" s="129"/>
      <c r="I157" s="129"/>
      <c r="J157" s="62">
        <f t="shared" si="15"/>
        <v>0</v>
      </c>
      <c r="K157" s="63"/>
      <c r="L157" s="63"/>
      <c r="M157" s="63"/>
      <c r="N157" s="129"/>
      <c r="O157" s="129"/>
      <c r="P157" s="62">
        <f t="shared" si="16"/>
        <v>0</v>
      </c>
      <c r="IB157"/>
      <c r="IC157"/>
      <c r="ID157"/>
      <c r="IE157"/>
      <c r="IF157"/>
      <c r="IG157"/>
    </row>
    <row r="158" spans="1:241" s="1" customFormat="1" ht="33.75">
      <c r="A158" s="55" t="s">
        <v>119</v>
      </c>
      <c r="B158" s="59"/>
      <c r="C158" s="59"/>
      <c r="D158" s="62">
        <v>74500</v>
      </c>
      <c r="E158" s="62"/>
      <c r="F158" s="62">
        <f>D158</f>
        <v>74500</v>
      </c>
      <c r="G158" s="62">
        <v>85000</v>
      </c>
      <c r="H158" s="62"/>
      <c r="I158" s="62"/>
      <c r="J158" s="62">
        <f>G158</f>
        <v>85000</v>
      </c>
      <c r="K158" s="63"/>
      <c r="L158" s="63"/>
      <c r="M158" s="63"/>
      <c r="N158" s="62">
        <v>100000</v>
      </c>
      <c r="O158" s="62"/>
      <c r="P158" s="62">
        <f>N158</f>
        <v>100000</v>
      </c>
      <c r="IB158"/>
      <c r="IC158"/>
      <c r="ID158"/>
      <c r="IE158"/>
      <c r="IF158"/>
      <c r="IG158"/>
    </row>
    <row r="159" spans="1:241" s="1" customFormat="1" ht="33.75">
      <c r="A159" s="55" t="s">
        <v>120</v>
      </c>
      <c r="B159" s="59"/>
      <c r="C159" s="59"/>
      <c r="D159" s="62"/>
      <c r="E159" s="62">
        <v>329787</v>
      </c>
      <c r="F159" s="62">
        <f>E159</f>
        <v>329787</v>
      </c>
      <c r="G159" s="62"/>
      <c r="H159" s="62">
        <v>359223</v>
      </c>
      <c r="I159" s="62"/>
      <c r="J159" s="62">
        <f>H159</f>
        <v>359223</v>
      </c>
      <c r="K159" s="63"/>
      <c r="L159" s="63"/>
      <c r="M159" s="63"/>
      <c r="N159" s="62"/>
      <c r="O159" s="62">
        <v>402930.403</v>
      </c>
      <c r="P159" s="62">
        <f>O159</f>
        <v>402930.403</v>
      </c>
      <c r="IB159"/>
      <c r="IC159"/>
      <c r="ID159"/>
      <c r="IE159"/>
      <c r="IF159"/>
      <c r="IG159"/>
    </row>
    <row r="160" spans="1:241" s="1" customFormat="1" ht="23.25" customHeight="1">
      <c r="A160" s="55" t="s">
        <v>121</v>
      </c>
      <c r="B160" s="59"/>
      <c r="C160" s="59"/>
      <c r="D160" s="62">
        <v>220</v>
      </c>
      <c r="E160" s="62"/>
      <c r="F160" s="62">
        <f>D160</f>
        <v>220</v>
      </c>
      <c r="G160" s="62">
        <v>250.6763316</v>
      </c>
      <c r="H160" s="62"/>
      <c r="I160" s="62"/>
      <c r="J160" s="62">
        <f>G160</f>
        <v>250.6763316</v>
      </c>
      <c r="K160" s="63"/>
      <c r="L160" s="63"/>
      <c r="M160" s="63"/>
      <c r="N160" s="62">
        <v>300</v>
      </c>
      <c r="O160" s="62"/>
      <c r="P160" s="62">
        <f>N160</f>
        <v>300</v>
      </c>
      <c r="IB160"/>
      <c r="IC160"/>
      <c r="ID160"/>
      <c r="IE160"/>
      <c r="IF160"/>
      <c r="IG160"/>
    </row>
    <row r="161" spans="1:241" s="1" customFormat="1" ht="22.5">
      <c r="A161" s="55" t="s">
        <v>122</v>
      </c>
      <c r="B161" s="59"/>
      <c r="C161" s="59"/>
      <c r="D161" s="62">
        <v>3700</v>
      </c>
      <c r="E161" s="62"/>
      <c r="F161" s="62">
        <f t="shared" si="17"/>
        <v>3700</v>
      </c>
      <c r="G161" s="62">
        <v>4085</v>
      </c>
      <c r="H161" s="62"/>
      <c r="I161" s="62"/>
      <c r="J161" s="62">
        <f t="shared" si="15"/>
        <v>4085</v>
      </c>
      <c r="K161" s="63"/>
      <c r="L161" s="63"/>
      <c r="M161" s="63"/>
      <c r="N161" s="62">
        <v>5100</v>
      </c>
      <c r="O161" s="62"/>
      <c r="P161" s="62">
        <f t="shared" si="16"/>
        <v>5100</v>
      </c>
      <c r="IB161"/>
      <c r="IC161"/>
      <c r="ID161"/>
      <c r="IE161"/>
      <c r="IF161"/>
      <c r="IG161"/>
    </row>
    <row r="162" spans="1:241" s="1" customFormat="1" ht="22.5">
      <c r="A162" s="55" t="s">
        <v>71</v>
      </c>
      <c r="B162" s="59"/>
      <c r="C162" s="59"/>
      <c r="D162" s="62">
        <f>D156/D154-0.49</f>
        <v>491.0033837429111</v>
      </c>
      <c r="E162" s="62"/>
      <c r="F162" s="62">
        <f>D162</f>
        <v>491.0033837429111</v>
      </c>
      <c r="G162" s="62">
        <f>G156/G154</f>
        <v>491</v>
      </c>
      <c r="H162" s="62"/>
      <c r="I162" s="62"/>
      <c r="J162" s="62">
        <f>G162</f>
        <v>491</v>
      </c>
      <c r="K162" s="63"/>
      <c r="L162" s="63"/>
      <c r="M162" s="63"/>
      <c r="N162" s="62">
        <f>N156/N154</f>
        <v>624.4516331658291</v>
      </c>
      <c r="O162" s="62"/>
      <c r="P162" s="62">
        <f>N162</f>
        <v>624.4516331658291</v>
      </c>
      <c r="IB162"/>
      <c r="IC162"/>
      <c r="ID162"/>
      <c r="IE162"/>
      <c r="IF162"/>
      <c r="IG162"/>
    </row>
    <row r="163" spans="1:241" s="1" customFormat="1" ht="33.75">
      <c r="A163" s="55" t="s">
        <v>123</v>
      </c>
      <c r="B163" s="59"/>
      <c r="C163" s="59"/>
      <c r="D163" s="62">
        <v>0.5</v>
      </c>
      <c r="E163" s="62"/>
      <c r="F163" s="62">
        <f>D163</f>
        <v>0.5</v>
      </c>
      <c r="G163" s="62">
        <v>1.24</v>
      </c>
      <c r="H163" s="62"/>
      <c r="I163" s="62"/>
      <c r="J163" s="62">
        <f>G163</f>
        <v>1.24</v>
      </c>
      <c r="K163" s="63"/>
      <c r="L163" s="63"/>
      <c r="M163" s="63"/>
      <c r="N163" s="62">
        <v>1.34</v>
      </c>
      <c r="O163" s="62"/>
      <c r="P163" s="62">
        <f>N163</f>
        <v>1.34</v>
      </c>
      <c r="IB163"/>
      <c r="IC163"/>
      <c r="ID163"/>
      <c r="IE163"/>
      <c r="IF163"/>
      <c r="IG163"/>
    </row>
    <row r="164" spans="1:241" s="1" customFormat="1" ht="12">
      <c r="A164" s="54" t="s">
        <v>6</v>
      </c>
      <c r="B164" s="61"/>
      <c r="C164" s="61"/>
      <c r="D164" s="129"/>
      <c r="E164" s="129"/>
      <c r="F164" s="62">
        <f t="shared" si="17"/>
        <v>0</v>
      </c>
      <c r="G164" s="129"/>
      <c r="H164" s="129"/>
      <c r="I164" s="129"/>
      <c r="J164" s="62">
        <f t="shared" si="15"/>
        <v>0</v>
      </c>
      <c r="K164" s="63"/>
      <c r="L164" s="63"/>
      <c r="M164" s="63"/>
      <c r="N164" s="129"/>
      <c r="O164" s="129"/>
      <c r="P164" s="62">
        <f t="shared" si="16"/>
        <v>0</v>
      </c>
      <c r="IB164"/>
      <c r="IC164"/>
      <c r="ID164"/>
      <c r="IE164"/>
      <c r="IF164"/>
      <c r="IG164"/>
    </row>
    <row r="165" spans="1:241" s="1" customFormat="1" ht="33.75" customHeight="1">
      <c r="A165" s="55" t="s">
        <v>25</v>
      </c>
      <c r="B165" s="59"/>
      <c r="C165" s="59"/>
      <c r="D165" s="62"/>
      <c r="E165" s="62"/>
      <c r="F165" s="62">
        <f t="shared" si="17"/>
        <v>0</v>
      </c>
      <c r="G165" s="62"/>
      <c r="H165" s="62"/>
      <c r="I165" s="62"/>
      <c r="J165" s="62">
        <f t="shared" si="15"/>
        <v>0</v>
      </c>
      <c r="K165" s="63"/>
      <c r="L165" s="63"/>
      <c r="M165" s="63"/>
      <c r="N165" s="62"/>
      <c r="O165" s="62"/>
      <c r="P165" s="62">
        <f t="shared" si="16"/>
        <v>0</v>
      </c>
      <c r="IB165"/>
      <c r="IC165"/>
      <c r="ID165"/>
      <c r="IE165"/>
      <c r="IF165"/>
      <c r="IG165"/>
    </row>
    <row r="166" spans="1:241" s="1" customFormat="1" ht="33.75">
      <c r="A166" s="55" t="s">
        <v>125</v>
      </c>
      <c r="B166" s="59"/>
      <c r="C166" s="59"/>
      <c r="D166" s="62"/>
      <c r="E166" s="62">
        <f>E153/E145*100</f>
        <v>4.39766081871345</v>
      </c>
      <c r="F166" s="62">
        <f>E166</f>
        <v>4.39766081871345</v>
      </c>
      <c r="G166" s="62"/>
      <c r="H166" s="62">
        <f>H153/H145*100</f>
        <v>6.512280701754386</v>
      </c>
      <c r="I166" s="62"/>
      <c r="J166" s="62">
        <f>H166</f>
        <v>6.512280701754386</v>
      </c>
      <c r="K166" s="63"/>
      <c r="L166" s="63"/>
      <c r="M166" s="63"/>
      <c r="N166" s="62"/>
      <c r="O166" s="62">
        <f>O153/O145*100</f>
        <v>6.385964912280702</v>
      </c>
      <c r="P166" s="62">
        <f>O166</f>
        <v>6.385964912280702</v>
      </c>
      <c r="IB166"/>
      <c r="IC166"/>
      <c r="ID166"/>
      <c r="IE166"/>
      <c r="IF166"/>
      <c r="IG166"/>
    </row>
    <row r="167" spans="1:241" s="1" customFormat="1" ht="36" customHeight="1">
      <c r="A167" s="55" t="s">
        <v>124</v>
      </c>
      <c r="B167" s="59"/>
      <c r="C167" s="59"/>
      <c r="D167" s="62">
        <f>D152/D146*100</f>
        <v>3.0643513789581203</v>
      </c>
      <c r="E167" s="62"/>
      <c r="F167" s="62">
        <f>D167</f>
        <v>3.0643513789581203</v>
      </c>
      <c r="G167" s="62">
        <f>G152/G146*100</f>
        <v>4.085801838610827</v>
      </c>
      <c r="H167" s="62"/>
      <c r="I167" s="62"/>
      <c r="J167" s="62">
        <f>G167</f>
        <v>4.085801838610827</v>
      </c>
      <c r="K167" s="63"/>
      <c r="L167" s="63"/>
      <c r="M167" s="63"/>
      <c r="N167" s="62">
        <f>N152/N146*100</f>
        <v>5.107252298263534</v>
      </c>
      <c r="O167" s="62"/>
      <c r="P167" s="62">
        <f>N167</f>
        <v>5.107252298263534</v>
      </c>
      <c r="IB167"/>
      <c r="IC167"/>
      <c r="ID167"/>
      <c r="IE167"/>
      <c r="IF167"/>
      <c r="IG167"/>
    </row>
    <row r="168" spans="1:241" s="1" customFormat="1" ht="24" customHeight="1">
      <c r="A168" s="55" t="s">
        <v>126</v>
      </c>
      <c r="B168" s="59"/>
      <c r="C168" s="59"/>
      <c r="D168" s="62">
        <f>D155/D148*100</f>
        <v>9.654839488293506</v>
      </c>
      <c r="E168" s="62"/>
      <c r="F168" s="62">
        <f>D168</f>
        <v>9.654839488293506</v>
      </c>
      <c r="G168" s="62">
        <f>G155/G148*100</f>
        <v>10.861694424330196</v>
      </c>
      <c r="H168" s="62"/>
      <c r="I168" s="62"/>
      <c r="J168" s="62">
        <f>G168</f>
        <v>10.861694424330196</v>
      </c>
      <c r="K168" s="63"/>
      <c r="L168" s="63"/>
      <c r="M168" s="63"/>
      <c r="N168" s="62">
        <f>N155/N148*100</f>
        <v>12.068549360366884</v>
      </c>
      <c r="O168" s="62"/>
      <c r="P168" s="62">
        <f>N168</f>
        <v>12.068549360366884</v>
      </c>
      <c r="IB168"/>
      <c r="IC168"/>
      <c r="ID168"/>
      <c r="IE168"/>
      <c r="IF168"/>
      <c r="IG168"/>
    </row>
    <row r="169" spans="1:241" s="91" customFormat="1" ht="38.25" customHeight="1">
      <c r="A169" s="82" t="s">
        <v>363</v>
      </c>
      <c r="B169" s="88"/>
      <c r="C169" s="88"/>
      <c r="D169" s="89">
        <f>(D181*D192)+(D182*D193)+(D183*D194)+(D185*D196)+(D186*D197)+(D198*D187)+(D189*D200)+1079.17+(D188*D199)+(D190*D201)+396.52</f>
        <v>7377800</v>
      </c>
      <c r="E169" s="89">
        <f>E184*E195+200</f>
        <v>102500</v>
      </c>
      <c r="F169" s="89">
        <f>D169+E169</f>
        <v>7480300</v>
      </c>
      <c r="G169" s="89">
        <f>(G181*G192)+(G182*G193)+(G183*G194)+(G185*G196)+(G186*G197)+(G198*G187)+(G189*G200)+(G190*G201)</f>
        <v>9363200.00388926</v>
      </c>
      <c r="H169" s="89">
        <f>H184*H195+H182*H193</f>
        <v>82500</v>
      </c>
      <c r="I169" s="89"/>
      <c r="J169" s="89">
        <f>G169+H169</f>
        <v>9445700.00388926</v>
      </c>
      <c r="K169" s="89">
        <f>(K181*K192)+(K182*K193)+(K183*K194)+(K185*K196)+(K186*K197)+(K198*K187)+(K189*K200)-1036.73</f>
        <v>-1036.73</v>
      </c>
      <c r="L169" s="89">
        <f>(L181*L192)+(L182*L193)+(L183*L194)+(L185*L196)+(L186*L197)+(L198*L187)+(L189*L200)-1036.73</f>
        <v>-1036.73</v>
      </c>
      <c r="M169" s="89">
        <f>(M181*M192)+(M182*M193)+(M183*M194)+(M185*M196)+(M186*M197)+(M198*M187)+(M189*M200)-1036.73</f>
        <v>-1036.73</v>
      </c>
      <c r="N169" s="89">
        <f>(N181*N192)+(N182*N193)+(N183*N194)+(N185*N196)+(N186*N197)+(N198*N187)+(N189*N200)+(N190*N201)</f>
        <v>12493399.999990236</v>
      </c>
      <c r="O169" s="89">
        <f>O184*O195</f>
        <v>82500</v>
      </c>
      <c r="P169" s="89">
        <f>N169+O169</f>
        <v>12575899.999990236</v>
      </c>
      <c r="IB169" s="92"/>
      <c r="IC169" s="92"/>
      <c r="ID169" s="92"/>
      <c r="IE169" s="92"/>
      <c r="IF169" s="92"/>
      <c r="IG169" s="92"/>
    </row>
    <row r="170" spans="1:241" s="1" customFormat="1" ht="30.75" customHeight="1" hidden="1">
      <c r="A170" s="22" t="s">
        <v>49</v>
      </c>
      <c r="B170" s="12"/>
      <c r="C170" s="12"/>
      <c r="D170" s="13" t="e">
        <f>D181*D194+E182*#REF!+D185*#REF!+#REF!*#REF!+#REF!*E196+#REF!*D198+#REF!*D193+E186*E197</f>
        <v>#REF!</v>
      </c>
      <c r="E170" s="13" t="e">
        <f>E181*E194+#REF!*#REF!+E185*#REF!+#REF!*#REF!+#REF!*#REF!+#REF!*E198+#REF!*E193+#REF!*#REF!</f>
        <v>#REF!</v>
      </c>
      <c r="F170" s="13" t="e">
        <f>F181*F194+F182*#REF!+F185*#REF!+#REF!*#REF!+#REF!*F196+#REF!*F198+#REF!*F193+F186*F197</f>
        <v>#REF!</v>
      </c>
      <c r="G170" s="13" t="e">
        <f>G181*G194+H182*#REF!+G185*#REF!+#REF!*#REF!+#REF!*H196+#REF!*G198+#REF!*G193+H186*H197</f>
        <v>#REF!</v>
      </c>
      <c r="H170" s="13" t="e">
        <f>H181*H194+#REF!*#REF!+H185*#REF!+#REF!*#REF!+#REF!*#REF!+#REF!*H198+#REF!*H193+#REF!*#REF!</f>
        <v>#REF!</v>
      </c>
      <c r="I170" s="13"/>
      <c r="J170" s="13" t="e">
        <f>J181*J194+J182*#REF!+J185*#REF!+#REF!*#REF!+#REF!*J196+#REF!*J198+#REF!*J193+J186*J197</f>
        <v>#REF!</v>
      </c>
      <c r="K170" s="16"/>
      <c r="L170" s="16"/>
      <c r="M170" s="16"/>
      <c r="N170" s="13" t="e">
        <f>N181*N194+O182*#REF!+N185*#REF!+#REF!*#REF!+#REF!*O196+#REF!*N198+#REF!*N193+O186*N197</f>
        <v>#REF!</v>
      </c>
      <c r="O170" s="13" t="e">
        <f>O181*O194+#REF!*#REF!+O185*#REF!+#REF!*#REF!+#REF!*#REF!+#REF!*O198+#REF!*O193+#REF!*O197</f>
        <v>#REF!</v>
      </c>
      <c r="P170" s="13" t="e">
        <f>P181*P194+P182*#REF!+P185*#REF!+#REF!*#REF!+#REF!*P196+#REF!*P198+#REF!*P193+P186*P197</f>
        <v>#REF!</v>
      </c>
      <c r="IB170"/>
      <c r="IC170"/>
      <c r="ID170"/>
      <c r="IE170"/>
      <c r="IF170"/>
      <c r="IG170"/>
    </row>
    <row r="171" spans="1:241" s="1" customFormat="1" ht="12">
      <c r="A171" s="54" t="s">
        <v>4</v>
      </c>
      <c r="B171" s="61"/>
      <c r="C171" s="61"/>
      <c r="D171" s="129"/>
      <c r="E171" s="129"/>
      <c r="F171" s="129"/>
      <c r="G171" s="129"/>
      <c r="H171" s="129"/>
      <c r="I171" s="129"/>
      <c r="J171" s="129"/>
      <c r="K171" s="63"/>
      <c r="L171" s="63"/>
      <c r="M171" s="63"/>
      <c r="N171" s="129"/>
      <c r="O171" s="129"/>
      <c r="P171" s="129"/>
      <c r="IB171"/>
      <c r="IC171"/>
      <c r="ID171"/>
      <c r="IE171"/>
      <c r="IF171"/>
      <c r="IG171"/>
    </row>
    <row r="172" spans="1:241" s="1" customFormat="1" ht="34.5" customHeight="1">
      <c r="A172" s="55" t="s">
        <v>127</v>
      </c>
      <c r="B172" s="59"/>
      <c r="C172" s="59"/>
      <c r="D172" s="62">
        <v>76.23</v>
      </c>
      <c r="E172" s="62"/>
      <c r="F172" s="62">
        <f aca="true" t="shared" si="18" ref="F172:F179">D172</f>
        <v>76.23</v>
      </c>
      <c r="G172" s="62">
        <f>F172</f>
        <v>76.23</v>
      </c>
      <c r="H172" s="62"/>
      <c r="I172" s="62"/>
      <c r="J172" s="62">
        <f>G172</f>
        <v>76.23</v>
      </c>
      <c r="K172" s="63"/>
      <c r="L172" s="63"/>
      <c r="M172" s="63"/>
      <c r="N172" s="62">
        <f>G172</f>
        <v>76.23</v>
      </c>
      <c r="O172" s="62"/>
      <c r="P172" s="62">
        <f>N172</f>
        <v>76.23</v>
      </c>
      <c r="IB172"/>
      <c r="IC172"/>
      <c r="ID172"/>
      <c r="IE172"/>
      <c r="IF172"/>
      <c r="IG172"/>
    </row>
    <row r="173" spans="1:241" s="1" customFormat="1" ht="22.5">
      <c r="A173" s="55" t="s">
        <v>128</v>
      </c>
      <c r="B173" s="59"/>
      <c r="C173" s="59"/>
      <c r="D173" s="62">
        <v>4850</v>
      </c>
      <c r="E173" s="62"/>
      <c r="F173" s="62">
        <f t="shared" si="18"/>
        <v>4850</v>
      </c>
      <c r="G173" s="62">
        <f>F173</f>
        <v>4850</v>
      </c>
      <c r="H173" s="62"/>
      <c r="I173" s="62"/>
      <c r="J173" s="62">
        <f>G173</f>
        <v>4850</v>
      </c>
      <c r="K173" s="63"/>
      <c r="L173" s="63"/>
      <c r="M173" s="63"/>
      <c r="N173" s="62">
        <v>4850</v>
      </c>
      <c r="O173" s="62"/>
      <c r="P173" s="62">
        <f>N173</f>
        <v>4850</v>
      </c>
      <c r="IB173"/>
      <c r="IC173"/>
      <c r="ID173"/>
      <c r="IE173"/>
      <c r="IF173"/>
      <c r="IG173"/>
    </row>
    <row r="174" spans="1:241" s="1" customFormat="1" ht="22.5">
      <c r="A174" s="55" t="s">
        <v>129</v>
      </c>
      <c r="B174" s="59"/>
      <c r="C174" s="59"/>
      <c r="D174" s="62">
        <v>2005</v>
      </c>
      <c r="E174" s="62"/>
      <c r="F174" s="62">
        <f t="shared" si="18"/>
        <v>2005</v>
      </c>
      <c r="G174" s="62">
        <f>F174</f>
        <v>2005</v>
      </c>
      <c r="H174" s="62"/>
      <c r="I174" s="62"/>
      <c r="J174" s="62">
        <f>G174</f>
        <v>2005</v>
      </c>
      <c r="K174" s="63"/>
      <c r="L174" s="63"/>
      <c r="M174" s="63"/>
      <c r="N174" s="62">
        <v>2005</v>
      </c>
      <c r="O174" s="62"/>
      <c r="P174" s="62">
        <f>N174</f>
        <v>2005</v>
      </c>
      <c r="IB174"/>
      <c r="IC174"/>
      <c r="ID174"/>
      <c r="IE174"/>
      <c r="IF174"/>
      <c r="IG174"/>
    </row>
    <row r="175" spans="1:241" s="1" customFormat="1" ht="24.75" customHeight="1">
      <c r="A175" s="55" t="s">
        <v>215</v>
      </c>
      <c r="B175" s="59"/>
      <c r="C175" s="59"/>
      <c r="D175" s="62"/>
      <c r="E175" s="62">
        <v>5396</v>
      </c>
      <c r="F175" s="62">
        <f>E175</f>
        <v>5396</v>
      </c>
      <c r="G175" s="62"/>
      <c r="H175" s="62">
        <f>E175</f>
        <v>5396</v>
      </c>
      <c r="I175" s="62"/>
      <c r="J175" s="62">
        <f>H175</f>
        <v>5396</v>
      </c>
      <c r="K175" s="63"/>
      <c r="L175" s="63"/>
      <c r="M175" s="63"/>
      <c r="N175" s="62"/>
      <c r="O175" s="62">
        <f>H175</f>
        <v>5396</v>
      </c>
      <c r="P175" s="62">
        <f>O175</f>
        <v>5396</v>
      </c>
      <c r="IB175"/>
      <c r="IC175"/>
      <c r="ID175"/>
      <c r="IE175"/>
      <c r="IF175"/>
      <c r="IG175"/>
    </row>
    <row r="176" spans="1:241" s="1" customFormat="1" ht="25.5" customHeight="1">
      <c r="A176" s="55" t="s">
        <v>146</v>
      </c>
      <c r="B176" s="59"/>
      <c r="C176" s="59"/>
      <c r="D176" s="62">
        <v>230</v>
      </c>
      <c r="E176" s="62"/>
      <c r="F176" s="62">
        <f t="shared" si="18"/>
        <v>230</v>
      </c>
      <c r="G176" s="62">
        <v>250</v>
      </c>
      <c r="H176" s="62"/>
      <c r="I176" s="62"/>
      <c r="J176" s="62">
        <f>G176</f>
        <v>250</v>
      </c>
      <c r="K176" s="63"/>
      <c r="L176" s="63"/>
      <c r="M176" s="63"/>
      <c r="N176" s="62">
        <v>270</v>
      </c>
      <c r="O176" s="62"/>
      <c r="P176" s="62">
        <f>N176</f>
        <v>270</v>
      </c>
      <c r="IB176"/>
      <c r="IC176"/>
      <c r="ID176"/>
      <c r="IE176"/>
      <c r="IF176"/>
      <c r="IG176"/>
    </row>
    <row r="177" spans="1:241" s="1" customFormat="1" ht="29.25" customHeight="1">
      <c r="A177" s="55" t="s">
        <v>130</v>
      </c>
      <c r="B177" s="59"/>
      <c r="C177" s="59"/>
      <c r="D177" s="62">
        <v>76.26</v>
      </c>
      <c r="E177" s="62"/>
      <c r="F177" s="62">
        <f t="shared" si="18"/>
        <v>76.26</v>
      </c>
      <c r="G177" s="62">
        <f>F177</f>
        <v>76.26</v>
      </c>
      <c r="H177" s="62"/>
      <c r="I177" s="62"/>
      <c r="J177" s="62">
        <f>G177</f>
        <v>76.26</v>
      </c>
      <c r="K177" s="63"/>
      <c r="L177" s="63"/>
      <c r="M177" s="63"/>
      <c r="N177" s="62">
        <f>J177</f>
        <v>76.26</v>
      </c>
      <c r="O177" s="62"/>
      <c r="P177" s="62">
        <f>N177</f>
        <v>76.26</v>
      </c>
      <c r="IB177"/>
      <c r="IC177"/>
      <c r="ID177"/>
      <c r="IE177"/>
      <c r="IF177"/>
      <c r="IG177"/>
    </row>
    <row r="178" spans="1:241" s="1" customFormat="1" ht="31.5" customHeight="1">
      <c r="A178" s="55" t="s">
        <v>78</v>
      </c>
      <c r="B178" s="59"/>
      <c r="C178" s="59"/>
      <c r="D178" s="62">
        <v>280000</v>
      </c>
      <c r="E178" s="62"/>
      <c r="F178" s="62">
        <f t="shared" si="18"/>
        <v>280000</v>
      </c>
      <c r="G178" s="62"/>
      <c r="H178" s="62"/>
      <c r="I178" s="62"/>
      <c r="J178" s="62"/>
      <c r="K178" s="63"/>
      <c r="L178" s="63"/>
      <c r="M178" s="63"/>
      <c r="N178" s="62"/>
      <c r="O178" s="62"/>
      <c r="P178" s="62"/>
      <c r="IB178"/>
      <c r="IC178"/>
      <c r="ID178"/>
      <c r="IE178"/>
      <c r="IF178"/>
      <c r="IG178"/>
    </row>
    <row r="179" spans="1:241" s="112" customFormat="1" ht="29.25" customHeight="1">
      <c r="A179" s="109" t="s">
        <v>231</v>
      </c>
      <c r="B179" s="110"/>
      <c r="C179" s="110"/>
      <c r="D179" s="114">
        <v>11.549</v>
      </c>
      <c r="E179" s="114"/>
      <c r="F179" s="114">
        <f t="shared" si="18"/>
        <v>11.549</v>
      </c>
      <c r="G179" s="114">
        <v>11.549</v>
      </c>
      <c r="H179" s="114"/>
      <c r="I179" s="114">
        <f>G179</f>
        <v>11.549</v>
      </c>
      <c r="J179" s="114"/>
      <c r="K179" s="111"/>
      <c r="L179" s="111"/>
      <c r="M179" s="111"/>
      <c r="N179" s="114">
        <v>11.55</v>
      </c>
      <c r="O179" s="114"/>
      <c r="P179" s="114">
        <f>N179</f>
        <v>11.55</v>
      </c>
      <c r="IB179" s="113"/>
      <c r="IC179" s="113"/>
      <c r="ID179" s="113"/>
      <c r="IE179" s="113"/>
      <c r="IF179" s="113"/>
      <c r="IG179" s="113"/>
    </row>
    <row r="180" spans="1:241" s="1" customFormat="1" ht="12">
      <c r="A180" s="54" t="s">
        <v>5</v>
      </c>
      <c r="B180" s="61"/>
      <c r="C180" s="61"/>
      <c r="D180" s="129"/>
      <c r="E180" s="129"/>
      <c r="F180" s="129"/>
      <c r="G180" s="129"/>
      <c r="H180" s="129"/>
      <c r="I180" s="129"/>
      <c r="J180" s="62"/>
      <c r="K180" s="63"/>
      <c r="L180" s="63"/>
      <c r="M180" s="63"/>
      <c r="N180" s="129"/>
      <c r="O180" s="129"/>
      <c r="P180" s="62"/>
      <c r="IB180"/>
      <c r="IC180"/>
      <c r="ID180"/>
      <c r="IE180"/>
      <c r="IF180"/>
      <c r="IG180"/>
    </row>
    <row r="181" spans="1:241" s="1" customFormat="1" ht="28.5" customHeight="1">
      <c r="A181" s="55" t="s">
        <v>131</v>
      </c>
      <c r="B181" s="59"/>
      <c r="C181" s="59"/>
      <c r="D181" s="62">
        <v>76.23</v>
      </c>
      <c r="E181" s="62"/>
      <c r="F181" s="62">
        <f>D181</f>
        <v>76.23</v>
      </c>
      <c r="G181" s="62">
        <f>F181</f>
        <v>76.23</v>
      </c>
      <c r="H181" s="62"/>
      <c r="I181" s="62"/>
      <c r="J181" s="62">
        <f aca="true" t="shared" si="19" ref="J181:J187">G181</f>
        <v>76.23</v>
      </c>
      <c r="K181" s="63"/>
      <c r="L181" s="63"/>
      <c r="M181" s="63"/>
      <c r="N181" s="62">
        <f>J181</f>
        <v>76.23</v>
      </c>
      <c r="O181" s="62"/>
      <c r="P181" s="62">
        <f aca="true" t="shared" si="20" ref="P181:P187">N181</f>
        <v>76.23</v>
      </c>
      <c r="IB181"/>
      <c r="IC181"/>
      <c r="ID181"/>
      <c r="IE181"/>
      <c r="IF181"/>
      <c r="IG181"/>
    </row>
    <row r="182" spans="1:241" s="112" customFormat="1" ht="22.5">
      <c r="A182" s="109" t="s">
        <v>132</v>
      </c>
      <c r="B182" s="110"/>
      <c r="C182" s="110"/>
      <c r="D182" s="114">
        <f>520+17</f>
        <v>537</v>
      </c>
      <c r="E182" s="114"/>
      <c r="F182" s="114">
        <f aca="true" t="shared" si="21" ref="F182:F190">D182</f>
        <v>537</v>
      </c>
      <c r="G182" s="114">
        <f>565+18+58+100+1</f>
        <v>742</v>
      </c>
      <c r="H182" s="114"/>
      <c r="I182" s="114"/>
      <c r="J182" s="114">
        <f t="shared" si="19"/>
        <v>742</v>
      </c>
      <c r="K182" s="111"/>
      <c r="L182" s="111"/>
      <c r="M182" s="111"/>
      <c r="N182" s="114">
        <v>751</v>
      </c>
      <c r="O182" s="114"/>
      <c r="P182" s="114">
        <f t="shared" si="20"/>
        <v>751</v>
      </c>
      <c r="IB182" s="113"/>
      <c r="IC182" s="113"/>
      <c r="ID182" s="113"/>
      <c r="IE182" s="113"/>
      <c r="IF182" s="113"/>
      <c r="IG182" s="113"/>
    </row>
    <row r="183" spans="1:241" s="112" customFormat="1" ht="26.25" customHeight="1">
      <c r="A183" s="109" t="s">
        <v>133</v>
      </c>
      <c r="B183" s="110"/>
      <c r="C183" s="110"/>
      <c r="D183" s="114">
        <v>366</v>
      </c>
      <c r="E183" s="114"/>
      <c r="F183" s="114">
        <f t="shared" si="21"/>
        <v>366</v>
      </c>
      <c r="G183" s="114">
        <v>505</v>
      </c>
      <c r="H183" s="114"/>
      <c r="I183" s="114"/>
      <c r="J183" s="114">
        <f t="shared" si="19"/>
        <v>505</v>
      </c>
      <c r="K183" s="111"/>
      <c r="L183" s="111"/>
      <c r="M183" s="111"/>
      <c r="N183" s="114">
        <v>820</v>
      </c>
      <c r="O183" s="114"/>
      <c r="P183" s="114">
        <f t="shared" si="20"/>
        <v>820</v>
      </c>
      <c r="IB183" s="113"/>
      <c r="IC183" s="113"/>
      <c r="ID183" s="113"/>
      <c r="IE183" s="113"/>
      <c r="IF183" s="113"/>
      <c r="IG183" s="113"/>
    </row>
    <row r="184" spans="1:241" s="1" customFormat="1" ht="26.25" customHeight="1">
      <c r="A184" s="55" t="s">
        <v>216</v>
      </c>
      <c r="B184" s="59"/>
      <c r="C184" s="59"/>
      <c r="D184" s="62"/>
      <c r="E184" s="62">
        <f>150+36</f>
        <v>186</v>
      </c>
      <c r="F184" s="62">
        <f>E184</f>
        <v>186</v>
      </c>
      <c r="G184" s="62"/>
      <c r="H184" s="62">
        <v>150</v>
      </c>
      <c r="I184" s="62"/>
      <c r="J184" s="62">
        <f>H184</f>
        <v>150</v>
      </c>
      <c r="K184" s="63"/>
      <c r="L184" s="63"/>
      <c r="M184" s="63"/>
      <c r="N184" s="62"/>
      <c r="O184" s="62">
        <v>150</v>
      </c>
      <c r="P184" s="62">
        <f>O184</f>
        <v>150</v>
      </c>
      <c r="IB184"/>
      <c r="IC184"/>
      <c r="ID184"/>
      <c r="IE184"/>
      <c r="IF184"/>
      <c r="IG184"/>
    </row>
    <row r="185" spans="1:241" s="1" customFormat="1" ht="22.5">
      <c r="A185" s="55" t="s">
        <v>145</v>
      </c>
      <c r="B185" s="59"/>
      <c r="C185" s="59"/>
      <c r="D185" s="62">
        <v>222</v>
      </c>
      <c r="E185" s="62"/>
      <c r="F185" s="62">
        <f t="shared" si="21"/>
        <v>222</v>
      </c>
      <c r="G185" s="62">
        <v>243</v>
      </c>
      <c r="H185" s="62"/>
      <c r="I185" s="62"/>
      <c r="J185" s="62">
        <f t="shared" si="19"/>
        <v>243</v>
      </c>
      <c r="K185" s="63"/>
      <c r="L185" s="63"/>
      <c r="M185" s="63"/>
      <c r="N185" s="62">
        <v>267</v>
      </c>
      <c r="O185" s="62"/>
      <c r="P185" s="62">
        <f t="shared" si="20"/>
        <v>267</v>
      </c>
      <c r="IB185"/>
      <c r="IC185"/>
      <c r="ID185"/>
      <c r="IE185"/>
      <c r="IF185"/>
      <c r="IG185"/>
    </row>
    <row r="186" spans="1:241" s="1" customFormat="1" ht="22.5">
      <c r="A186" s="55" t="s">
        <v>134</v>
      </c>
      <c r="B186" s="59"/>
      <c r="C186" s="59"/>
      <c r="D186" s="62">
        <v>76.26</v>
      </c>
      <c r="E186" s="62"/>
      <c r="F186" s="62">
        <f t="shared" si="21"/>
        <v>76.26</v>
      </c>
      <c r="G186" s="62">
        <v>76.26</v>
      </c>
      <c r="H186" s="62"/>
      <c r="I186" s="62"/>
      <c r="J186" s="62">
        <f t="shared" si="19"/>
        <v>76.26</v>
      </c>
      <c r="K186" s="63"/>
      <c r="L186" s="63"/>
      <c r="M186" s="63"/>
      <c r="N186" s="62">
        <f>J186</f>
        <v>76.26</v>
      </c>
      <c r="O186" s="62"/>
      <c r="P186" s="62">
        <f t="shared" si="20"/>
        <v>76.26</v>
      </c>
      <c r="IB186"/>
      <c r="IC186"/>
      <c r="ID186"/>
      <c r="IE186"/>
      <c r="IF186"/>
      <c r="IG186"/>
    </row>
    <row r="187" spans="1:241" s="1" customFormat="1" ht="24" customHeight="1">
      <c r="A187" s="55" t="s">
        <v>135</v>
      </c>
      <c r="B187" s="59"/>
      <c r="C187" s="59"/>
      <c r="D187" s="62">
        <v>49006</v>
      </c>
      <c r="E187" s="62"/>
      <c r="F187" s="62">
        <f t="shared" si="21"/>
        <v>49006</v>
      </c>
      <c r="G187" s="62">
        <f>F187</f>
        <v>49006</v>
      </c>
      <c r="H187" s="62"/>
      <c r="I187" s="62"/>
      <c r="J187" s="62">
        <f t="shared" si="19"/>
        <v>49006</v>
      </c>
      <c r="K187" s="63"/>
      <c r="L187" s="63"/>
      <c r="M187" s="63"/>
      <c r="N187" s="62">
        <f>J187</f>
        <v>49006</v>
      </c>
      <c r="O187" s="62"/>
      <c r="P187" s="62">
        <f t="shared" si="20"/>
        <v>49006</v>
      </c>
      <c r="IB187"/>
      <c r="IC187"/>
      <c r="ID187"/>
      <c r="IE187"/>
      <c r="IF187"/>
      <c r="IG187"/>
    </row>
    <row r="188" spans="1:241" s="1" customFormat="1" ht="24" customHeight="1">
      <c r="A188" s="55" t="s">
        <v>218</v>
      </c>
      <c r="B188" s="59"/>
      <c r="C188" s="59"/>
      <c r="D188" s="62">
        <v>25</v>
      </c>
      <c r="E188" s="62"/>
      <c r="F188" s="62">
        <f t="shared" si="21"/>
        <v>25</v>
      </c>
      <c r="G188" s="62"/>
      <c r="H188" s="62"/>
      <c r="I188" s="62"/>
      <c r="J188" s="62"/>
      <c r="K188" s="63"/>
      <c r="L188" s="63"/>
      <c r="M188" s="63"/>
      <c r="N188" s="62"/>
      <c r="O188" s="62"/>
      <c r="P188" s="62"/>
      <c r="IB188"/>
      <c r="IC188"/>
      <c r="ID188"/>
      <c r="IE188"/>
      <c r="IF188"/>
      <c r="IG188"/>
    </row>
    <row r="189" spans="1:241" s="1" customFormat="1" ht="28.5" customHeight="1">
      <c r="A189" s="55" t="s">
        <v>77</v>
      </c>
      <c r="B189" s="59"/>
      <c r="C189" s="59"/>
      <c r="D189" s="62">
        <v>4</v>
      </c>
      <c r="E189" s="62"/>
      <c r="F189" s="62">
        <f t="shared" si="21"/>
        <v>4</v>
      </c>
      <c r="G189" s="62"/>
      <c r="H189" s="62"/>
      <c r="I189" s="62"/>
      <c r="J189" s="62"/>
      <c r="K189" s="63"/>
      <c r="L189" s="63"/>
      <c r="M189" s="63"/>
      <c r="N189" s="62"/>
      <c r="O189" s="62"/>
      <c r="P189" s="62"/>
      <c r="IB189"/>
      <c r="IC189"/>
      <c r="ID189"/>
      <c r="IE189"/>
      <c r="IF189"/>
      <c r="IG189"/>
    </row>
    <row r="190" spans="1:241" s="112" customFormat="1" ht="28.5" customHeight="1">
      <c r="A190" s="109" t="s">
        <v>232</v>
      </c>
      <c r="B190" s="110"/>
      <c r="C190" s="110"/>
      <c r="D190" s="114">
        <v>11.549</v>
      </c>
      <c r="E190" s="114"/>
      <c r="F190" s="114">
        <f t="shared" si="21"/>
        <v>11.549</v>
      </c>
      <c r="G190" s="114">
        <v>11.549</v>
      </c>
      <c r="H190" s="114"/>
      <c r="I190" s="114"/>
      <c r="J190" s="114">
        <v>11.55</v>
      </c>
      <c r="K190" s="111"/>
      <c r="L190" s="111"/>
      <c r="M190" s="111"/>
      <c r="N190" s="114">
        <v>11.55</v>
      </c>
      <c r="O190" s="114"/>
      <c r="P190" s="114">
        <v>11.55</v>
      </c>
      <c r="IB190" s="113"/>
      <c r="IC190" s="113"/>
      <c r="ID190" s="113"/>
      <c r="IE190" s="113"/>
      <c r="IF190" s="113"/>
      <c r="IG190" s="113"/>
    </row>
    <row r="191" spans="1:241" s="1" customFormat="1" ht="12">
      <c r="A191" s="54" t="s">
        <v>7</v>
      </c>
      <c r="B191" s="61"/>
      <c r="C191" s="61"/>
      <c r="D191" s="129"/>
      <c r="E191" s="129"/>
      <c r="F191" s="62"/>
      <c r="G191" s="129"/>
      <c r="H191" s="129"/>
      <c r="I191" s="129"/>
      <c r="J191" s="62"/>
      <c r="K191" s="63"/>
      <c r="L191" s="63"/>
      <c r="M191" s="63"/>
      <c r="N191" s="129"/>
      <c r="O191" s="129"/>
      <c r="P191" s="62"/>
      <c r="IB191"/>
      <c r="IC191"/>
      <c r="ID191"/>
      <c r="IE191"/>
      <c r="IF191"/>
      <c r="IG191"/>
    </row>
    <row r="192" spans="1:241" s="1" customFormat="1" ht="33.75">
      <c r="A192" s="55" t="s">
        <v>136</v>
      </c>
      <c r="B192" s="61"/>
      <c r="C192" s="61"/>
      <c r="D192" s="62">
        <v>34763</v>
      </c>
      <c r="E192" s="129"/>
      <c r="F192" s="62">
        <f>D192</f>
        <v>34763</v>
      </c>
      <c r="G192" s="62">
        <v>41725</v>
      </c>
      <c r="H192" s="129"/>
      <c r="I192" s="129"/>
      <c r="J192" s="62">
        <f aca="true" t="shared" si="22" ref="J192:J198">G192</f>
        <v>41725</v>
      </c>
      <c r="K192" s="63"/>
      <c r="L192" s="63"/>
      <c r="M192" s="63"/>
      <c r="N192" s="62">
        <v>53067</v>
      </c>
      <c r="O192" s="129"/>
      <c r="P192" s="62">
        <f aca="true" t="shared" si="23" ref="P192:P201">N192</f>
        <v>53067</v>
      </c>
      <c r="IB192"/>
      <c r="IC192"/>
      <c r="ID192"/>
      <c r="IE192"/>
      <c r="IF192"/>
      <c r="IG192"/>
    </row>
    <row r="193" spans="1:241" s="1" customFormat="1" ht="22.5">
      <c r="A193" s="55" t="s">
        <v>137</v>
      </c>
      <c r="B193" s="59"/>
      <c r="C193" s="59"/>
      <c r="D193" s="62">
        <v>1500</v>
      </c>
      <c r="E193" s="62"/>
      <c r="F193" s="62">
        <f>D193</f>
        <v>1500</v>
      </c>
      <c r="G193" s="62">
        <v>2500.45458853</v>
      </c>
      <c r="H193" s="62"/>
      <c r="I193" s="62"/>
      <c r="J193" s="62">
        <f t="shared" si="22"/>
        <v>2500.45458853</v>
      </c>
      <c r="K193" s="63"/>
      <c r="L193" s="63"/>
      <c r="M193" s="63"/>
      <c r="N193" s="62">
        <v>2850.53262316</v>
      </c>
      <c r="O193" s="62"/>
      <c r="P193" s="62">
        <f t="shared" si="23"/>
        <v>2850.53262316</v>
      </c>
      <c r="IB193"/>
      <c r="IC193"/>
      <c r="ID193"/>
      <c r="IE193"/>
      <c r="IF193"/>
      <c r="IG193"/>
    </row>
    <row r="194" spans="1:241" s="1" customFormat="1" ht="22.5">
      <c r="A194" s="55" t="s">
        <v>138</v>
      </c>
      <c r="B194" s="59"/>
      <c r="C194" s="59"/>
      <c r="D194" s="62">
        <v>320</v>
      </c>
      <c r="E194" s="62"/>
      <c r="F194" s="62">
        <f aca="true" t="shared" si="24" ref="F194:F201">D194</f>
        <v>320</v>
      </c>
      <c r="G194" s="62">
        <v>420</v>
      </c>
      <c r="H194" s="62"/>
      <c r="I194" s="62"/>
      <c r="J194" s="62">
        <f t="shared" si="22"/>
        <v>420</v>
      </c>
      <c r="K194" s="63"/>
      <c r="L194" s="63"/>
      <c r="M194" s="63"/>
      <c r="N194" s="62">
        <v>540</v>
      </c>
      <c r="O194" s="62"/>
      <c r="P194" s="62">
        <f t="shared" si="23"/>
        <v>540</v>
      </c>
      <c r="IB194"/>
      <c r="IC194"/>
      <c r="ID194"/>
      <c r="IE194"/>
      <c r="IF194"/>
      <c r="IG194"/>
    </row>
    <row r="195" spans="1:241" s="1" customFormat="1" ht="27" customHeight="1">
      <c r="A195" s="55" t="s">
        <v>217</v>
      </c>
      <c r="B195" s="59"/>
      <c r="C195" s="59"/>
      <c r="D195" s="62"/>
      <c r="E195" s="62">
        <v>550</v>
      </c>
      <c r="F195" s="62">
        <f>E195</f>
        <v>550</v>
      </c>
      <c r="G195" s="62"/>
      <c r="H195" s="62">
        <v>550</v>
      </c>
      <c r="I195" s="62"/>
      <c r="J195" s="62">
        <f>H195</f>
        <v>550</v>
      </c>
      <c r="K195" s="63"/>
      <c r="L195" s="63"/>
      <c r="M195" s="63"/>
      <c r="N195" s="62"/>
      <c r="O195" s="62">
        <v>550</v>
      </c>
      <c r="P195" s="62">
        <f>O195</f>
        <v>550</v>
      </c>
      <c r="IB195"/>
      <c r="IC195"/>
      <c r="ID195"/>
      <c r="IE195"/>
      <c r="IF195"/>
      <c r="IG195"/>
    </row>
    <row r="196" spans="1:241" s="1" customFormat="1" ht="22.5">
      <c r="A196" s="55" t="s">
        <v>139</v>
      </c>
      <c r="B196" s="59"/>
      <c r="C196" s="59"/>
      <c r="D196" s="62">
        <v>5100</v>
      </c>
      <c r="E196" s="62"/>
      <c r="F196" s="62">
        <f t="shared" si="24"/>
        <v>5100</v>
      </c>
      <c r="G196" s="62">
        <v>5600</v>
      </c>
      <c r="H196" s="62"/>
      <c r="I196" s="62"/>
      <c r="J196" s="62">
        <f t="shared" si="22"/>
        <v>5600</v>
      </c>
      <c r="K196" s="63"/>
      <c r="L196" s="63"/>
      <c r="M196" s="63"/>
      <c r="N196" s="62">
        <v>6800</v>
      </c>
      <c r="O196" s="62"/>
      <c r="P196" s="62">
        <f t="shared" si="23"/>
        <v>6800</v>
      </c>
      <c r="IB196"/>
      <c r="IC196"/>
      <c r="ID196"/>
      <c r="IE196"/>
      <c r="IF196"/>
      <c r="IG196"/>
    </row>
    <row r="197" spans="1:241" s="1" customFormat="1" ht="22.5">
      <c r="A197" s="55" t="s">
        <v>140</v>
      </c>
      <c r="B197" s="59"/>
      <c r="C197" s="59"/>
      <c r="D197" s="62">
        <v>26850</v>
      </c>
      <c r="E197" s="62"/>
      <c r="F197" s="62">
        <f t="shared" si="24"/>
        <v>26850</v>
      </c>
      <c r="G197" s="62">
        <v>32317</v>
      </c>
      <c r="H197" s="62"/>
      <c r="I197" s="62"/>
      <c r="J197" s="62">
        <f t="shared" si="22"/>
        <v>32317</v>
      </c>
      <c r="K197" s="63"/>
      <c r="L197" s="63"/>
      <c r="M197" s="63"/>
      <c r="N197" s="62">
        <v>45312</v>
      </c>
      <c r="O197" s="62"/>
      <c r="P197" s="62">
        <f t="shared" si="23"/>
        <v>45312</v>
      </c>
      <c r="IB197"/>
      <c r="IC197"/>
      <c r="ID197"/>
      <c r="IE197"/>
      <c r="IF197"/>
      <c r="IG197"/>
    </row>
    <row r="198" spans="1:241" s="1" customFormat="1" ht="22.5">
      <c r="A198" s="55" t="s">
        <v>141</v>
      </c>
      <c r="B198" s="59"/>
      <c r="C198" s="59"/>
      <c r="D198" s="62">
        <v>4.39</v>
      </c>
      <c r="E198" s="62"/>
      <c r="F198" s="62">
        <f t="shared" si="24"/>
        <v>4.39</v>
      </c>
      <c r="G198" s="62">
        <v>5.26</v>
      </c>
      <c r="H198" s="62"/>
      <c r="I198" s="62"/>
      <c r="J198" s="62">
        <f t="shared" si="22"/>
        <v>5.26</v>
      </c>
      <c r="K198" s="63"/>
      <c r="L198" s="63"/>
      <c r="M198" s="63"/>
      <c r="N198" s="62">
        <v>10.8039723707</v>
      </c>
      <c r="O198" s="62"/>
      <c r="P198" s="62">
        <f t="shared" si="23"/>
        <v>10.8039723707</v>
      </c>
      <c r="IB198"/>
      <c r="IC198"/>
      <c r="ID198"/>
      <c r="IE198"/>
      <c r="IF198"/>
      <c r="IG198"/>
    </row>
    <row r="199" spans="1:241" s="1" customFormat="1" ht="27" customHeight="1">
      <c r="A199" s="55" t="s">
        <v>219</v>
      </c>
      <c r="B199" s="59"/>
      <c r="C199" s="59"/>
      <c r="D199" s="62">
        <v>3988</v>
      </c>
      <c r="E199" s="62"/>
      <c r="F199" s="62">
        <f t="shared" si="24"/>
        <v>3988</v>
      </c>
      <c r="G199" s="62"/>
      <c r="H199" s="62"/>
      <c r="I199" s="62"/>
      <c r="J199" s="62"/>
      <c r="K199" s="63"/>
      <c r="L199" s="63"/>
      <c r="M199" s="63"/>
      <c r="N199" s="62"/>
      <c r="O199" s="62"/>
      <c r="P199" s="62"/>
      <c r="IB199"/>
      <c r="IC199"/>
      <c r="ID199"/>
      <c r="IE199"/>
      <c r="IF199"/>
      <c r="IG199"/>
    </row>
    <row r="200" spans="1:241" s="1" customFormat="1" ht="33.75" customHeight="1">
      <c r="A200" s="55" t="s">
        <v>79</v>
      </c>
      <c r="B200" s="59"/>
      <c r="C200" s="59"/>
      <c r="D200" s="62">
        <v>70000</v>
      </c>
      <c r="E200" s="62"/>
      <c r="F200" s="62">
        <f t="shared" si="24"/>
        <v>70000</v>
      </c>
      <c r="G200" s="62"/>
      <c r="H200" s="62"/>
      <c r="I200" s="62"/>
      <c r="J200" s="62"/>
      <c r="K200" s="63"/>
      <c r="L200" s="63"/>
      <c r="M200" s="63"/>
      <c r="N200" s="62"/>
      <c r="O200" s="62"/>
      <c r="P200" s="62"/>
      <c r="IB200"/>
      <c r="IC200"/>
      <c r="ID200"/>
      <c r="IE200"/>
      <c r="IF200"/>
      <c r="IG200"/>
    </row>
    <row r="201" spans="1:241" s="112" customFormat="1" ht="33.75" customHeight="1">
      <c r="A201" s="109" t="s">
        <v>233</v>
      </c>
      <c r="B201" s="110"/>
      <c r="C201" s="110"/>
      <c r="D201" s="114">
        <v>2520</v>
      </c>
      <c r="E201" s="114"/>
      <c r="F201" s="114">
        <f t="shared" si="24"/>
        <v>2520</v>
      </c>
      <c r="G201" s="114">
        <v>2770.8</v>
      </c>
      <c r="H201" s="114"/>
      <c r="I201" s="114">
        <f>G201</f>
        <v>2770.8</v>
      </c>
      <c r="J201" s="114"/>
      <c r="K201" s="111"/>
      <c r="L201" s="111"/>
      <c r="M201" s="111"/>
      <c r="N201" s="114">
        <v>5541.125541</v>
      </c>
      <c r="O201" s="114"/>
      <c r="P201" s="62">
        <f t="shared" si="23"/>
        <v>5541.125541</v>
      </c>
      <c r="IB201" s="113"/>
      <c r="IC201" s="113"/>
      <c r="ID201" s="113"/>
      <c r="IE201" s="113"/>
      <c r="IF201" s="113"/>
      <c r="IG201" s="113"/>
    </row>
    <row r="202" spans="1:241" s="1" customFormat="1" ht="12">
      <c r="A202" s="54" t="s">
        <v>6</v>
      </c>
      <c r="B202" s="61"/>
      <c r="C202" s="61"/>
      <c r="D202" s="129"/>
      <c r="E202" s="129"/>
      <c r="F202" s="62"/>
      <c r="G202" s="129"/>
      <c r="H202" s="129"/>
      <c r="I202" s="129"/>
      <c r="J202" s="62"/>
      <c r="K202" s="63"/>
      <c r="L202" s="63"/>
      <c r="M202" s="63"/>
      <c r="N202" s="129"/>
      <c r="O202" s="129"/>
      <c r="P202" s="62"/>
      <c r="IB202"/>
      <c r="IC202"/>
      <c r="ID202"/>
      <c r="IE202"/>
      <c r="IF202"/>
      <c r="IG202"/>
    </row>
    <row r="203" spans="1:241" s="1" customFormat="1" ht="23.25" customHeight="1">
      <c r="A203" s="55" t="s">
        <v>142</v>
      </c>
      <c r="B203" s="59"/>
      <c r="C203" s="59"/>
      <c r="D203" s="62">
        <f>D181/D172*100</f>
        <v>100</v>
      </c>
      <c r="E203" s="62"/>
      <c r="F203" s="62">
        <f aca="true" t="shared" si="25" ref="F203:G205">F181/F172*100</f>
        <v>100</v>
      </c>
      <c r="G203" s="62">
        <f t="shared" si="25"/>
        <v>100</v>
      </c>
      <c r="H203" s="62"/>
      <c r="I203" s="62"/>
      <c r="J203" s="62">
        <f aca="true" t="shared" si="26" ref="J203:N205">J181/J172*100</f>
        <v>100</v>
      </c>
      <c r="K203" s="62" t="e">
        <f t="shared" si="26"/>
        <v>#DIV/0!</v>
      </c>
      <c r="L203" s="62" t="e">
        <f t="shared" si="26"/>
        <v>#DIV/0!</v>
      </c>
      <c r="M203" s="62" t="e">
        <f t="shared" si="26"/>
        <v>#DIV/0!</v>
      </c>
      <c r="N203" s="62">
        <f t="shared" si="26"/>
        <v>100</v>
      </c>
      <c r="O203" s="62"/>
      <c r="P203" s="62">
        <f>P181/P172*100</f>
        <v>100</v>
      </c>
      <c r="IB203"/>
      <c r="IC203"/>
      <c r="ID203"/>
      <c r="IE203"/>
      <c r="IF203"/>
      <c r="IG203"/>
    </row>
    <row r="204" spans="1:241" s="1" customFormat="1" ht="41.25" customHeight="1">
      <c r="A204" s="55" t="s">
        <v>143</v>
      </c>
      <c r="B204" s="59"/>
      <c r="C204" s="59"/>
      <c r="D204" s="62">
        <f>D182/D173*100</f>
        <v>11.072164948453608</v>
      </c>
      <c r="E204" s="62"/>
      <c r="F204" s="62">
        <f t="shared" si="25"/>
        <v>11.072164948453608</v>
      </c>
      <c r="G204" s="62">
        <f t="shared" si="25"/>
        <v>15.298969072164947</v>
      </c>
      <c r="H204" s="62"/>
      <c r="I204" s="62"/>
      <c r="J204" s="62">
        <f t="shared" si="26"/>
        <v>15.298969072164947</v>
      </c>
      <c r="K204" s="62" t="e">
        <f t="shared" si="26"/>
        <v>#DIV/0!</v>
      </c>
      <c r="L204" s="62" t="e">
        <f t="shared" si="26"/>
        <v>#DIV/0!</v>
      </c>
      <c r="M204" s="62" t="e">
        <f t="shared" si="26"/>
        <v>#DIV/0!</v>
      </c>
      <c r="N204" s="62">
        <f t="shared" si="26"/>
        <v>15.484536082474227</v>
      </c>
      <c r="O204" s="62"/>
      <c r="P204" s="62">
        <f>P182/P173*100</f>
        <v>15.484536082474227</v>
      </c>
      <c r="IB204"/>
      <c r="IC204"/>
      <c r="ID204"/>
      <c r="IE204"/>
      <c r="IF204"/>
      <c r="IG204"/>
    </row>
    <row r="205" spans="1:241" s="1" customFormat="1" ht="35.25" customHeight="1">
      <c r="A205" s="55" t="s">
        <v>144</v>
      </c>
      <c r="B205" s="59"/>
      <c r="C205" s="59"/>
      <c r="D205" s="62">
        <f>D183/D174*100</f>
        <v>18.25436408977556</v>
      </c>
      <c r="E205" s="62"/>
      <c r="F205" s="62">
        <f t="shared" si="25"/>
        <v>18.25436408977556</v>
      </c>
      <c r="G205" s="62">
        <f t="shared" si="25"/>
        <v>25.187032418952622</v>
      </c>
      <c r="H205" s="62"/>
      <c r="I205" s="62"/>
      <c r="J205" s="62">
        <f t="shared" si="26"/>
        <v>25.187032418952622</v>
      </c>
      <c r="K205" s="62" t="e">
        <f t="shared" si="26"/>
        <v>#DIV/0!</v>
      </c>
      <c r="L205" s="62" t="e">
        <f t="shared" si="26"/>
        <v>#DIV/0!</v>
      </c>
      <c r="M205" s="62" t="e">
        <f t="shared" si="26"/>
        <v>#DIV/0!</v>
      </c>
      <c r="N205" s="62">
        <f t="shared" si="26"/>
        <v>40.89775561097257</v>
      </c>
      <c r="O205" s="62"/>
      <c r="P205" s="62">
        <f>P183/P174*100</f>
        <v>40.89775561097257</v>
      </c>
      <c r="IB205"/>
      <c r="IC205"/>
      <c r="ID205"/>
      <c r="IE205"/>
      <c r="IF205"/>
      <c r="IG205"/>
    </row>
    <row r="206" spans="1:241" s="91" customFormat="1" ht="45">
      <c r="A206" s="82" t="s">
        <v>369</v>
      </c>
      <c r="B206" s="88"/>
      <c r="C206" s="88"/>
      <c r="D206" s="89">
        <f>(D209*D230)+(D218*D232)+(D219*D233)+(D220*D240)+11.5</f>
        <v>6400000</v>
      </c>
      <c r="E206" s="89"/>
      <c r="F206" s="89">
        <f>(F209*F230)+(F218*F232)+(F219*F233)+(F220*F240)+11.5</f>
        <v>6400000</v>
      </c>
      <c r="G206" s="89">
        <f>(G209*G230)+(G218*G232)+(G219*G233)+(G220*G240)+G227*G241+G224*G239+G222*G234</f>
        <v>10062499.99975</v>
      </c>
      <c r="H206" s="89">
        <f>H221*H235</f>
        <v>120000</v>
      </c>
      <c r="I206" s="89"/>
      <c r="J206" s="89">
        <f>G206+H206</f>
        <v>10182499.99975</v>
      </c>
      <c r="K206" s="89">
        <f>(K209*K230)+(K218*K232)+(K219*K233)+(K220*K240)+11.5</f>
        <v>11.5</v>
      </c>
      <c r="L206" s="89">
        <f>(L209*L230)+(L218*L232)+(L219*L233)+(L220*L240)+11.5</f>
        <v>11.5</v>
      </c>
      <c r="M206" s="89">
        <f>(M209*M230)+(M218*M232)+(M219*M233)+(M220*M240)+11.5</f>
        <v>11.5</v>
      </c>
      <c r="N206" s="89">
        <f>(N209*N230)+(N218*N232)+(N219*N233)+(N220*N240)+(N223*N237)+(N222*N234)+(N224*N239)+N227*N241</f>
        <v>12567399.99995855</v>
      </c>
      <c r="O206" s="89">
        <f>O221*O235+O228*O242</f>
        <v>6974000</v>
      </c>
      <c r="P206" s="89">
        <f>N206+O206</f>
        <v>19541399.999958552</v>
      </c>
      <c r="IB206" s="92"/>
      <c r="IC206" s="92"/>
      <c r="ID206" s="92"/>
      <c r="IE206" s="92"/>
      <c r="IF206" s="92"/>
      <c r="IG206" s="92"/>
    </row>
    <row r="207" spans="1:241" s="1" customFormat="1" ht="30.75" customHeight="1" hidden="1">
      <c r="A207" s="22" t="s">
        <v>50</v>
      </c>
      <c r="B207" s="12"/>
      <c r="C207" s="12"/>
      <c r="D207" s="13" t="e">
        <f>D219*#REF!*12+#REF!*D233*12+D218*D232+D217*D230+#REF!*#REF!</f>
        <v>#REF!</v>
      </c>
      <c r="E207" s="13"/>
      <c r="F207" s="13" t="e">
        <f>F219*#REF!*12+#REF!*F233*12+F218*F232+F217*F230+#REF!*#REF!</f>
        <v>#REF!</v>
      </c>
      <c r="G207" s="13" t="e">
        <f>G219*#REF!*12+#REF!*G233*12+G218*G232+G217*G230+#REF!*#REF!</f>
        <v>#REF!</v>
      </c>
      <c r="H207" s="13" t="e">
        <f>H219*#REF!*12+#REF!*H233*12+H218*H232+H217*H230+#REF!*#REF!</f>
        <v>#REF!</v>
      </c>
      <c r="I207" s="13"/>
      <c r="J207" s="13" t="e">
        <f>J219*#REF!*12+#REF!*J233*12+J218*J232+J217*J230+#REF!*#REF!</f>
        <v>#REF!</v>
      </c>
      <c r="K207" s="16"/>
      <c r="L207" s="16"/>
      <c r="M207" s="16"/>
      <c r="N207" s="13" t="e">
        <f>N219*#REF!*12+#REF!*N233*12+N218*N232+N217*N230+#REF!*#REF!</f>
        <v>#REF!</v>
      </c>
      <c r="O207" s="13" t="e">
        <f>O219*#REF!*12+#REF!*O233*12+O218*O232+O217*O230+#REF!*#REF!</f>
        <v>#REF!</v>
      </c>
      <c r="P207" s="13" t="e">
        <f>P219*#REF!*12+#REF!*P233*12+P218*P232+P217*P230+#REF!*#REF!</f>
        <v>#REF!</v>
      </c>
      <c r="IB207"/>
      <c r="IC207"/>
      <c r="ID207"/>
      <c r="IE207"/>
      <c r="IF207"/>
      <c r="IG207"/>
    </row>
    <row r="208" spans="1:241" s="1" customFormat="1" ht="12">
      <c r="A208" s="54" t="s">
        <v>4</v>
      </c>
      <c r="B208" s="61"/>
      <c r="C208" s="61"/>
      <c r="D208" s="129"/>
      <c r="E208" s="129"/>
      <c r="F208" s="129"/>
      <c r="G208" s="129"/>
      <c r="H208" s="129"/>
      <c r="I208" s="129"/>
      <c r="J208" s="62"/>
      <c r="K208" s="63"/>
      <c r="L208" s="63"/>
      <c r="M208" s="63"/>
      <c r="N208" s="129"/>
      <c r="O208" s="129"/>
      <c r="P208" s="62"/>
      <c r="IB208"/>
      <c r="IC208"/>
      <c r="ID208"/>
      <c r="IE208"/>
      <c r="IF208"/>
      <c r="IG208"/>
    </row>
    <row r="209" spans="1:241" s="1" customFormat="1" ht="22.5">
      <c r="A209" s="55" t="s">
        <v>148</v>
      </c>
      <c r="B209" s="59"/>
      <c r="C209" s="59"/>
      <c r="D209" s="62">
        <v>93.1</v>
      </c>
      <c r="E209" s="62"/>
      <c r="F209" s="62">
        <f>D209</f>
        <v>93.1</v>
      </c>
      <c r="G209" s="62">
        <f>F209</f>
        <v>93.1</v>
      </c>
      <c r="H209" s="62"/>
      <c r="I209" s="62"/>
      <c r="J209" s="62">
        <f>G209</f>
        <v>93.1</v>
      </c>
      <c r="K209" s="63"/>
      <c r="L209" s="63"/>
      <c r="M209" s="63"/>
      <c r="N209" s="62">
        <f>J209</f>
        <v>93.1</v>
      </c>
      <c r="O209" s="62"/>
      <c r="P209" s="62">
        <f>N209</f>
        <v>93.1</v>
      </c>
      <c r="IB209"/>
      <c r="IC209"/>
      <c r="ID209"/>
      <c r="IE209"/>
      <c r="IF209"/>
      <c r="IG209"/>
    </row>
    <row r="210" spans="1:241" s="1" customFormat="1" ht="12">
      <c r="A210" s="55" t="s">
        <v>28</v>
      </c>
      <c r="B210" s="59"/>
      <c r="C210" s="59"/>
      <c r="D210" s="62">
        <v>1</v>
      </c>
      <c r="E210" s="62"/>
      <c r="F210" s="62">
        <v>1</v>
      </c>
      <c r="G210" s="62">
        <v>1</v>
      </c>
      <c r="H210" s="62"/>
      <c r="I210" s="62"/>
      <c r="J210" s="62">
        <f>G210</f>
        <v>1</v>
      </c>
      <c r="K210" s="63"/>
      <c r="L210" s="63"/>
      <c r="M210" s="63"/>
      <c r="N210" s="62">
        <v>1</v>
      </c>
      <c r="O210" s="62"/>
      <c r="P210" s="62">
        <f>N210</f>
        <v>1</v>
      </c>
      <c r="IB210"/>
      <c r="IC210"/>
      <c r="ID210"/>
      <c r="IE210"/>
      <c r="IF210"/>
      <c r="IG210"/>
    </row>
    <row r="211" spans="1:241" s="1" customFormat="1" ht="13.5" customHeight="1">
      <c r="A211" s="55" t="s">
        <v>147</v>
      </c>
      <c r="B211" s="59"/>
      <c r="C211" s="59"/>
      <c r="D211" s="62">
        <v>1</v>
      </c>
      <c r="E211" s="62"/>
      <c r="F211" s="62">
        <v>1</v>
      </c>
      <c r="G211" s="62">
        <v>1</v>
      </c>
      <c r="H211" s="62"/>
      <c r="I211" s="62"/>
      <c r="J211" s="62">
        <f>G211</f>
        <v>1</v>
      </c>
      <c r="K211" s="63"/>
      <c r="L211" s="63"/>
      <c r="M211" s="63"/>
      <c r="N211" s="62">
        <v>1</v>
      </c>
      <c r="O211" s="62"/>
      <c r="P211" s="62">
        <f>N211</f>
        <v>1</v>
      </c>
      <c r="IB211"/>
      <c r="IC211"/>
      <c r="ID211"/>
      <c r="IE211"/>
      <c r="IF211"/>
      <c r="IG211"/>
    </row>
    <row r="212" spans="1:241" s="1" customFormat="1" ht="24.75" customHeight="1">
      <c r="A212" s="55" t="s">
        <v>80</v>
      </c>
      <c r="B212" s="59"/>
      <c r="C212" s="59"/>
      <c r="D212" s="62">
        <v>50000</v>
      </c>
      <c r="E212" s="62"/>
      <c r="F212" s="62">
        <f>D212</f>
        <v>50000</v>
      </c>
      <c r="G212" s="62">
        <f>50000-50000</f>
        <v>0</v>
      </c>
      <c r="H212" s="62"/>
      <c r="I212" s="62"/>
      <c r="J212" s="62"/>
      <c r="K212" s="63"/>
      <c r="L212" s="63"/>
      <c r="M212" s="63"/>
      <c r="N212" s="62"/>
      <c r="O212" s="62"/>
      <c r="P212" s="62"/>
      <c r="IB212"/>
      <c r="IC212"/>
      <c r="ID212"/>
      <c r="IE212"/>
      <c r="IF212"/>
      <c r="IG212"/>
    </row>
    <row r="213" spans="1:241" s="1" customFormat="1" ht="22.5" hidden="1">
      <c r="A213" s="55" t="s">
        <v>286</v>
      </c>
      <c r="B213" s="59"/>
      <c r="C213" s="59"/>
      <c r="D213" s="62"/>
      <c r="E213" s="62"/>
      <c r="F213" s="62"/>
      <c r="G213" s="62"/>
      <c r="H213" s="62">
        <v>1</v>
      </c>
      <c r="I213" s="62"/>
      <c r="J213" s="62">
        <v>1</v>
      </c>
      <c r="K213" s="63"/>
      <c r="L213" s="63"/>
      <c r="M213" s="63"/>
      <c r="N213" s="62"/>
      <c r="O213" s="62"/>
      <c r="P213" s="62"/>
      <c r="IB213"/>
      <c r="IC213"/>
      <c r="ID213"/>
      <c r="IE213"/>
      <c r="IF213"/>
      <c r="IG213"/>
    </row>
    <row r="214" spans="1:241" s="1" customFormat="1" ht="14.25" customHeight="1">
      <c r="A214" s="55" t="s">
        <v>29</v>
      </c>
      <c r="B214" s="59"/>
      <c r="C214" s="59"/>
      <c r="D214" s="62">
        <v>1300</v>
      </c>
      <c r="E214" s="62"/>
      <c r="F214" s="62">
        <v>1300</v>
      </c>
      <c r="G214" s="62">
        <v>916</v>
      </c>
      <c r="H214" s="62"/>
      <c r="I214" s="62"/>
      <c r="J214" s="62">
        <f aca="true" t="shared" si="27" ref="J214:J219">G214</f>
        <v>916</v>
      </c>
      <c r="K214" s="63"/>
      <c r="L214" s="63"/>
      <c r="M214" s="63"/>
      <c r="N214" s="62">
        <v>916</v>
      </c>
      <c r="O214" s="62"/>
      <c r="P214" s="62">
        <f aca="true" t="shared" si="28" ref="P214:P219">N214</f>
        <v>916</v>
      </c>
      <c r="IB214"/>
      <c r="IC214"/>
      <c r="ID214"/>
      <c r="IE214"/>
      <c r="IF214"/>
      <c r="IG214"/>
    </row>
    <row r="215" spans="1:241" s="1" customFormat="1" ht="22.5">
      <c r="A215" s="55" t="s">
        <v>30</v>
      </c>
      <c r="B215" s="59"/>
      <c r="C215" s="59"/>
      <c r="D215" s="62">
        <v>40</v>
      </c>
      <c r="E215" s="62"/>
      <c r="F215" s="62">
        <v>40</v>
      </c>
      <c r="G215" s="62">
        <v>40</v>
      </c>
      <c r="H215" s="62"/>
      <c r="I215" s="62"/>
      <c r="J215" s="62">
        <f t="shared" si="27"/>
        <v>40</v>
      </c>
      <c r="K215" s="63"/>
      <c r="L215" s="63"/>
      <c r="M215" s="63"/>
      <c r="N215" s="62">
        <v>40</v>
      </c>
      <c r="O215" s="62"/>
      <c r="P215" s="62">
        <f t="shared" si="28"/>
        <v>40</v>
      </c>
      <c r="IB215"/>
      <c r="IC215"/>
      <c r="ID215"/>
      <c r="IE215"/>
      <c r="IF215"/>
      <c r="IG215"/>
    </row>
    <row r="216" spans="1:241" s="1" customFormat="1" ht="12">
      <c r="A216" s="54" t="s">
        <v>5</v>
      </c>
      <c r="B216" s="61"/>
      <c r="C216" s="61"/>
      <c r="D216" s="129"/>
      <c r="E216" s="129"/>
      <c r="F216" s="129"/>
      <c r="G216" s="129"/>
      <c r="H216" s="129"/>
      <c r="I216" s="129"/>
      <c r="J216" s="62">
        <f t="shared" si="27"/>
        <v>0</v>
      </c>
      <c r="K216" s="63"/>
      <c r="L216" s="63"/>
      <c r="M216" s="63"/>
      <c r="N216" s="129"/>
      <c r="O216" s="129"/>
      <c r="P216" s="62">
        <f t="shared" si="28"/>
        <v>0</v>
      </c>
      <c r="IB216"/>
      <c r="IC216"/>
      <c r="ID216"/>
      <c r="IE216"/>
      <c r="IF216"/>
      <c r="IG216"/>
    </row>
    <row r="217" spans="1:241" s="1" customFormat="1" ht="22.5">
      <c r="A217" s="55" t="s">
        <v>149</v>
      </c>
      <c r="B217" s="59"/>
      <c r="C217" s="59"/>
      <c r="D217" s="62">
        <f>D209</f>
        <v>93.1</v>
      </c>
      <c r="E217" s="62"/>
      <c r="F217" s="62">
        <f>D217</f>
        <v>93.1</v>
      </c>
      <c r="G217" s="62">
        <f>G209</f>
        <v>93.1</v>
      </c>
      <c r="H217" s="62"/>
      <c r="I217" s="62"/>
      <c r="J217" s="62">
        <f t="shared" si="27"/>
        <v>93.1</v>
      </c>
      <c r="K217" s="63"/>
      <c r="L217" s="63"/>
      <c r="M217" s="63"/>
      <c r="N217" s="62">
        <f>N209</f>
        <v>93.1</v>
      </c>
      <c r="O217" s="62"/>
      <c r="P217" s="62">
        <f t="shared" si="28"/>
        <v>93.1</v>
      </c>
      <c r="IB217"/>
      <c r="IC217"/>
      <c r="ID217"/>
      <c r="IE217"/>
      <c r="IF217"/>
      <c r="IG217"/>
    </row>
    <row r="218" spans="1:241" s="1" customFormat="1" ht="22.5">
      <c r="A218" s="55" t="s">
        <v>327</v>
      </c>
      <c r="B218" s="59"/>
      <c r="C218" s="59"/>
      <c r="D218" s="62">
        <v>600</v>
      </c>
      <c r="E218" s="62"/>
      <c r="F218" s="62">
        <f>D218</f>
        <v>600</v>
      </c>
      <c r="G218" s="62">
        <v>700</v>
      </c>
      <c r="H218" s="62"/>
      <c r="I218" s="62"/>
      <c r="J218" s="62">
        <f t="shared" si="27"/>
        <v>700</v>
      </c>
      <c r="K218" s="63"/>
      <c r="L218" s="63"/>
      <c r="M218" s="63"/>
      <c r="N218" s="62">
        <v>800</v>
      </c>
      <c r="O218" s="62"/>
      <c r="P218" s="62">
        <f t="shared" si="28"/>
        <v>800</v>
      </c>
      <c r="IB218"/>
      <c r="IC218"/>
      <c r="ID218"/>
      <c r="IE218"/>
      <c r="IF218"/>
      <c r="IG218"/>
    </row>
    <row r="219" spans="1:241" s="1" customFormat="1" ht="21.75" customHeight="1">
      <c r="A219" s="55" t="s">
        <v>150</v>
      </c>
      <c r="B219" s="59"/>
      <c r="C219" s="59"/>
      <c r="D219" s="62">
        <v>1</v>
      </c>
      <c r="E219" s="62"/>
      <c r="F219" s="62">
        <v>1</v>
      </c>
      <c r="G219" s="62">
        <v>1</v>
      </c>
      <c r="H219" s="62"/>
      <c r="I219" s="62"/>
      <c r="J219" s="62">
        <f t="shared" si="27"/>
        <v>1</v>
      </c>
      <c r="K219" s="63"/>
      <c r="L219" s="63"/>
      <c r="M219" s="63"/>
      <c r="N219" s="62">
        <v>1</v>
      </c>
      <c r="O219" s="62"/>
      <c r="P219" s="62">
        <f t="shared" si="28"/>
        <v>1</v>
      </c>
      <c r="IB219"/>
      <c r="IC219"/>
      <c r="ID219"/>
      <c r="IE219"/>
      <c r="IF219"/>
      <c r="IG219"/>
    </row>
    <row r="220" spans="1:241" s="1" customFormat="1" ht="30.75" customHeight="1">
      <c r="A220" s="55" t="s">
        <v>77</v>
      </c>
      <c r="B220" s="59"/>
      <c r="C220" s="59"/>
      <c r="D220" s="62">
        <v>1</v>
      </c>
      <c r="E220" s="62"/>
      <c r="F220" s="62">
        <v>1</v>
      </c>
      <c r="G220" s="62"/>
      <c r="H220" s="62"/>
      <c r="I220" s="62"/>
      <c r="J220" s="62"/>
      <c r="K220" s="63"/>
      <c r="L220" s="63"/>
      <c r="M220" s="63"/>
      <c r="N220" s="62">
        <v>1</v>
      </c>
      <c r="O220" s="62"/>
      <c r="P220" s="62">
        <v>1</v>
      </c>
      <c r="IB220"/>
      <c r="IC220"/>
      <c r="ID220"/>
      <c r="IE220"/>
      <c r="IF220"/>
      <c r="IG220"/>
    </row>
    <row r="221" spans="1:241" s="1" customFormat="1" ht="30.75" customHeight="1">
      <c r="A221" s="55" t="s">
        <v>286</v>
      </c>
      <c r="B221" s="59"/>
      <c r="C221" s="59"/>
      <c r="D221" s="62"/>
      <c r="E221" s="62"/>
      <c r="F221" s="62"/>
      <c r="G221" s="62"/>
      <c r="H221" s="62">
        <v>1</v>
      </c>
      <c r="I221" s="62"/>
      <c r="J221" s="62">
        <v>1</v>
      </c>
      <c r="K221" s="63"/>
      <c r="L221" s="63"/>
      <c r="M221" s="63"/>
      <c r="N221" s="62"/>
      <c r="O221" s="62">
        <v>1</v>
      </c>
      <c r="P221" s="62">
        <f>O221</f>
        <v>1</v>
      </c>
      <c r="IB221"/>
      <c r="IC221"/>
      <c r="ID221"/>
      <c r="IE221"/>
      <c r="IF221"/>
      <c r="IG221"/>
    </row>
    <row r="222" spans="1:241" s="1" customFormat="1" ht="19.5" customHeight="1">
      <c r="A222" s="55" t="s">
        <v>31</v>
      </c>
      <c r="B222" s="59"/>
      <c r="C222" s="59"/>
      <c r="D222" s="62">
        <v>65</v>
      </c>
      <c r="E222" s="62"/>
      <c r="F222" s="62">
        <v>65</v>
      </c>
      <c r="G222" s="62">
        <v>55</v>
      </c>
      <c r="H222" s="62"/>
      <c r="I222" s="62"/>
      <c r="J222" s="62">
        <f>G222</f>
        <v>55</v>
      </c>
      <c r="K222" s="63"/>
      <c r="L222" s="63"/>
      <c r="M222" s="63"/>
      <c r="N222" s="62">
        <v>63</v>
      </c>
      <c r="O222" s="62"/>
      <c r="P222" s="62">
        <f>N222</f>
        <v>63</v>
      </c>
      <c r="IB222"/>
      <c r="IC222"/>
      <c r="ID222"/>
      <c r="IE222"/>
      <c r="IF222"/>
      <c r="IG222"/>
    </row>
    <row r="223" spans="1:241" s="1" customFormat="1" ht="22.5" customHeight="1">
      <c r="A223" s="55" t="s">
        <v>32</v>
      </c>
      <c r="B223" s="59"/>
      <c r="C223" s="59"/>
      <c r="D223" s="62">
        <v>34</v>
      </c>
      <c r="E223" s="62"/>
      <c r="F223" s="62">
        <v>34</v>
      </c>
      <c r="G223" s="62">
        <v>34</v>
      </c>
      <c r="H223" s="62"/>
      <c r="I223" s="62"/>
      <c r="J223" s="62">
        <f>G223</f>
        <v>34</v>
      </c>
      <c r="K223" s="63"/>
      <c r="L223" s="63"/>
      <c r="M223" s="63"/>
      <c r="N223" s="62">
        <v>64</v>
      </c>
      <c r="O223" s="62"/>
      <c r="P223" s="62">
        <f>N223</f>
        <v>64</v>
      </c>
      <c r="IB223"/>
      <c r="IC223"/>
      <c r="ID223"/>
      <c r="IE223"/>
      <c r="IF223"/>
      <c r="IG223"/>
    </row>
    <row r="224" spans="1:241" s="1" customFormat="1" ht="22.5" customHeight="1">
      <c r="A224" s="55" t="s">
        <v>33</v>
      </c>
      <c r="B224" s="59"/>
      <c r="C224" s="59"/>
      <c r="D224" s="62">
        <v>30</v>
      </c>
      <c r="E224" s="62"/>
      <c r="F224" s="62">
        <v>30</v>
      </c>
      <c r="G224" s="62">
        <v>37</v>
      </c>
      <c r="H224" s="62"/>
      <c r="I224" s="62"/>
      <c r="J224" s="62">
        <f>G224</f>
        <v>37</v>
      </c>
      <c r="K224" s="63"/>
      <c r="L224" s="63"/>
      <c r="M224" s="63"/>
      <c r="N224" s="62">
        <v>40</v>
      </c>
      <c r="O224" s="62"/>
      <c r="P224" s="62">
        <f>N224</f>
        <v>40</v>
      </c>
      <c r="IB224"/>
      <c r="IC224"/>
      <c r="ID224"/>
      <c r="IE224"/>
      <c r="IF224"/>
      <c r="IG224"/>
    </row>
    <row r="225" spans="1:241" s="1" customFormat="1" ht="12" customHeight="1">
      <c r="A225" s="55" t="s">
        <v>26</v>
      </c>
      <c r="B225" s="59"/>
      <c r="C225" s="59"/>
      <c r="D225" s="62">
        <v>347</v>
      </c>
      <c r="E225" s="62"/>
      <c r="F225" s="62">
        <v>347</v>
      </c>
      <c r="G225" s="62">
        <v>125</v>
      </c>
      <c r="H225" s="62"/>
      <c r="I225" s="62"/>
      <c r="J225" s="62">
        <f>G225</f>
        <v>125</v>
      </c>
      <c r="K225" s="63"/>
      <c r="L225" s="63"/>
      <c r="M225" s="63"/>
      <c r="N225" s="62">
        <v>125</v>
      </c>
      <c r="O225" s="62"/>
      <c r="P225" s="62">
        <f>N225</f>
        <v>125</v>
      </c>
      <c r="IB225"/>
      <c r="IC225"/>
      <c r="ID225"/>
      <c r="IE225"/>
      <c r="IF225"/>
      <c r="IG225"/>
    </row>
    <row r="226" spans="1:241" s="1" customFormat="1" ht="22.5" customHeight="1">
      <c r="A226" s="55" t="s">
        <v>34</v>
      </c>
      <c r="B226" s="59"/>
      <c r="C226" s="59"/>
      <c r="D226" s="62"/>
      <c r="E226" s="62"/>
      <c r="F226" s="62"/>
      <c r="G226" s="62">
        <v>984.5</v>
      </c>
      <c r="H226" s="62"/>
      <c r="I226" s="62"/>
      <c r="J226" s="62">
        <v>984.5</v>
      </c>
      <c r="K226" s="63"/>
      <c r="L226" s="63"/>
      <c r="M226" s="63"/>
      <c r="N226" s="62">
        <v>984.5</v>
      </c>
      <c r="O226" s="62"/>
      <c r="P226" s="62">
        <v>984.5</v>
      </c>
      <c r="IB226"/>
      <c r="IC226"/>
      <c r="ID226"/>
      <c r="IE226"/>
      <c r="IF226"/>
      <c r="IG226"/>
    </row>
    <row r="227" spans="1:241" s="1" customFormat="1" ht="22.5" customHeight="1">
      <c r="A227" s="55" t="s">
        <v>368</v>
      </c>
      <c r="B227" s="59"/>
      <c r="C227" s="59"/>
      <c r="D227" s="62"/>
      <c r="E227" s="62"/>
      <c r="F227" s="62"/>
      <c r="G227" s="62">
        <v>8500</v>
      </c>
      <c r="H227" s="62"/>
      <c r="I227" s="62"/>
      <c r="J227" s="62"/>
      <c r="K227" s="63"/>
      <c r="L227" s="63"/>
      <c r="M227" s="63"/>
      <c r="N227" s="62">
        <v>9715</v>
      </c>
      <c r="O227" s="62"/>
      <c r="P227" s="62"/>
      <c r="IB227"/>
      <c r="IC227"/>
      <c r="ID227"/>
      <c r="IE227"/>
      <c r="IF227"/>
      <c r="IG227"/>
    </row>
    <row r="228" spans="1:241" s="1" customFormat="1" ht="22.5" customHeight="1">
      <c r="A228" s="55" t="s">
        <v>364</v>
      </c>
      <c r="B228" s="59"/>
      <c r="C228" s="59"/>
      <c r="D228" s="62"/>
      <c r="E228" s="62"/>
      <c r="F228" s="62"/>
      <c r="G228" s="62"/>
      <c r="H228" s="62"/>
      <c r="I228" s="62"/>
      <c r="J228" s="62"/>
      <c r="K228" s="63"/>
      <c r="L228" s="63"/>
      <c r="M228" s="63"/>
      <c r="N228" s="62"/>
      <c r="O228" s="62">
        <v>13600</v>
      </c>
      <c r="P228" s="62">
        <f>O228</f>
        <v>13600</v>
      </c>
      <c r="IB228"/>
      <c r="IC228"/>
      <c r="ID228"/>
      <c r="IE228"/>
      <c r="IF228"/>
      <c r="IG228"/>
    </row>
    <row r="229" spans="1:241" s="1" customFormat="1" ht="12">
      <c r="A229" s="54" t="s">
        <v>7</v>
      </c>
      <c r="B229" s="61"/>
      <c r="C229" s="61"/>
      <c r="D229" s="129"/>
      <c r="E229" s="129"/>
      <c r="F229" s="129"/>
      <c r="G229" s="129"/>
      <c r="H229" s="129"/>
      <c r="I229" s="129"/>
      <c r="J229" s="62"/>
      <c r="K229" s="63"/>
      <c r="L229" s="63"/>
      <c r="M229" s="63"/>
      <c r="N229" s="129"/>
      <c r="O229" s="129"/>
      <c r="P229" s="62"/>
      <c r="IB229"/>
      <c r="IC229"/>
      <c r="ID229"/>
      <c r="IE229"/>
      <c r="IF229"/>
      <c r="IG229"/>
    </row>
    <row r="230" spans="1:241" s="1" customFormat="1" ht="22.5">
      <c r="A230" s="55" t="s">
        <v>151</v>
      </c>
      <c r="B230" s="59"/>
      <c r="C230" s="59"/>
      <c r="D230" s="62">
        <v>48335</v>
      </c>
      <c r="E230" s="62"/>
      <c r="F230" s="62">
        <f>D230</f>
        <v>48335</v>
      </c>
      <c r="G230" s="62">
        <v>59076</v>
      </c>
      <c r="H230" s="62"/>
      <c r="I230" s="62"/>
      <c r="J230" s="62">
        <f>G230</f>
        <v>59076</v>
      </c>
      <c r="K230" s="63"/>
      <c r="L230" s="63"/>
      <c r="M230" s="63"/>
      <c r="N230" s="62">
        <v>68503</v>
      </c>
      <c r="O230" s="62"/>
      <c r="P230" s="62">
        <f>N230</f>
        <v>68503</v>
      </c>
      <c r="IB230"/>
      <c r="IC230"/>
      <c r="ID230"/>
      <c r="IE230"/>
      <c r="IF230"/>
      <c r="IG230"/>
    </row>
    <row r="231" spans="1:241" s="1" customFormat="1" ht="22.5" customHeight="1">
      <c r="A231" s="55" t="s">
        <v>56</v>
      </c>
      <c r="B231" s="59"/>
      <c r="C231" s="59"/>
      <c r="D231" s="62">
        <v>6000</v>
      </c>
      <c r="E231" s="62"/>
      <c r="F231" s="62">
        <f>D231</f>
        <v>6000</v>
      </c>
      <c r="G231" s="62">
        <v>10000</v>
      </c>
      <c r="H231" s="62"/>
      <c r="I231" s="62"/>
      <c r="J231" s="62">
        <f>G231</f>
        <v>10000</v>
      </c>
      <c r="K231" s="63"/>
      <c r="L231" s="63"/>
      <c r="M231" s="63"/>
      <c r="N231" s="62">
        <v>10000</v>
      </c>
      <c r="O231" s="62"/>
      <c r="P231" s="62">
        <f>N231</f>
        <v>10000</v>
      </c>
      <c r="IB231"/>
      <c r="IC231"/>
      <c r="ID231"/>
      <c r="IE231"/>
      <c r="IF231"/>
      <c r="IG231"/>
    </row>
    <row r="232" spans="1:241" s="1" customFormat="1" ht="24.75" customHeight="1">
      <c r="A232" s="55" t="s">
        <v>152</v>
      </c>
      <c r="B232" s="59"/>
      <c r="C232" s="59"/>
      <c r="D232" s="62">
        <v>2850</v>
      </c>
      <c r="E232" s="62"/>
      <c r="F232" s="62">
        <f>D232</f>
        <v>2850</v>
      </c>
      <c r="G232" s="62">
        <v>2943</v>
      </c>
      <c r="H232" s="62"/>
      <c r="I232" s="62"/>
      <c r="J232" s="62">
        <f>G232</f>
        <v>2943</v>
      </c>
      <c r="K232" s="63"/>
      <c r="L232" s="63"/>
      <c r="M232" s="63"/>
      <c r="N232" s="62">
        <v>3800</v>
      </c>
      <c r="O232" s="62"/>
      <c r="P232" s="62">
        <f>N232</f>
        <v>3800</v>
      </c>
      <c r="IB232"/>
      <c r="IC232"/>
      <c r="ID232"/>
      <c r="IE232"/>
      <c r="IF232"/>
      <c r="IG232"/>
    </row>
    <row r="233" spans="1:241" s="1" customFormat="1" ht="22.5">
      <c r="A233" s="55" t="s">
        <v>153</v>
      </c>
      <c r="B233" s="59"/>
      <c r="C233" s="59"/>
      <c r="D233" s="62">
        <v>140000</v>
      </c>
      <c r="E233" s="62"/>
      <c r="F233" s="62">
        <f>D233</f>
        <v>140000</v>
      </c>
      <c r="G233" s="62">
        <v>170000</v>
      </c>
      <c r="H233" s="62"/>
      <c r="I233" s="62"/>
      <c r="J233" s="62">
        <f>G233</f>
        <v>170000</v>
      </c>
      <c r="K233" s="63"/>
      <c r="L233" s="63"/>
      <c r="M233" s="63"/>
      <c r="N233" s="62">
        <v>200000</v>
      </c>
      <c r="O233" s="62"/>
      <c r="P233" s="62">
        <f>N233</f>
        <v>200000</v>
      </c>
      <c r="IB233"/>
      <c r="IC233"/>
      <c r="ID233"/>
      <c r="IE233"/>
      <c r="IF233"/>
      <c r="IG233"/>
    </row>
    <row r="234" spans="1:241" s="1" customFormat="1" ht="14.25" customHeight="1">
      <c r="A234" s="55" t="s">
        <v>366</v>
      </c>
      <c r="B234" s="59"/>
      <c r="C234" s="59"/>
      <c r="D234" s="62"/>
      <c r="E234" s="62"/>
      <c r="F234" s="62"/>
      <c r="G234" s="62">
        <v>1900</v>
      </c>
      <c r="H234" s="62"/>
      <c r="I234" s="62"/>
      <c r="J234" s="62">
        <f>G234</f>
        <v>1900</v>
      </c>
      <c r="K234" s="63"/>
      <c r="L234" s="63"/>
      <c r="M234" s="63"/>
      <c r="N234" s="62">
        <v>2200</v>
      </c>
      <c r="O234" s="62"/>
      <c r="P234" s="62">
        <f>N234</f>
        <v>2200</v>
      </c>
      <c r="IB234"/>
      <c r="IC234"/>
      <c r="ID234"/>
      <c r="IE234"/>
      <c r="IF234"/>
      <c r="IG234"/>
    </row>
    <row r="235" spans="1:241" s="1" customFormat="1" ht="22.5">
      <c r="A235" s="55" t="s">
        <v>287</v>
      </c>
      <c r="B235" s="59"/>
      <c r="C235" s="59"/>
      <c r="D235" s="62"/>
      <c r="E235" s="62"/>
      <c r="F235" s="62"/>
      <c r="G235" s="62"/>
      <c r="H235" s="62">
        <v>120000</v>
      </c>
      <c r="I235" s="62"/>
      <c r="J235" s="62"/>
      <c r="K235" s="63"/>
      <c r="L235" s="63"/>
      <c r="M235" s="63"/>
      <c r="N235" s="62"/>
      <c r="O235" s="62">
        <v>174000</v>
      </c>
      <c r="P235" s="62">
        <f>O235</f>
        <v>174000</v>
      </c>
      <c r="IB235"/>
      <c r="IC235"/>
      <c r="ID235"/>
      <c r="IE235"/>
      <c r="IF235"/>
      <c r="IG235"/>
    </row>
    <row r="236" spans="1:241" s="1" customFormat="1" ht="15" customHeight="1">
      <c r="A236" s="55" t="s">
        <v>27</v>
      </c>
      <c r="B236" s="59"/>
      <c r="C236" s="59"/>
      <c r="D236" s="62">
        <v>580</v>
      </c>
      <c r="E236" s="62"/>
      <c r="F236" s="62">
        <v>580</v>
      </c>
      <c r="G236" s="62">
        <v>663.1</v>
      </c>
      <c r="H236" s="62"/>
      <c r="I236" s="62"/>
      <c r="J236" s="62">
        <f>G236</f>
        <v>663.1</v>
      </c>
      <c r="K236" s="63"/>
      <c r="L236" s="63"/>
      <c r="M236" s="63"/>
      <c r="N236" s="62">
        <v>663.1</v>
      </c>
      <c r="O236" s="62"/>
      <c r="P236" s="62">
        <f>N236</f>
        <v>663.1</v>
      </c>
      <c r="IB236"/>
      <c r="IC236"/>
      <c r="ID236"/>
      <c r="IE236"/>
      <c r="IF236"/>
      <c r="IG236"/>
    </row>
    <row r="237" spans="1:241" s="1" customFormat="1" ht="22.5" customHeight="1">
      <c r="A237" s="55" t="s">
        <v>35</v>
      </c>
      <c r="B237" s="59"/>
      <c r="C237" s="59"/>
      <c r="D237" s="62">
        <v>778</v>
      </c>
      <c r="E237" s="62"/>
      <c r="F237" s="62">
        <v>778</v>
      </c>
      <c r="G237" s="62">
        <v>691.86</v>
      </c>
      <c r="H237" s="62"/>
      <c r="I237" s="62"/>
      <c r="J237" s="62">
        <f>G237</f>
        <v>691.86</v>
      </c>
      <c r="K237" s="63"/>
      <c r="L237" s="63"/>
      <c r="M237" s="63"/>
      <c r="N237" s="62">
        <v>705</v>
      </c>
      <c r="O237" s="62"/>
      <c r="P237" s="62">
        <f>N237</f>
        <v>705</v>
      </c>
      <c r="IB237"/>
      <c r="IC237"/>
      <c r="ID237"/>
      <c r="IE237"/>
      <c r="IF237"/>
      <c r="IG237"/>
    </row>
    <row r="238" spans="1:241" s="1" customFormat="1" ht="22.5" customHeight="1">
      <c r="A238" s="55" t="s">
        <v>36</v>
      </c>
      <c r="B238" s="59"/>
      <c r="C238" s="59"/>
      <c r="D238" s="62">
        <v>23.66</v>
      </c>
      <c r="E238" s="62"/>
      <c r="F238" s="62">
        <v>23.66</v>
      </c>
      <c r="G238" s="62">
        <v>22.01</v>
      </c>
      <c r="H238" s="62"/>
      <c r="I238" s="62"/>
      <c r="J238" s="62">
        <f>G238</f>
        <v>22.01</v>
      </c>
      <c r="K238" s="63"/>
      <c r="L238" s="63"/>
      <c r="M238" s="63"/>
      <c r="N238" s="62">
        <v>22.01</v>
      </c>
      <c r="O238" s="62"/>
      <c r="P238" s="62">
        <f>N238</f>
        <v>22.01</v>
      </c>
      <c r="IB238"/>
      <c r="IC238"/>
      <c r="ID238"/>
      <c r="IE238"/>
      <c r="IF238"/>
      <c r="IG238"/>
    </row>
    <row r="239" spans="1:241" s="1" customFormat="1" ht="22.5" customHeight="1">
      <c r="A239" s="55" t="s">
        <v>37</v>
      </c>
      <c r="B239" s="59"/>
      <c r="C239" s="59"/>
      <c r="D239" s="62">
        <v>329</v>
      </c>
      <c r="E239" s="62"/>
      <c r="F239" s="62">
        <v>329</v>
      </c>
      <c r="G239" s="62">
        <v>160.11</v>
      </c>
      <c r="H239" s="62"/>
      <c r="I239" s="62"/>
      <c r="J239" s="62">
        <f>G239</f>
        <v>160.11</v>
      </c>
      <c r="K239" s="63"/>
      <c r="L239" s="63"/>
      <c r="M239" s="63"/>
      <c r="N239" s="62">
        <v>160.11</v>
      </c>
      <c r="O239" s="62"/>
      <c r="P239" s="62">
        <f>N239</f>
        <v>160.11</v>
      </c>
      <c r="IB239"/>
      <c r="IC239"/>
      <c r="ID239"/>
      <c r="IE239"/>
      <c r="IF239"/>
      <c r="IG239"/>
    </row>
    <row r="240" spans="1:241" s="1" customFormat="1" ht="38.25" customHeight="1">
      <c r="A240" s="55" t="s">
        <v>81</v>
      </c>
      <c r="B240" s="59"/>
      <c r="C240" s="59"/>
      <c r="D240" s="62">
        <v>50000</v>
      </c>
      <c r="E240" s="62"/>
      <c r="F240" s="62">
        <f>D240</f>
        <v>50000</v>
      </c>
      <c r="G240" s="62"/>
      <c r="H240" s="62"/>
      <c r="I240" s="62"/>
      <c r="J240" s="62"/>
      <c r="K240" s="63"/>
      <c r="L240" s="63"/>
      <c r="M240" s="63"/>
      <c r="N240" s="62">
        <f>N212</f>
        <v>0</v>
      </c>
      <c r="O240" s="62"/>
      <c r="P240" s="62">
        <f>N240</f>
        <v>0</v>
      </c>
      <c r="IB240"/>
      <c r="IC240"/>
      <c r="ID240"/>
      <c r="IE240"/>
      <c r="IF240"/>
      <c r="IG240"/>
    </row>
    <row r="241" spans="1:241" s="1" customFormat="1" ht="24.75" customHeight="1">
      <c r="A241" s="55" t="s">
        <v>367</v>
      </c>
      <c r="B241" s="59"/>
      <c r="C241" s="59"/>
      <c r="D241" s="62"/>
      <c r="E241" s="62"/>
      <c r="F241" s="62"/>
      <c r="G241" s="62">
        <v>261.4118035</v>
      </c>
      <c r="H241" s="62"/>
      <c r="I241" s="62"/>
      <c r="J241" s="62"/>
      <c r="K241" s="63"/>
      <c r="L241" s="63"/>
      <c r="M241" s="63"/>
      <c r="N241" s="62">
        <v>284.06034997</v>
      </c>
      <c r="O241" s="62"/>
      <c r="P241" s="62"/>
      <c r="IB241"/>
      <c r="IC241"/>
      <c r="ID241"/>
      <c r="IE241"/>
      <c r="IF241"/>
      <c r="IG241"/>
    </row>
    <row r="242" spans="1:241" s="1" customFormat="1" ht="27.75" customHeight="1">
      <c r="A242" s="55" t="s">
        <v>365</v>
      </c>
      <c r="B242" s="59"/>
      <c r="C242" s="59"/>
      <c r="D242" s="62"/>
      <c r="E242" s="62"/>
      <c r="F242" s="62"/>
      <c r="G242" s="62"/>
      <c r="H242" s="62"/>
      <c r="I242" s="62"/>
      <c r="J242" s="62"/>
      <c r="K242" s="63"/>
      <c r="L242" s="63"/>
      <c r="M242" s="63"/>
      <c r="N242" s="62"/>
      <c r="O242" s="62">
        <v>500</v>
      </c>
      <c r="P242" s="62">
        <f>O242</f>
        <v>500</v>
      </c>
      <c r="IB242"/>
      <c r="IC242"/>
      <c r="ID242"/>
      <c r="IE242"/>
      <c r="IF242"/>
      <c r="IG242"/>
    </row>
    <row r="243" spans="1:241" s="1" customFormat="1" ht="12" customHeight="1">
      <c r="A243" s="54" t="s">
        <v>6</v>
      </c>
      <c r="B243" s="59"/>
      <c r="C243" s="59"/>
      <c r="D243" s="62"/>
      <c r="E243" s="62"/>
      <c r="F243" s="62"/>
      <c r="G243" s="62"/>
      <c r="H243" s="62"/>
      <c r="I243" s="62"/>
      <c r="J243" s="62"/>
      <c r="K243" s="63"/>
      <c r="L243" s="63"/>
      <c r="M243" s="63"/>
      <c r="N243" s="62"/>
      <c r="O243" s="62"/>
      <c r="P243" s="62"/>
      <c r="IB243"/>
      <c r="IC243"/>
      <c r="ID243"/>
      <c r="IE243"/>
      <c r="IF243"/>
      <c r="IG243"/>
    </row>
    <row r="244" spans="1:241" s="1" customFormat="1" ht="33.75">
      <c r="A244" s="55" t="s">
        <v>155</v>
      </c>
      <c r="B244" s="59"/>
      <c r="C244" s="59"/>
      <c r="D244" s="62">
        <f>D217/D209*100</f>
        <v>100</v>
      </c>
      <c r="E244" s="62"/>
      <c r="F244" s="62">
        <f>F217/F209*100</f>
        <v>100</v>
      </c>
      <c r="G244" s="62">
        <f>G217/G209*100</f>
        <v>100</v>
      </c>
      <c r="H244" s="62"/>
      <c r="I244" s="62"/>
      <c r="J244" s="62">
        <f>J217/J209*100</f>
        <v>100</v>
      </c>
      <c r="K244" s="62" t="e">
        <f>K217/K209*100</f>
        <v>#DIV/0!</v>
      </c>
      <c r="L244" s="62" t="e">
        <f>L217/L209*100</f>
        <v>#DIV/0!</v>
      </c>
      <c r="M244" s="62" t="e">
        <f>M217/M209*100</f>
        <v>#DIV/0!</v>
      </c>
      <c r="N244" s="62">
        <f>N217/N209*100</f>
        <v>100</v>
      </c>
      <c r="O244" s="62"/>
      <c r="P244" s="62">
        <f>P217/P209*100</f>
        <v>100</v>
      </c>
      <c r="IB244"/>
      <c r="IC244"/>
      <c r="ID244"/>
      <c r="IE244"/>
      <c r="IF244"/>
      <c r="IG244"/>
    </row>
    <row r="245" spans="1:241" s="1" customFormat="1" ht="29.25" customHeight="1">
      <c r="A245" s="55" t="s">
        <v>154</v>
      </c>
      <c r="B245" s="59"/>
      <c r="C245" s="59"/>
      <c r="D245" s="62"/>
      <c r="E245" s="62"/>
      <c r="F245" s="62"/>
      <c r="G245" s="62">
        <f>G232/D232*100</f>
        <v>103.26315789473684</v>
      </c>
      <c r="H245" s="62"/>
      <c r="I245" s="62"/>
      <c r="J245" s="62">
        <f>J232/F232*100</f>
        <v>103.26315789473684</v>
      </c>
      <c r="K245" s="63"/>
      <c r="L245" s="63"/>
      <c r="M245" s="63"/>
      <c r="N245" s="62">
        <f>N232/G232*100</f>
        <v>129.1199456337071</v>
      </c>
      <c r="O245" s="62"/>
      <c r="P245" s="62">
        <f>P232/J232*100</f>
        <v>129.1199456337071</v>
      </c>
      <c r="IB245"/>
      <c r="IC245"/>
      <c r="ID245"/>
      <c r="IE245"/>
      <c r="IF245"/>
      <c r="IG245"/>
    </row>
    <row r="246" spans="1:241" s="1" customFormat="1" ht="38.25" customHeight="1">
      <c r="A246" s="55" t="s">
        <v>156</v>
      </c>
      <c r="B246" s="59"/>
      <c r="C246" s="59"/>
      <c r="D246" s="62"/>
      <c r="E246" s="62"/>
      <c r="F246" s="62"/>
      <c r="G246" s="62">
        <f>G233/D233*100</f>
        <v>121.42857142857142</v>
      </c>
      <c r="H246" s="62"/>
      <c r="I246" s="62"/>
      <c r="J246" s="62">
        <f>J233/F233*100</f>
        <v>121.42857142857142</v>
      </c>
      <c r="K246" s="63"/>
      <c r="L246" s="63"/>
      <c r="M246" s="63"/>
      <c r="N246" s="62">
        <f>N233/G233*100</f>
        <v>117.64705882352942</v>
      </c>
      <c r="O246" s="62"/>
      <c r="P246" s="62">
        <f>P233/J233*100</f>
        <v>117.64705882352942</v>
      </c>
      <c r="IB246"/>
      <c r="IC246"/>
      <c r="ID246"/>
      <c r="IE246"/>
      <c r="IF246"/>
      <c r="IG246"/>
    </row>
    <row r="247" spans="1:241" s="91" customFormat="1" ht="22.5">
      <c r="A247" s="82" t="s">
        <v>370</v>
      </c>
      <c r="B247" s="88"/>
      <c r="C247" s="88"/>
      <c r="D247" s="89">
        <f>(D249*D254)+(D250*D255)+(D251*D256)-110.1</f>
        <v>1035000</v>
      </c>
      <c r="E247" s="89"/>
      <c r="F247" s="89">
        <f>(F249*F254)+(F250*F255)+(F251*F256)-110.1</f>
        <v>1035000</v>
      </c>
      <c r="G247" s="89">
        <f>(G249*G254)+(G250*G255)+(G251*G256)+G252*G257</f>
        <v>1505079.9953947999</v>
      </c>
      <c r="H247" s="89"/>
      <c r="I247" s="89"/>
      <c r="J247" s="89">
        <f>G247</f>
        <v>1505079.9953947999</v>
      </c>
      <c r="K247" s="89">
        <f>(K249*K254)+(K250*K255)+(K251*K256)-110.1</f>
        <v>-110.1</v>
      </c>
      <c r="L247" s="89">
        <f>(L249*L254)+(L250*L255)+(L251*L256)-110.1</f>
        <v>-110.1</v>
      </c>
      <c r="M247" s="89">
        <f>(M249*M254)+(M250*M255)+(M251*M256)-110.1</f>
        <v>-110.1</v>
      </c>
      <c r="N247" s="89">
        <f>(N249*N254)+(N250*N255)+(N252*N257)</f>
        <v>1769999.9999953748</v>
      </c>
      <c r="O247" s="89"/>
      <c r="P247" s="89">
        <f>N247</f>
        <v>1769999.9999953748</v>
      </c>
      <c r="IB247" s="92"/>
      <c r="IC247" s="92"/>
      <c r="ID247" s="92"/>
      <c r="IE247" s="92"/>
      <c r="IF247" s="92"/>
      <c r="IG247" s="92"/>
    </row>
    <row r="248" spans="1:241" s="1" customFormat="1" ht="11.25">
      <c r="A248" s="54" t="s">
        <v>5</v>
      </c>
      <c r="B248" s="61"/>
      <c r="C248" s="61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IB248"/>
      <c r="IC248"/>
      <c r="ID248"/>
      <c r="IE248"/>
      <c r="IF248"/>
      <c r="IG248"/>
    </row>
    <row r="249" spans="1:241" s="1" customFormat="1" ht="22.5" customHeight="1">
      <c r="A249" s="55" t="s">
        <v>135</v>
      </c>
      <c r="B249" s="59"/>
      <c r="C249" s="59"/>
      <c r="D249" s="62">
        <v>167170</v>
      </c>
      <c r="E249" s="62"/>
      <c r="F249" s="62">
        <f>D249</f>
        <v>167170</v>
      </c>
      <c r="G249" s="62">
        <f>F249</f>
        <v>167170</v>
      </c>
      <c r="H249" s="62"/>
      <c r="I249" s="62"/>
      <c r="J249" s="62">
        <f>G249</f>
        <v>167170</v>
      </c>
      <c r="K249" s="63"/>
      <c r="L249" s="63"/>
      <c r="M249" s="63"/>
      <c r="N249" s="62">
        <f>G249</f>
        <v>167170</v>
      </c>
      <c r="O249" s="62"/>
      <c r="P249" s="62">
        <f>N249</f>
        <v>167170</v>
      </c>
      <c r="IB249"/>
      <c r="IC249"/>
      <c r="ID249"/>
      <c r="IE249"/>
      <c r="IF249"/>
      <c r="IG249"/>
    </row>
    <row r="250" spans="1:241" s="1" customFormat="1" ht="22.5" hidden="1">
      <c r="A250" s="55" t="s">
        <v>158</v>
      </c>
      <c r="B250" s="59"/>
      <c r="C250" s="59"/>
      <c r="D250" s="62">
        <v>160</v>
      </c>
      <c r="E250" s="62"/>
      <c r="F250" s="62">
        <f>D250</f>
        <v>160</v>
      </c>
      <c r="G250" s="62"/>
      <c r="H250" s="62"/>
      <c r="I250" s="62"/>
      <c r="J250" s="62"/>
      <c r="K250" s="63"/>
      <c r="L250" s="63"/>
      <c r="M250" s="63"/>
      <c r="N250" s="62"/>
      <c r="O250" s="62"/>
      <c r="P250" s="62"/>
      <c r="IB250"/>
      <c r="IC250"/>
      <c r="ID250"/>
      <c r="IE250"/>
      <c r="IF250"/>
      <c r="IG250"/>
    </row>
    <row r="251" spans="1:241" s="1" customFormat="1" ht="33" customHeight="1">
      <c r="A251" s="55" t="s">
        <v>340</v>
      </c>
      <c r="B251" s="59"/>
      <c r="C251" s="59"/>
      <c r="D251" s="62">
        <v>4600</v>
      </c>
      <c r="E251" s="62"/>
      <c r="F251" s="62">
        <f>D251</f>
        <v>4600</v>
      </c>
      <c r="G251" s="62">
        <v>4994</v>
      </c>
      <c r="H251" s="62"/>
      <c r="I251" s="62"/>
      <c r="J251" s="62">
        <f>G251</f>
        <v>4994</v>
      </c>
      <c r="K251" s="63"/>
      <c r="L251" s="63"/>
      <c r="M251" s="63"/>
      <c r="N251" s="62"/>
      <c r="O251" s="62"/>
      <c r="P251" s="62">
        <f>N251</f>
        <v>0</v>
      </c>
      <c r="IB251"/>
      <c r="IC251"/>
      <c r="ID251"/>
      <c r="IE251"/>
      <c r="IF251"/>
      <c r="IG251"/>
    </row>
    <row r="252" spans="1:241" s="1" customFormat="1" ht="45">
      <c r="A252" s="55" t="s">
        <v>331</v>
      </c>
      <c r="B252" s="59"/>
      <c r="C252" s="59"/>
      <c r="D252" s="62"/>
      <c r="E252" s="62"/>
      <c r="F252" s="62"/>
      <c r="G252" s="62">
        <v>2510</v>
      </c>
      <c r="H252" s="62"/>
      <c r="I252" s="62"/>
      <c r="J252" s="62">
        <f>G252</f>
        <v>2510</v>
      </c>
      <c r="K252" s="63"/>
      <c r="L252" s="63"/>
      <c r="M252" s="63"/>
      <c r="N252" s="62">
        <v>5431</v>
      </c>
      <c r="O252" s="62"/>
      <c r="P252" s="62"/>
      <c r="IB252"/>
      <c r="IC252"/>
      <c r="ID252"/>
      <c r="IE252"/>
      <c r="IF252"/>
      <c r="IG252"/>
    </row>
    <row r="253" spans="1:241" s="1" customFormat="1" ht="12">
      <c r="A253" s="54" t="s">
        <v>7</v>
      </c>
      <c r="B253" s="61"/>
      <c r="C253" s="61"/>
      <c r="D253" s="129"/>
      <c r="E253" s="129"/>
      <c r="F253" s="62"/>
      <c r="G253" s="129"/>
      <c r="H253" s="129"/>
      <c r="I253" s="129"/>
      <c r="J253" s="62"/>
      <c r="K253" s="63"/>
      <c r="L253" s="63"/>
      <c r="M253" s="63"/>
      <c r="N253" s="129"/>
      <c r="O253" s="129"/>
      <c r="P253" s="62"/>
      <c r="IB253"/>
      <c r="IC253"/>
      <c r="ID253"/>
      <c r="IE253"/>
      <c r="IF253"/>
      <c r="IG253"/>
    </row>
    <row r="254" spans="1:241" s="1" customFormat="1" ht="23.25" customHeight="1">
      <c r="A254" s="55" t="s">
        <v>141</v>
      </c>
      <c r="B254" s="59"/>
      <c r="C254" s="59"/>
      <c r="D254" s="62">
        <v>3.53</v>
      </c>
      <c r="E254" s="62"/>
      <c r="F254" s="62">
        <f>D254</f>
        <v>3.53</v>
      </c>
      <c r="G254" s="62">
        <v>4.22</v>
      </c>
      <c r="H254" s="62"/>
      <c r="I254" s="62"/>
      <c r="J254" s="62">
        <f>G254</f>
        <v>4.22</v>
      </c>
      <c r="K254" s="63"/>
      <c r="L254" s="63"/>
      <c r="M254" s="63"/>
      <c r="N254" s="62">
        <v>5.86229586648</v>
      </c>
      <c r="O254" s="62"/>
      <c r="P254" s="62">
        <f>N254</f>
        <v>5.86229586648</v>
      </c>
      <c r="IB254"/>
      <c r="IC254"/>
      <c r="ID254"/>
      <c r="IE254"/>
      <c r="IF254"/>
      <c r="IG254"/>
    </row>
    <row r="255" spans="1:241" s="1" customFormat="1" ht="12" hidden="1">
      <c r="A255" s="55" t="s">
        <v>159</v>
      </c>
      <c r="B255" s="59"/>
      <c r="C255" s="59"/>
      <c r="D255" s="62">
        <v>625</v>
      </c>
      <c r="E255" s="62"/>
      <c r="F255" s="62">
        <f>D255</f>
        <v>625</v>
      </c>
      <c r="G255" s="62"/>
      <c r="H255" s="62"/>
      <c r="I255" s="62"/>
      <c r="J255" s="62"/>
      <c r="K255" s="63"/>
      <c r="L255" s="63"/>
      <c r="M255" s="63"/>
      <c r="N255" s="62"/>
      <c r="O255" s="62"/>
      <c r="P255" s="62"/>
      <c r="IB255"/>
      <c r="IC255"/>
      <c r="ID255"/>
      <c r="IE255"/>
      <c r="IF255"/>
      <c r="IG255"/>
    </row>
    <row r="256" spans="1:241" s="1" customFormat="1" ht="36" customHeight="1">
      <c r="A256" s="55" t="s">
        <v>341</v>
      </c>
      <c r="B256" s="59"/>
      <c r="C256" s="59"/>
      <c r="D256" s="62">
        <v>75</v>
      </c>
      <c r="E256" s="62"/>
      <c r="F256" s="62">
        <f>D256</f>
        <v>75</v>
      </c>
      <c r="G256" s="62">
        <v>87.0129342</v>
      </c>
      <c r="H256" s="62"/>
      <c r="I256" s="62"/>
      <c r="J256" s="62">
        <f>G256</f>
        <v>87.0129342</v>
      </c>
      <c r="K256" s="63"/>
      <c r="L256" s="63"/>
      <c r="M256" s="63"/>
      <c r="N256" s="62"/>
      <c r="O256" s="62"/>
      <c r="P256" s="62">
        <f>N256</f>
        <v>0</v>
      </c>
      <c r="IB256"/>
      <c r="IC256"/>
      <c r="ID256"/>
      <c r="IE256"/>
      <c r="IF256"/>
      <c r="IG256"/>
    </row>
    <row r="257" spans="1:241" s="1" customFormat="1" ht="45">
      <c r="A257" s="55" t="s">
        <v>332</v>
      </c>
      <c r="B257" s="59"/>
      <c r="C257" s="59"/>
      <c r="D257" s="62"/>
      <c r="E257" s="62"/>
      <c r="F257" s="62"/>
      <c r="G257" s="62">
        <v>145.4502</v>
      </c>
      <c r="H257" s="62"/>
      <c r="I257" s="62"/>
      <c r="J257" s="62">
        <f>G257</f>
        <v>145.4502</v>
      </c>
      <c r="K257" s="63"/>
      <c r="L257" s="63"/>
      <c r="M257" s="63"/>
      <c r="N257" s="62">
        <v>145.461241023</v>
      </c>
      <c r="O257" s="62"/>
      <c r="P257" s="62"/>
      <c r="IB257"/>
      <c r="IC257"/>
      <c r="ID257"/>
      <c r="IE257"/>
      <c r="IF257"/>
      <c r="IG257"/>
    </row>
    <row r="258" spans="1:241" s="1" customFormat="1" ht="12">
      <c r="A258" s="54" t="s">
        <v>6</v>
      </c>
      <c r="B258" s="59"/>
      <c r="C258" s="59"/>
      <c r="D258" s="62"/>
      <c r="E258" s="62"/>
      <c r="F258" s="62"/>
      <c r="G258" s="62"/>
      <c r="H258" s="62"/>
      <c r="I258" s="62"/>
      <c r="J258" s="62"/>
      <c r="K258" s="63"/>
      <c r="L258" s="63"/>
      <c r="M258" s="63"/>
      <c r="N258" s="62"/>
      <c r="O258" s="62"/>
      <c r="P258" s="62"/>
      <c r="IB258"/>
      <c r="IC258"/>
      <c r="ID258"/>
      <c r="IE258"/>
      <c r="IF258"/>
      <c r="IG258"/>
    </row>
    <row r="259" spans="1:241" s="1" customFormat="1" ht="36" customHeight="1">
      <c r="A259" s="55" t="s">
        <v>160</v>
      </c>
      <c r="B259" s="59"/>
      <c r="C259" s="59"/>
      <c r="D259" s="62"/>
      <c r="E259" s="62"/>
      <c r="F259" s="62"/>
      <c r="G259" s="62">
        <f>G254/D254*100</f>
        <v>119.54674220963173</v>
      </c>
      <c r="H259" s="62"/>
      <c r="I259" s="62"/>
      <c r="J259" s="62">
        <f>G259</f>
        <v>119.54674220963173</v>
      </c>
      <c r="K259" s="63"/>
      <c r="L259" s="63"/>
      <c r="M259" s="63"/>
      <c r="N259" s="62">
        <f>N254/G254*100</f>
        <v>138.91696366066353</v>
      </c>
      <c r="O259" s="62"/>
      <c r="P259" s="62">
        <f>N259</f>
        <v>138.91696366066353</v>
      </c>
      <c r="IB259"/>
      <c r="IC259"/>
      <c r="ID259"/>
      <c r="IE259"/>
      <c r="IF259"/>
      <c r="IG259"/>
    </row>
    <row r="260" spans="1:241" s="1" customFormat="1" ht="51" customHeight="1">
      <c r="A260" s="55" t="s">
        <v>161</v>
      </c>
      <c r="B260" s="59"/>
      <c r="C260" s="59"/>
      <c r="D260" s="62"/>
      <c r="E260" s="62"/>
      <c r="F260" s="62"/>
      <c r="G260" s="62">
        <f>G256/D256*100</f>
        <v>116.0172456</v>
      </c>
      <c r="H260" s="62"/>
      <c r="I260" s="62"/>
      <c r="J260" s="62">
        <f>G260</f>
        <v>116.0172456</v>
      </c>
      <c r="K260" s="63"/>
      <c r="L260" s="63"/>
      <c r="M260" s="63"/>
      <c r="N260" s="62">
        <f>N256/G256*100</f>
        <v>0</v>
      </c>
      <c r="O260" s="62"/>
      <c r="P260" s="62">
        <f>N260</f>
        <v>0</v>
      </c>
      <c r="IB260"/>
      <c r="IC260"/>
      <c r="ID260"/>
      <c r="IE260"/>
      <c r="IF260"/>
      <c r="IG260"/>
    </row>
    <row r="261" spans="1:241" s="1" customFormat="1" ht="51" customHeight="1">
      <c r="A261" s="55" t="s">
        <v>333</v>
      </c>
      <c r="B261" s="59"/>
      <c r="C261" s="59"/>
      <c r="D261" s="62"/>
      <c r="E261" s="62"/>
      <c r="F261" s="62"/>
      <c r="G261" s="62"/>
      <c r="H261" s="62"/>
      <c r="I261" s="62"/>
      <c r="J261" s="62"/>
      <c r="K261" s="63"/>
      <c r="L261" s="63"/>
      <c r="M261" s="63"/>
      <c r="N261" s="62"/>
      <c r="O261" s="62"/>
      <c r="P261" s="62"/>
      <c r="IB261"/>
      <c r="IC261"/>
      <c r="ID261"/>
      <c r="IE261"/>
      <c r="IF261"/>
      <c r="IG261"/>
    </row>
    <row r="262" spans="1:241" s="91" customFormat="1" ht="22.5">
      <c r="A262" s="82" t="s">
        <v>371</v>
      </c>
      <c r="B262" s="88"/>
      <c r="C262" s="88"/>
      <c r="D262" s="89">
        <f>(D266*D273)+(D267*D274)+(D268*D277)-2</f>
        <v>2306500</v>
      </c>
      <c r="E262" s="89"/>
      <c r="F262" s="89">
        <f>D262</f>
        <v>2306500</v>
      </c>
      <c r="G262" s="89">
        <f>(G266*G273)+(G267*G274)+G268*G277+G269*G278</f>
        <v>3846600.00002</v>
      </c>
      <c r="H262" s="89"/>
      <c r="I262" s="89"/>
      <c r="J262" s="89">
        <f>G262</f>
        <v>3846600.00002</v>
      </c>
      <c r="K262" s="89">
        <f>(K266*K273)+(K267*K274)</f>
        <v>0</v>
      </c>
      <c r="L262" s="89">
        <f>(L266*L273)+(L267*L274)</f>
        <v>0</v>
      </c>
      <c r="M262" s="89">
        <f>(M266*M273)+(M267*M274)</f>
        <v>0</v>
      </c>
      <c r="N262" s="89">
        <f>(N266*N273)+(N267*N274)+N268*N277+N269*N278</f>
        <v>4738999.999999801</v>
      </c>
      <c r="O262" s="89"/>
      <c r="P262" s="89">
        <f>N262+O262</f>
        <v>4738999.999999801</v>
      </c>
      <c r="IB262" s="92"/>
      <c r="IC262" s="92"/>
      <c r="ID262" s="92"/>
      <c r="IE262" s="92"/>
      <c r="IF262" s="92"/>
      <c r="IG262" s="92"/>
    </row>
    <row r="263" spans="1:241" s="1" customFormat="1" ht="22.5" customHeight="1" hidden="1">
      <c r="A263" s="22" t="s">
        <v>51</v>
      </c>
      <c r="B263" s="12"/>
      <c r="C263" s="12"/>
      <c r="D263" s="13">
        <f aca="true" t="shared" si="29" ref="D263:J263">D265*D272+D266*D273+D267*D274</f>
        <v>2238832</v>
      </c>
      <c r="E263" s="13">
        <f t="shared" si="29"/>
        <v>0</v>
      </c>
      <c r="F263" s="13">
        <f t="shared" si="29"/>
        <v>2238832</v>
      </c>
      <c r="G263" s="13">
        <f t="shared" si="29"/>
        <v>3532163.00002</v>
      </c>
      <c r="H263" s="13">
        <f t="shared" si="29"/>
        <v>0</v>
      </c>
      <c r="I263" s="13"/>
      <c r="J263" s="13">
        <f t="shared" si="29"/>
        <v>3532163.00002</v>
      </c>
      <c r="K263" s="16"/>
      <c r="L263" s="16"/>
      <c r="M263" s="16"/>
      <c r="N263" s="13">
        <f>N265*N272+N266*N273+N267*N274</f>
        <v>4484562.999999801</v>
      </c>
      <c r="O263" s="13">
        <f>O265*O272+O266*O273+O267*O274</f>
        <v>0</v>
      </c>
      <c r="P263" s="13">
        <f>P265*P272+P266*P273+P267*P274</f>
        <v>4484562.999999801</v>
      </c>
      <c r="IB263"/>
      <c r="IC263"/>
      <c r="ID263"/>
      <c r="IE263"/>
      <c r="IF263"/>
      <c r="IG263"/>
    </row>
    <row r="264" spans="1:241" s="1" customFormat="1" ht="12" customHeight="1">
      <c r="A264" s="54" t="s">
        <v>5</v>
      </c>
      <c r="B264" s="61"/>
      <c r="C264" s="61"/>
      <c r="D264" s="129"/>
      <c r="E264" s="129"/>
      <c r="F264" s="62"/>
      <c r="G264" s="129"/>
      <c r="H264" s="129"/>
      <c r="I264" s="129"/>
      <c r="J264" s="62"/>
      <c r="K264" s="63"/>
      <c r="L264" s="63"/>
      <c r="M264" s="63"/>
      <c r="N264" s="129"/>
      <c r="O264" s="129"/>
      <c r="P264" s="62"/>
      <c r="IB264"/>
      <c r="IC264"/>
      <c r="ID264"/>
      <c r="IE264"/>
      <c r="IF264"/>
      <c r="IG264"/>
    </row>
    <row r="265" spans="1:241" s="1" customFormat="1" ht="13.5" customHeight="1" hidden="1">
      <c r="A265" s="55" t="s">
        <v>38</v>
      </c>
      <c r="B265" s="59"/>
      <c r="C265" s="59"/>
      <c r="D265" s="62">
        <v>1220</v>
      </c>
      <c r="E265" s="62"/>
      <c r="F265" s="62">
        <f aca="true" t="shared" si="30" ref="F265:F274">D265</f>
        <v>1220</v>
      </c>
      <c r="G265" s="62">
        <v>1220</v>
      </c>
      <c r="H265" s="62"/>
      <c r="I265" s="62"/>
      <c r="J265" s="62">
        <f aca="true" t="shared" si="31" ref="J265:J276">G265</f>
        <v>1220</v>
      </c>
      <c r="K265" s="63"/>
      <c r="L265" s="63"/>
      <c r="M265" s="63"/>
      <c r="N265" s="62">
        <v>1220</v>
      </c>
      <c r="O265" s="62"/>
      <c r="P265" s="62">
        <f aca="true" t="shared" si="32" ref="P265:P278">N265</f>
        <v>1220</v>
      </c>
      <c r="IB265"/>
      <c r="IC265"/>
      <c r="ID265"/>
      <c r="IE265"/>
      <c r="IF265"/>
      <c r="IG265"/>
    </row>
    <row r="266" spans="1:241" s="1" customFormat="1" ht="22.5">
      <c r="A266" s="55" t="s">
        <v>162</v>
      </c>
      <c r="B266" s="59"/>
      <c r="C266" s="59"/>
      <c r="D266" s="62">
        <v>4</v>
      </c>
      <c r="E266" s="62"/>
      <c r="F266" s="62">
        <f t="shared" si="30"/>
        <v>4</v>
      </c>
      <c r="G266" s="114">
        <f>6</f>
        <v>6</v>
      </c>
      <c r="H266" s="62"/>
      <c r="I266" s="62"/>
      <c r="J266" s="62">
        <f t="shared" si="31"/>
        <v>6</v>
      </c>
      <c r="K266" s="63"/>
      <c r="L266" s="63"/>
      <c r="M266" s="63"/>
      <c r="N266" s="62">
        <v>5</v>
      </c>
      <c r="O266" s="62"/>
      <c r="P266" s="62">
        <f t="shared" si="32"/>
        <v>5</v>
      </c>
      <c r="IB266"/>
      <c r="IC266"/>
      <c r="ID266"/>
      <c r="IE266"/>
      <c r="IF266"/>
      <c r="IG266"/>
    </row>
    <row r="267" spans="1:241" s="1" customFormat="1" ht="22.5" customHeight="1">
      <c r="A267" s="55" t="s">
        <v>163</v>
      </c>
      <c r="B267" s="59"/>
      <c r="C267" s="59"/>
      <c r="D267" s="62">
        <v>6</v>
      </c>
      <c r="E267" s="62"/>
      <c r="F267" s="62">
        <f t="shared" si="30"/>
        <v>6</v>
      </c>
      <c r="G267" s="114">
        <f>D267</f>
        <v>6</v>
      </c>
      <c r="H267" s="62"/>
      <c r="I267" s="62"/>
      <c r="J267" s="62">
        <f t="shared" si="31"/>
        <v>6</v>
      </c>
      <c r="K267" s="63"/>
      <c r="L267" s="63"/>
      <c r="M267" s="63"/>
      <c r="N267" s="62">
        <f>G267</f>
        <v>6</v>
      </c>
      <c r="O267" s="62"/>
      <c r="P267" s="62">
        <f t="shared" si="32"/>
        <v>6</v>
      </c>
      <c r="IB267"/>
      <c r="IC267"/>
      <c r="ID267"/>
      <c r="IE267"/>
      <c r="IF267"/>
      <c r="IG267"/>
    </row>
    <row r="268" spans="1:241" s="1" customFormat="1" ht="22.5" customHeight="1">
      <c r="A268" s="21" t="s">
        <v>260</v>
      </c>
      <c r="B268" s="7"/>
      <c r="C268" s="7"/>
      <c r="D268" s="14">
        <v>100</v>
      </c>
      <c r="E268" s="14"/>
      <c r="F268" s="14">
        <f t="shared" si="30"/>
        <v>100</v>
      </c>
      <c r="G268" s="114">
        <v>200</v>
      </c>
      <c r="H268" s="62"/>
      <c r="I268" s="62"/>
      <c r="J268" s="62">
        <v>200</v>
      </c>
      <c r="K268" s="63"/>
      <c r="L268" s="63"/>
      <c r="M268" s="63"/>
      <c r="N268" s="62">
        <v>125</v>
      </c>
      <c r="O268" s="62"/>
      <c r="P268" s="62">
        <f t="shared" si="32"/>
        <v>125</v>
      </c>
      <c r="IB268"/>
      <c r="IC268"/>
      <c r="ID268"/>
      <c r="IE268"/>
      <c r="IF268"/>
      <c r="IG268"/>
    </row>
    <row r="269" spans="1:241" s="1" customFormat="1" ht="24.75" customHeight="1">
      <c r="A269" s="21" t="s">
        <v>288</v>
      </c>
      <c r="B269" s="7"/>
      <c r="C269" s="7"/>
      <c r="D269" s="14"/>
      <c r="E269" s="14"/>
      <c r="F269" s="14"/>
      <c r="G269" s="114">
        <v>500</v>
      </c>
      <c r="H269" s="62"/>
      <c r="I269" s="62"/>
      <c r="J269" s="62">
        <v>500</v>
      </c>
      <c r="K269" s="63"/>
      <c r="L269" s="63"/>
      <c r="M269" s="63"/>
      <c r="N269" s="62">
        <v>400</v>
      </c>
      <c r="O269" s="62"/>
      <c r="P269" s="62">
        <f t="shared" si="32"/>
        <v>400</v>
      </c>
      <c r="IB269"/>
      <c r="IC269"/>
      <c r="ID269"/>
      <c r="IE269"/>
      <c r="IF269"/>
      <c r="IG269"/>
    </row>
    <row r="270" spans="1:241" s="1" customFormat="1" ht="22.5" customHeight="1" hidden="1">
      <c r="A270" s="21" t="s">
        <v>288</v>
      </c>
      <c r="B270" s="7"/>
      <c r="C270" s="7"/>
      <c r="D270" s="14"/>
      <c r="E270" s="14"/>
      <c r="F270" s="14"/>
      <c r="G270" s="114">
        <v>500</v>
      </c>
      <c r="H270" s="62"/>
      <c r="I270" s="62"/>
      <c r="J270" s="62">
        <v>500</v>
      </c>
      <c r="K270" s="63"/>
      <c r="L270" s="63"/>
      <c r="M270" s="63"/>
      <c r="N270" s="62"/>
      <c r="O270" s="62"/>
      <c r="P270" s="62"/>
      <c r="IB270"/>
      <c r="IC270"/>
      <c r="ID270"/>
      <c r="IE270"/>
      <c r="IF270"/>
      <c r="IG270"/>
    </row>
    <row r="271" spans="1:241" s="1" customFormat="1" ht="12" customHeight="1">
      <c r="A271" s="54" t="s">
        <v>7</v>
      </c>
      <c r="B271" s="61"/>
      <c r="C271" s="61"/>
      <c r="D271" s="129"/>
      <c r="E271" s="129"/>
      <c r="F271" s="62"/>
      <c r="G271" s="172"/>
      <c r="H271" s="129"/>
      <c r="I271" s="129"/>
      <c r="J271" s="62"/>
      <c r="K271" s="63"/>
      <c r="L271" s="63"/>
      <c r="M271" s="63"/>
      <c r="N271" s="129"/>
      <c r="O271" s="129"/>
      <c r="P271" s="62"/>
      <c r="IB271"/>
      <c r="IC271"/>
      <c r="ID271"/>
      <c r="IE271"/>
      <c r="IF271"/>
      <c r="IG271"/>
    </row>
    <row r="272" spans="1:241" s="1" customFormat="1" ht="22.5" customHeight="1" hidden="1">
      <c r="A272" s="55" t="s">
        <v>55</v>
      </c>
      <c r="B272" s="59"/>
      <c r="C272" s="59"/>
      <c r="D272" s="62">
        <v>26.5</v>
      </c>
      <c r="E272" s="62"/>
      <c r="F272" s="62">
        <f t="shared" si="30"/>
        <v>26.5</v>
      </c>
      <c r="G272" s="114">
        <v>29.15</v>
      </c>
      <c r="H272" s="62"/>
      <c r="I272" s="62"/>
      <c r="J272" s="62">
        <f t="shared" si="31"/>
        <v>29.15</v>
      </c>
      <c r="K272" s="63"/>
      <c r="L272" s="63"/>
      <c r="M272" s="63"/>
      <c r="N272" s="62">
        <v>29.15</v>
      </c>
      <c r="O272" s="62"/>
      <c r="P272" s="62">
        <f t="shared" si="32"/>
        <v>29.15</v>
      </c>
      <c r="IB272"/>
      <c r="IC272"/>
      <c r="ID272"/>
      <c r="IE272"/>
      <c r="IF272"/>
      <c r="IG272"/>
    </row>
    <row r="273" spans="1:241" s="1" customFormat="1" ht="22.5" customHeight="1">
      <c r="A273" s="55" t="s">
        <v>164</v>
      </c>
      <c r="B273" s="59"/>
      <c r="C273" s="59"/>
      <c r="D273" s="62">
        <v>256250</v>
      </c>
      <c r="E273" s="62"/>
      <c r="F273" s="62">
        <f>D273</f>
        <v>256250</v>
      </c>
      <c r="G273" s="114">
        <v>339600</v>
      </c>
      <c r="H273" s="62"/>
      <c r="I273" s="62"/>
      <c r="J273" s="62">
        <f t="shared" si="31"/>
        <v>339600</v>
      </c>
      <c r="K273" s="63"/>
      <c r="L273" s="63"/>
      <c r="M273" s="63"/>
      <c r="N273" s="62">
        <v>551000</v>
      </c>
      <c r="O273" s="62"/>
      <c r="P273" s="62">
        <f t="shared" si="32"/>
        <v>551000</v>
      </c>
      <c r="IB273"/>
      <c r="IC273"/>
      <c r="ID273"/>
      <c r="IE273"/>
      <c r="IF273"/>
      <c r="IG273"/>
    </row>
    <row r="274" spans="1:241" s="1" customFormat="1" ht="22.5" customHeight="1">
      <c r="A274" s="55" t="s">
        <v>165</v>
      </c>
      <c r="B274" s="59"/>
      <c r="C274" s="59"/>
      <c r="D274" s="62">
        <v>196917</v>
      </c>
      <c r="E274" s="62"/>
      <c r="F274" s="62">
        <f t="shared" si="30"/>
        <v>196917</v>
      </c>
      <c r="G274" s="114">
        <v>243166.66667</v>
      </c>
      <c r="H274" s="62"/>
      <c r="I274" s="62"/>
      <c r="J274" s="62">
        <f t="shared" si="31"/>
        <v>243166.66667</v>
      </c>
      <c r="K274" s="63"/>
      <c r="L274" s="63"/>
      <c r="M274" s="63"/>
      <c r="N274" s="62">
        <v>282333.3333333</v>
      </c>
      <c r="O274" s="62"/>
      <c r="P274" s="62">
        <f t="shared" si="32"/>
        <v>282333.3333333</v>
      </c>
      <c r="IB274"/>
      <c r="IC274"/>
      <c r="ID274"/>
      <c r="IE274"/>
      <c r="IF274"/>
      <c r="IG274"/>
    </row>
    <row r="275" spans="1:241" s="1" customFormat="1" ht="12" customHeight="1" hidden="1">
      <c r="A275" s="54" t="s">
        <v>6</v>
      </c>
      <c r="B275" s="61"/>
      <c r="C275" s="61"/>
      <c r="D275" s="129"/>
      <c r="E275" s="129"/>
      <c r="F275" s="129"/>
      <c r="G275" s="172"/>
      <c r="H275" s="129"/>
      <c r="I275" s="129"/>
      <c r="J275" s="62">
        <f t="shared" si="31"/>
        <v>0</v>
      </c>
      <c r="K275" s="63"/>
      <c r="L275" s="63"/>
      <c r="M275" s="63"/>
      <c r="N275" s="129"/>
      <c r="O275" s="129"/>
      <c r="P275" s="62">
        <f t="shared" si="32"/>
        <v>0</v>
      </c>
      <c r="IB275"/>
      <c r="IC275"/>
      <c r="ID275"/>
      <c r="IE275"/>
      <c r="IF275"/>
      <c r="IG275"/>
    </row>
    <row r="276" spans="1:241" s="1" customFormat="1" ht="33.75" customHeight="1" hidden="1">
      <c r="A276" s="55" t="s">
        <v>39</v>
      </c>
      <c r="B276" s="59"/>
      <c r="C276" s="59"/>
      <c r="D276" s="62"/>
      <c r="E276" s="62"/>
      <c r="F276" s="62"/>
      <c r="G276" s="114"/>
      <c r="H276" s="62"/>
      <c r="I276" s="62"/>
      <c r="J276" s="62">
        <f t="shared" si="31"/>
        <v>0</v>
      </c>
      <c r="K276" s="63"/>
      <c r="L276" s="63"/>
      <c r="M276" s="63"/>
      <c r="N276" s="62"/>
      <c r="O276" s="62"/>
      <c r="P276" s="62">
        <f t="shared" si="32"/>
        <v>0</v>
      </c>
      <c r="IB276"/>
      <c r="IC276"/>
      <c r="ID276"/>
      <c r="IE276"/>
      <c r="IF276"/>
      <c r="IG276"/>
    </row>
    <row r="277" spans="1:241" s="1" customFormat="1" ht="32.25" customHeight="1">
      <c r="A277" s="21" t="s">
        <v>328</v>
      </c>
      <c r="B277" s="7"/>
      <c r="C277" s="7"/>
      <c r="D277" s="14">
        <v>1000</v>
      </c>
      <c r="E277" s="14"/>
      <c r="F277" s="14">
        <f>D277</f>
        <v>1000</v>
      </c>
      <c r="G277" s="114">
        <v>1000</v>
      </c>
      <c r="H277" s="62"/>
      <c r="I277" s="62"/>
      <c r="J277" s="62">
        <f>G277</f>
        <v>1000</v>
      </c>
      <c r="K277" s="63"/>
      <c r="L277" s="63"/>
      <c r="M277" s="63"/>
      <c r="N277" s="62">
        <v>1200</v>
      </c>
      <c r="O277" s="62"/>
      <c r="P277" s="62">
        <f t="shared" si="32"/>
        <v>1200</v>
      </c>
      <c r="IB277"/>
      <c r="IC277"/>
      <c r="ID277"/>
      <c r="IE277"/>
      <c r="IF277"/>
      <c r="IG277"/>
    </row>
    <row r="278" spans="1:241" s="1" customFormat="1" ht="33.75">
      <c r="A278" s="21" t="s">
        <v>289</v>
      </c>
      <c r="B278" s="7"/>
      <c r="C278" s="7"/>
      <c r="D278" s="14">
        <v>1000</v>
      </c>
      <c r="E278" s="14"/>
      <c r="F278" s="14">
        <f>D278</f>
        <v>1000</v>
      </c>
      <c r="G278" s="114">
        <v>300</v>
      </c>
      <c r="H278" s="62"/>
      <c r="I278" s="62"/>
      <c r="J278" s="62">
        <f>G278</f>
        <v>300</v>
      </c>
      <c r="K278" s="63"/>
      <c r="L278" s="63"/>
      <c r="M278" s="63"/>
      <c r="N278" s="62">
        <v>350</v>
      </c>
      <c r="O278" s="62"/>
      <c r="P278" s="62">
        <f t="shared" si="32"/>
        <v>350</v>
      </c>
      <c r="IB278"/>
      <c r="IC278"/>
      <c r="ID278"/>
      <c r="IE278"/>
      <c r="IF278"/>
      <c r="IG278"/>
    </row>
    <row r="279" spans="1:241" s="1" customFormat="1" ht="12">
      <c r="A279" s="54" t="s">
        <v>6</v>
      </c>
      <c r="B279" s="59"/>
      <c r="C279" s="59"/>
      <c r="D279" s="62"/>
      <c r="E279" s="62"/>
      <c r="F279" s="62"/>
      <c r="G279" s="62"/>
      <c r="H279" s="62"/>
      <c r="I279" s="62"/>
      <c r="J279" s="62"/>
      <c r="K279" s="63"/>
      <c r="L279" s="63"/>
      <c r="M279" s="63"/>
      <c r="N279" s="62"/>
      <c r="O279" s="62"/>
      <c r="P279" s="62"/>
      <c r="IB279"/>
      <c r="IC279"/>
      <c r="ID279"/>
      <c r="IE279"/>
      <c r="IF279"/>
      <c r="IG279"/>
    </row>
    <row r="280" spans="1:241" s="1" customFormat="1" ht="33.75">
      <c r="A280" s="55" t="s">
        <v>166</v>
      </c>
      <c r="B280" s="59"/>
      <c r="C280" s="59"/>
      <c r="D280" s="62"/>
      <c r="E280" s="62"/>
      <c r="F280" s="62"/>
      <c r="G280" s="62">
        <f>G273/F273*100</f>
        <v>132.5268292682927</v>
      </c>
      <c r="H280" s="62"/>
      <c r="I280" s="62"/>
      <c r="J280" s="62">
        <f>G280</f>
        <v>132.5268292682927</v>
      </c>
      <c r="K280" s="63"/>
      <c r="L280" s="63"/>
      <c r="M280" s="63"/>
      <c r="N280" s="62">
        <f>N273/J273*100</f>
        <v>162.24970553592462</v>
      </c>
      <c r="O280" s="62"/>
      <c r="P280" s="62">
        <f>N280</f>
        <v>162.24970553592462</v>
      </c>
      <c r="IB280"/>
      <c r="IC280"/>
      <c r="ID280"/>
      <c r="IE280"/>
      <c r="IF280"/>
      <c r="IG280"/>
    </row>
    <row r="281" spans="1:241" s="1" customFormat="1" ht="33.75">
      <c r="A281" s="55" t="s">
        <v>167</v>
      </c>
      <c r="B281" s="59"/>
      <c r="C281" s="59"/>
      <c r="D281" s="62"/>
      <c r="E281" s="62"/>
      <c r="F281" s="62"/>
      <c r="G281" s="62">
        <f>G274/D274*100</f>
        <v>123.48688364640941</v>
      </c>
      <c r="H281" s="62"/>
      <c r="I281" s="62"/>
      <c r="J281" s="62">
        <f>G281</f>
        <v>123.48688364640941</v>
      </c>
      <c r="K281" s="63"/>
      <c r="L281" s="63"/>
      <c r="M281" s="63"/>
      <c r="N281" s="62">
        <f>N274/G274*100</f>
        <v>116.10692254808627</v>
      </c>
      <c r="O281" s="62"/>
      <c r="P281" s="62">
        <f>N281</f>
        <v>116.10692254808627</v>
      </c>
      <c r="IB281"/>
      <c r="IC281"/>
      <c r="ID281"/>
      <c r="IE281"/>
      <c r="IF281"/>
      <c r="IG281"/>
    </row>
    <row r="282" spans="1:241" s="91" customFormat="1" ht="24" customHeight="1">
      <c r="A282" s="82" t="s">
        <v>372</v>
      </c>
      <c r="B282" s="88"/>
      <c r="C282" s="88"/>
      <c r="D282" s="89">
        <f>(D284*D287)+45</f>
        <v>400000</v>
      </c>
      <c r="E282" s="89"/>
      <c r="F282" s="89">
        <f>D282</f>
        <v>400000</v>
      </c>
      <c r="G282" s="89">
        <f>G284*G287+G285*G288</f>
        <v>479999.999999326</v>
      </c>
      <c r="H282" s="89"/>
      <c r="I282" s="89"/>
      <c r="J282" s="89">
        <f>G282</f>
        <v>479999.999999326</v>
      </c>
      <c r="K282" s="89">
        <f>(K284*K287)</f>
        <v>0</v>
      </c>
      <c r="L282" s="89">
        <f>(L284*L287)</f>
        <v>0</v>
      </c>
      <c r="M282" s="89">
        <f>(M284*M287)</f>
        <v>0</v>
      </c>
      <c r="N282" s="89">
        <f>(N284*N287)</f>
        <v>579999.9999983759</v>
      </c>
      <c r="O282" s="89">
        <f>(O284*O287)</f>
        <v>0</v>
      </c>
      <c r="P282" s="89">
        <f>N282</f>
        <v>579999.9999983759</v>
      </c>
      <c r="IB282" s="92"/>
      <c r="IC282" s="92"/>
      <c r="ID282" s="92"/>
      <c r="IE282" s="92"/>
      <c r="IF282" s="92"/>
      <c r="IG282" s="92"/>
    </row>
    <row r="283" spans="1:241" s="1" customFormat="1" ht="12">
      <c r="A283" s="54" t="s">
        <v>5</v>
      </c>
      <c r="B283" s="59"/>
      <c r="C283" s="59"/>
      <c r="D283" s="62"/>
      <c r="E283" s="62"/>
      <c r="F283" s="62"/>
      <c r="G283" s="62"/>
      <c r="H283" s="62"/>
      <c r="I283" s="62"/>
      <c r="J283" s="62"/>
      <c r="K283" s="63"/>
      <c r="L283" s="63"/>
      <c r="M283" s="63"/>
      <c r="N283" s="62"/>
      <c r="O283" s="62"/>
      <c r="P283" s="62"/>
      <c r="IB283"/>
      <c r="IC283"/>
      <c r="ID283"/>
      <c r="IE283"/>
      <c r="IF283"/>
      <c r="IG283"/>
    </row>
    <row r="284" spans="1:241" s="1" customFormat="1" ht="22.5">
      <c r="A284" s="55" t="s">
        <v>304</v>
      </c>
      <c r="B284" s="59"/>
      <c r="C284" s="59"/>
      <c r="D284" s="62">
        <v>2050</v>
      </c>
      <c r="E284" s="62"/>
      <c r="F284" s="62">
        <f>D284</f>
        <v>2050</v>
      </c>
      <c r="G284" s="62">
        <v>1427</v>
      </c>
      <c r="H284" s="62"/>
      <c r="I284" s="62"/>
      <c r="J284" s="62">
        <f>G284</f>
        <v>1427</v>
      </c>
      <c r="K284" s="63"/>
      <c r="L284" s="63"/>
      <c r="M284" s="63"/>
      <c r="N284" s="62">
        <v>2248</v>
      </c>
      <c r="O284" s="62"/>
      <c r="P284" s="62">
        <f>N284</f>
        <v>2248</v>
      </c>
      <c r="IB284"/>
      <c r="IC284"/>
      <c r="ID284"/>
      <c r="IE284"/>
      <c r="IF284"/>
      <c r="IG284"/>
    </row>
    <row r="285" spans="1:241" s="1" customFormat="1" ht="33.75">
      <c r="A285" s="55" t="s">
        <v>308</v>
      </c>
      <c r="B285" s="59"/>
      <c r="C285" s="59"/>
      <c r="D285" s="62"/>
      <c r="E285" s="62"/>
      <c r="F285" s="62"/>
      <c r="G285" s="62">
        <v>1</v>
      </c>
      <c r="H285" s="62"/>
      <c r="I285" s="62"/>
      <c r="J285" s="62">
        <v>1</v>
      </c>
      <c r="K285" s="63"/>
      <c r="L285" s="63"/>
      <c r="M285" s="63"/>
      <c r="N285" s="62"/>
      <c r="O285" s="62"/>
      <c r="P285" s="62"/>
      <c r="IB285"/>
      <c r="IC285"/>
      <c r="ID285"/>
      <c r="IE285"/>
      <c r="IF285"/>
      <c r="IG285"/>
    </row>
    <row r="286" spans="1:241" s="1" customFormat="1" ht="12">
      <c r="A286" s="54" t="s">
        <v>7</v>
      </c>
      <c r="B286" s="59"/>
      <c r="C286" s="59"/>
      <c r="D286" s="62"/>
      <c r="E286" s="62"/>
      <c r="F286" s="62"/>
      <c r="G286" s="62"/>
      <c r="H286" s="62"/>
      <c r="I286" s="62"/>
      <c r="J286" s="62"/>
      <c r="K286" s="63"/>
      <c r="L286" s="63"/>
      <c r="M286" s="63"/>
      <c r="N286" s="62"/>
      <c r="O286" s="62"/>
      <c r="P286" s="62"/>
      <c r="IB286"/>
      <c r="IC286"/>
      <c r="ID286"/>
      <c r="IE286"/>
      <c r="IF286"/>
      <c r="IG286"/>
    </row>
    <row r="287" spans="1:241" s="1" customFormat="1" ht="22.5">
      <c r="A287" s="55" t="s">
        <v>305</v>
      </c>
      <c r="B287" s="59"/>
      <c r="C287" s="59"/>
      <c r="D287" s="62">
        <v>195.1</v>
      </c>
      <c r="E287" s="62"/>
      <c r="F287" s="62">
        <f>D287</f>
        <v>195.1</v>
      </c>
      <c r="G287" s="62">
        <v>224.246671338</v>
      </c>
      <c r="H287" s="62"/>
      <c r="I287" s="62"/>
      <c r="J287" s="62">
        <f>G287</f>
        <v>224.246671338</v>
      </c>
      <c r="K287" s="63"/>
      <c r="L287" s="63"/>
      <c r="M287" s="63"/>
      <c r="N287" s="62">
        <v>258.007117437</v>
      </c>
      <c r="O287" s="62"/>
      <c r="P287" s="62">
        <f>N287</f>
        <v>258.007117437</v>
      </c>
      <c r="IB287"/>
      <c r="IC287"/>
      <c r="ID287"/>
      <c r="IE287"/>
      <c r="IF287"/>
      <c r="IG287"/>
    </row>
    <row r="288" spans="1:241" s="1" customFormat="1" ht="33.75">
      <c r="A288" s="55" t="s">
        <v>309</v>
      </c>
      <c r="B288" s="59"/>
      <c r="C288" s="59"/>
      <c r="D288" s="62"/>
      <c r="E288" s="62"/>
      <c r="F288" s="62"/>
      <c r="G288" s="62">
        <v>160000</v>
      </c>
      <c r="H288" s="62"/>
      <c r="I288" s="62"/>
      <c r="J288" s="62">
        <f>G288</f>
        <v>160000</v>
      </c>
      <c r="K288" s="63"/>
      <c r="L288" s="63"/>
      <c r="M288" s="63"/>
      <c r="N288" s="62"/>
      <c r="O288" s="62"/>
      <c r="P288" s="62"/>
      <c r="IB288"/>
      <c r="IC288"/>
      <c r="ID288"/>
      <c r="IE288"/>
      <c r="IF288"/>
      <c r="IG288"/>
    </row>
    <row r="289" spans="1:241" s="1" customFormat="1" ht="12">
      <c r="A289" s="54" t="s">
        <v>6</v>
      </c>
      <c r="B289" s="59"/>
      <c r="C289" s="59"/>
      <c r="D289" s="62"/>
      <c r="E289" s="62"/>
      <c r="F289" s="62"/>
      <c r="G289" s="62"/>
      <c r="H289" s="62"/>
      <c r="I289" s="62"/>
      <c r="J289" s="62"/>
      <c r="K289" s="63"/>
      <c r="L289" s="63"/>
      <c r="M289" s="63"/>
      <c r="N289" s="62"/>
      <c r="O289" s="62"/>
      <c r="P289" s="62"/>
      <c r="IB289"/>
      <c r="IC289"/>
      <c r="ID289"/>
      <c r="IE289"/>
      <c r="IF289"/>
      <c r="IG289"/>
    </row>
    <row r="290" spans="1:241" s="1" customFormat="1" ht="24.75" customHeight="1">
      <c r="A290" s="55" t="s">
        <v>306</v>
      </c>
      <c r="B290" s="59"/>
      <c r="C290" s="59"/>
      <c r="D290" s="62"/>
      <c r="E290" s="62"/>
      <c r="F290" s="62"/>
      <c r="G290" s="62">
        <f>G284/D284*100</f>
        <v>69.60975609756098</v>
      </c>
      <c r="H290" s="62"/>
      <c r="I290" s="62"/>
      <c r="J290" s="62">
        <f>G290</f>
        <v>69.60975609756098</v>
      </c>
      <c r="K290" s="63"/>
      <c r="L290" s="63"/>
      <c r="M290" s="63"/>
      <c r="N290" s="62">
        <f>N284/G284*100</f>
        <v>157.5332866152768</v>
      </c>
      <c r="O290" s="62"/>
      <c r="P290" s="62">
        <f>N290</f>
        <v>157.5332866152768</v>
      </c>
      <c r="IB290"/>
      <c r="IC290"/>
      <c r="ID290"/>
      <c r="IE290"/>
      <c r="IF290"/>
      <c r="IG290"/>
    </row>
    <row r="291" spans="1:241" s="1" customFormat="1" ht="33.75">
      <c r="A291" s="55" t="s">
        <v>307</v>
      </c>
      <c r="B291" s="59"/>
      <c r="C291" s="59"/>
      <c r="D291" s="62"/>
      <c r="E291" s="62"/>
      <c r="F291" s="62"/>
      <c r="G291" s="62">
        <f>G287/D287*100</f>
        <v>114.93934973757047</v>
      </c>
      <c r="H291" s="62"/>
      <c r="I291" s="62"/>
      <c r="J291" s="62">
        <f>G291</f>
        <v>114.93934973757047</v>
      </c>
      <c r="K291" s="63"/>
      <c r="L291" s="63"/>
      <c r="M291" s="63"/>
      <c r="N291" s="62">
        <f>N287/G287*100</f>
        <v>115.05504893230452</v>
      </c>
      <c r="O291" s="62"/>
      <c r="P291" s="62">
        <f>N291</f>
        <v>115.05504893230452</v>
      </c>
      <c r="IB291"/>
      <c r="IC291"/>
      <c r="ID291"/>
      <c r="IE291"/>
      <c r="IF291"/>
      <c r="IG291"/>
    </row>
    <row r="292" spans="1:241" s="101" customFormat="1" ht="27" customHeight="1">
      <c r="A292" s="82" t="s">
        <v>373</v>
      </c>
      <c r="B292" s="88"/>
      <c r="C292" s="88"/>
      <c r="D292" s="89"/>
      <c r="E292" s="89">
        <f>E294*E297</f>
        <v>4065000</v>
      </c>
      <c r="F292" s="89">
        <f>F294*F297</f>
        <v>4065000</v>
      </c>
      <c r="G292" s="89"/>
      <c r="H292" s="89">
        <v>4482000</v>
      </c>
      <c r="I292" s="89"/>
      <c r="J292" s="89">
        <v>4482000</v>
      </c>
      <c r="K292" s="89">
        <f>K294*K297-4</f>
        <v>-4</v>
      </c>
      <c r="L292" s="89">
        <f>L294*L297-4</f>
        <v>-4</v>
      </c>
      <c r="M292" s="89">
        <f>M294*M297-4</f>
        <v>-4</v>
      </c>
      <c r="N292" s="89"/>
      <c r="O292" s="89">
        <f>O294*O297+O295*O298+45000</f>
        <v>17186199.99996</v>
      </c>
      <c r="P292" s="89">
        <f>N292+O292</f>
        <v>17186199.99996</v>
      </c>
      <c r="IB292" s="102"/>
      <c r="IC292" s="102"/>
      <c r="ID292" s="102"/>
      <c r="IE292" s="102"/>
      <c r="IF292" s="102"/>
      <c r="IG292" s="102"/>
    </row>
    <row r="293" spans="1:241" s="49" customFormat="1" ht="12">
      <c r="A293" s="54" t="s">
        <v>5</v>
      </c>
      <c r="B293" s="61"/>
      <c r="C293" s="61"/>
      <c r="D293" s="129"/>
      <c r="E293" s="129"/>
      <c r="F293" s="62"/>
      <c r="G293" s="129"/>
      <c r="H293" s="129"/>
      <c r="I293" s="129"/>
      <c r="J293" s="62"/>
      <c r="K293" s="63"/>
      <c r="L293" s="63"/>
      <c r="M293" s="63"/>
      <c r="N293" s="129"/>
      <c r="O293" s="129"/>
      <c r="P293" s="62"/>
      <c r="IB293" s="50"/>
      <c r="IC293" s="50"/>
      <c r="ID293" s="50"/>
      <c r="IE293" s="50"/>
      <c r="IF293" s="50"/>
      <c r="IG293" s="50"/>
    </row>
    <row r="294" spans="1:241" s="49" customFormat="1" ht="25.5" customHeight="1">
      <c r="A294" s="55" t="s">
        <v>168</v>
      </c>
      <c r="B294" s="59"/>
      <c r="C294" s="59"/>
      <c r="D294" s="62"/>
      <c r="E294" s="14">
        <v>24</v>
      </c>
      <c r="F294" s="62">
        <f>E294</f>
        <v>24</v>
      </c>
      <c r="G294" s="62"/>
      <c r="H294" s="62">
        <v>29</v>
      </c>
      <c r="I294" s="62"/>
      <c r="J294" s="62">
        <v>29</v>
      </c>
      <c r="K294" s="63"/>
      <c r="L294" s="63"/>
      <c r="M294" s="63"/>
      <c r="N294" s="62"/>
      <c r="O294" s="62">
        <v>6</v>
      </c>
      <c r="P294" s="62">
        <f>O294</f>
        <v>6</v>
      </c>
      <c r="IB294" s="50"/>
      <c r="IC294" s="50"/>
      <c r="ID294" s="50"/>
      <c r="IE294" s="50"/>
      <c r="IF294" s="50"/>
      <c r="IG294" s="50"/>
    </row>
    <row r="295" spans="1:241" s="49" customFormat="1" ht="25.5" customHeight="1">
      <c r="A295" s="55" t="s">
        <v>290</v>
      </c>
      <c r="B295" s="59"/>
      <c r="C295" s="59"/>
      <c r="D295" s="62"/>
      <c r="E295" s="14"/>
      <c r="F295" s="62"/>
      <c r="G295" s="62"/>
      <c r="H295" s="62"/>
      <c r="I295" s="62"/>
      <c r="J295" s="62"/>
      <c r="K295" s="63"/>
      <c r="L295" s="63"/>
      <c r="M295" s="63"/>
      <c r="N295" s="62"/>
      <c r="O295" s="62">
        <v>2</v>
      </c>
      <c r="P295" s="62">
        <f>O295</f>
        <v>2</v>
      </c>
      <c r="IB295" s="50"/>
      <c r="IC295" s="50"/>
      <c r="ID295" s="50"/>
      <c r="IE295" s="50"/>
      <c r="IF295" s="50"/>
      <c r="IG295" s="50"/>
    </row>
    <row r="296" spans="1:241" s="49" customFormat="1" ht="12">
      <c r="A296" s="54" t="s">
        <v>7</v>
      </c>
      <c r="B296" s="61"/>
      <c r="C296" s="61"/>
      <c r="D296" s="129"/>
      <c r="E296" s="129"/>
      <c r="F296" s="62"/>
      <c r="G296" s="129"/>
      <c r="H296" s="129"/>
      <c r="I296" s="129"/>
      <c r="J296" s="62"/>
      <c r="K296" s="63"/>
      <c r="L296" s="63"/>
      <c r="M296" s="63"/>
      <c r="N296" s="129"/>
      <c r="O296" s="129"/>
      <c r="P296" s="62"/>
      <c r="IB296" s="50"/>
      <c r="IC296" s="50"/>
      <c r="ID296" s="50"/>
      <c r="IE296" s="50"/>
      <c r="IF296" s="50"/>
      <c r="IG296" s="50"/>
    </row>
    <row r="297" spans="1:241" s="49" customFormat="1" ht="26.25" customHeight="1">
      <c r="A297" s="55" t="s">
        <v>169</v>
      </c>
      <c r="B297" s="59"/>
      <c r="C297" s="59"/>
      <c r="D297" s="62"/>
      <c r="E297" s="62">
        <v>169375</v>
      </c>
      <c r="F297" s="62">
        <f>E297</f>
        <v>169375</v>
      </c>
      <c r="G297" s="62"/>
      <c r="H297" s="62">
        <v>154553</v>
      </c>
      <c r="I297" s="62"/>
      <c r="J297" s="62">
        <v>154553</v>
      </c>
      <c r="K297" s="63"/>
      <c r="L297" s="63"/>
      <c r="M297" s="63"/>
      <c r="N297" s="62"/>
      <c r="O297" s="62">
        <v>2341666.66666</v>
      </c>
      <c r="P297" s="62">
        <f>O297</f>
        <v>2341666.66666</v>
      </c>
      <c r="IB297" s="50"/>
      <c r="IC297" s="50"/>
      <c r="ID297" s="50"/>
      <c r="IE297" s="50"/>
      <c r="IF297" s="50"/>
      <c r="IG297" s="50"/>
    </row>
    <row r="298" spans="1:241" s="49" customFormat="1" ht="26.25" customHeight="1">
      <c r="A298" s="55" t="s">
        <v>291</v>
      </c>
      <c r="B298" s="59"/>
      <c r="C298" s="59"/>
      <c r="D298" s="62"/>
      <c r="E298" s="62"/>
      <c r="F298" s="62"/>
      <c r="G298" s="62"/>
      <c r="H298" s="114"/>
      <c r="I298" s="62"/>
      <c r="J298" s="62"/>
      <c r="K298" s="63"/>
      <c r="L298" s="63"/>
      <c r="M298" s="63"/>
      <c r="N298" s="62"/>
      <c r="O298" s="62">
        <v>1545600</v>
      </c>
      <c r="P298" s="62">
        <f>O298</f>
        <v>1545600</v>
      </c>
      <c r="IB298" s="50"/>
      <c r="IC298" s="50"/>
      <c r="ID298" s="50"/>
      <c r="IE298" s="50"/>
      <c r="IF298" s="50"/>
      <c r="IG298" s="50"/>
    </row>
    <row r="299" spans="1:241" s="49" customFormat="1" ht="12">
      <c r="A299" s="54" t="s">
        <v>6</v>
      </c>
      <c r="B299" s="59"/>
      <c r="C299" s="59"/>
      <c r="D299" s="62"/>
      <c r="E299" s="62"/>
      <c r="F299" s="62"/>
      <c r="G299" s="62"/>
      <c r="H299" s="62"/>
      <c r="I299" s="62"/>
      <c r="J299" s="62"/>
      <c r="K299" s="63"/>
      <c r="L299" s="63"/>
      <c r="M299" s="63"/>
      <c r="N299" s="62"/>
      <c r="O299" s="62"/>
      <c r="P299" s="62"/>
      <c r="IB299" s="50"/>
      <c r="IC299" s="50"/>
      <c r="ID299" s="50"/>
      <c r="IE299" s="50"/>
      <c r="IF299" s="50"/>
      <c r="IG299" s="50"/>
    </row>
    <row r="300" spans="1:241" s="49" customFormat="1" ht="35.25" customHeight="1">
      <c r="A300" s="55" t="s">
        <v>170</v>
      </c>
      <c r="B300" s="59"/>
      <c r="C300" s="59"/>
      <c r="D300" s="62"/>
      <c r="E300" s="62"/>
      <c r="F300" s="62"/>
      <c r="G300" s="62"/>
      <c r="H300" s="62">
        <f>H297/E297*100</f>
        <v>91.2490036900369</v>
      </c>
      <c r="I300" s="62"/>
      <c r="J300" s="62">
        <v>58.5</v>
      </c>
      <c r="K300" s="63"/>
      <c r="L300" s="63"/>
      <c r="M300" s="63"/>
      <c r="N300" s="62"/>
      <c r="O300" s="62">
        <f>O297/H297*100</f>
        <v>1515.122104818412</v>
      </c>
      <c r="P300" s="62">
        <f>O300</f>
        <v>1515.122104818412</v>
      </c>
      <c r="IB300" s="50"/>
      <c r="IC300" s="50"/>
      <c r="ID300" s="50"/>
      <c r="IE300" s="50"/>
      <c r="IF300" s="50"/>
      <c r="IG300" s="50"/>
    </row>
    <row r="301" spans="1:235" s="85" customFormat="1" ht="15" customHeight="1">
      <c r="A301" s="108" t="s">
        <v>192</v>
      </c>
      <c r="B301" s="108"/>
      <c r="C301" s="108"/>
      <c r="D301" s="119"/>
      <c r="E301" s="119">
        <f>E303+E353</f>
        <v>27028000</v>
      </c>
      <c r="F301" s="119">
        <f>F303+F353</f>
        <v>27028000</v>
      </c>
      <c r="G301" s="119">
        <f>G303</f>
        <v>584999.9999982599</v>
      </c>
      <c r="H301" s="119">
        <f>H303+H353</f>
        <v>98971999.99994811</v>
      </c>
      <c r="I301" s="119"/>
      <c r="J301" s="119">
        <f>G301+H301</f>
        <v>99556999.99994637</v>
      </c>
      <c r="K301" s="119">
        <f>K303+K353</f>
        <v>79607.3631410829</v>
      </c>
      <c r="L301" s="119">
        <f>L303+L353</f>
        <v>0</v>
      </c>
      <c r="M301" s="119">
        <f>M303+M353</f>
        <v>0</v>
      </c>
      <c r="N301" s="119">
        <f>N303</f>
        <v>480000</v>
      </c>
      <c r="O301" s="119">
        <f>O303+O353</f>
        <v>145499999.99997202</v>
      </c>
      <c r="P301" s="119">
        <f>N301+O301</f>
        <v>145979999.99997202</v>
      </c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  <c r="HL301" s="121"/>
      <c r="HM301" s="121"/>
      <c r="HN301" s="121"/>
      <c r="HO301" s="121"/>
      <c r="HP301" s="121"/>
      <c r="HQ301" s="121"/>
      <c r="HR301" s="121"/>
      <c r="HS301" s="121"/>
      <c r="HT301" s="121"/>
      <c r="HU301" s="121"/>
      <c r="HV301" s="121"/>
      <c r="HW301" s="121"/>
      <c r="HX301" s="121"/>
      <c r="HY301" s="121"/>
      <c r="HZ301" s="121"/>
      <c r="IA301" s="121"/>
    </row>
    <row r="302" spans="1:16" ht="45" customHeight="1">
      <c r="A302" s="22" t="s">
        <v>171</v>
      </c>
      <c r="B302" s="7"/>
      <c r="C302" s="7"/>
      <c r="D302" s="17"/>
      <c r="E302" s="13"/>
      <c r="F302" s="13"/>
      <c r="G302" s="17"/>
      <c r="H302" s="13"/>
      <c r="I302" s="13"/>
      <c r="J302" s="13"/>
      <c r="K302" s="17" t="e">
        <f>H302/E302*100</f>
        <v>#DIV/0!</v>
      </c>
      <c r="L302" s="10"/>
      <c r="M302" s="10"/>
      <c r="N302" s="17"/>
      <c r="O302" s="13"/>
      <c r="P302" s="13"/>
    </row>
    <row r="303" spans="1:235" s="85" customFormat="1" ht="22.5" customHeight="1">
      <c r="A303" s="82" t="s">
        <v>193</v>
      </c>
      <c r="B303" s="77"/>
      <c r="C303" s="77"/>
      <c r="D303" s="78"/>
      <c r="E303" s="89">
        <f>E304+E320+E313+E341</f>
        <v>26028000</v>
      </c>
      <c r="F303" s="89">
        <f>F304+F320+F313+F341</f>
        <v>26028000</v>
      </c>
      <c r="G303" s="89">
        <f aca="true" t="shared" si="33" ref="G303:O303">G304+G320+G313</f>
        <v>584999.9999982599</v>
      </c>
      <c r="H303" s="89">
        <f>H304+H320+H313+H341</f>
        <v>91971999.99997011</v>
      </c>
      <c r="I303" s="89"/>
      <c r="J303" s="89">
        <f>J304+J320+J313+J341</f>
        <v>92556999.99996836</v>
      </c>
      <c r="K303" s="89">
        <f t="shared" si="33"/>
        <v>79607.3631410829</v>
      </c>
      <c r="L303" s="89">
        <f t="shared" si="33"/>
        <v>0</v>
      </c>
      <c r="M303" s="89">
        <f t="shared" si="33"/>
        <v>0</v>
      </c>
      <c r="N303" s="89">
        <f t="shared" si="33"/>
        <v>480000</v>
      </c>
      <c r="O303" s="89">
        <f t="shared" si="33"/>
        <v>138499999.999978</v>
      </c>
      <c r="P303" s="89">
        <f>N303+O303</f>
        <v>138979999.999978</v>
      </c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  <c r="HL303" s="121"/>
      <c r="HM303" s="121"/>
      <c r="HN303" s="121"/>
      <c r="HO303" s="121"/>
      <c r="HP303" s="121"/>
      <c r="HQ303" s="121"/>
      <c r="HR303" s="121"/>
      <c r="HS303" s="121"/>
      <c r="HT303" s="121"/>
      <c r="HU303" s="121"/>
      <c r="HV303" s="121"/>
      <c r="HW303" s="121"/>
      <c r="HX303" s="121"/>
      <c r="HY303" s="121"/>
      <c r="HZ303" s="121"/>
      <c r="IA303" s="121"/>
    </row>
    <row r="304" spans="1:235" s="92" customFormat="1" ht="22.5">
      <c r="A304" s="82" t="s">
        <v>374</v>
      </c>
      <c r="B304" s="88"/>
      <c r="C304" s="88"/>
      <c r="D304" s="89"/>
      <c r="E304" s="89">
        <f>E308*E310-20</f>
        <v>2500000</v>
      </c>
      <c r="F304" s="89">
        <f>E304</f>
        <v>2500000</v>
      </c>
      <c r="G304" s="89"/>
      <c r="H304" s="89">
        <f>H308*H310</f>
        <v>19901999.999997</v>
      </c>
      <c r="I304" s="89"/>
      <c r="J304" s="89">
        <f>H304</f>
        <v>19901999.999997</v>
      </c>
      <c r="K304" s="89">
        <f>K308*K310</f>
        <v>79607.3631410829</v>
      </c>
      <c r="L304" s="89">
        <f>L308*L310</f>
        <v>0</v>
      </c>
      <c r="M304" s="89">
        <f>M308*M310</f>
        <v>0</v>
      </c>
      <c r="N304" s="89"/>
      <c r="O304" s="89">
        <f>O308*O310</f>
        <v>28289999.999988</v>
      </c>
      <c r="P304" s="89">
        <f>N304+O304</f>
        <v>28289999.999988</v>
      </c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1"/>
      <c r="HT304" s="91"/>
      <c r="HU304" s="91"/>
      <c r="HV304" s="91"/>
      <c r="HW304" s="91"/>
      <c r="HX304" s="91"/>
      <c r="HY304" s="91"/>
      <c r="HZ304" s="91"/>
      <c r="IA304" s="91"/>
    </row>
    <row r="305" spans="1:16" ht="11.25">
      <c r="A305" s="20" t="s">
        <v>4</v>
      </c>
      <c r="B305" s="5"/>
      <c r="C305" s="5"/>
      <c r="D305" s="17"/>
      <c r="E305" s="13"/>
      <c r="F305" s="13"/>
      <c r="G305" s="17"/>
      <c r="H305" s="13"/>
      <c r="I305" s="13"/>
      <c r="J305" s="13"/>
      <c r="K305" s="17"/>
      <c r="L305" s="10"/>
      <c r="M305" s="10"/>
      <c r="N305" s="17"/>
      <c r="O305" s="13"/>
      <c r="P305" s="13"/>
    </row>
    <row r="306" spans="1:16" ht="22.5">
      <c r="A306" s="55" t="s">
        <v>172</v>
      </c>
      <c r="B306" s="59"/>
      <c r="C306" s="59"/>
      <c r="D306" s="62"/>
      <c r="E306" s="62">
        <v>1172</v>
      </c>
      <c r="F306" s="62">
        <f>E306</f>
        <v>1172</v>
      </c>
      <c r="G306" s="62"/>
      <c r="H306" s="62">
        <f>F306</f>
        <v>1172</v>
      </c>
      <c r="I306" s="62"/>
      <c r="J306" s="62">
        <f>H306</f>
        <v>1172</v>
      </c>
      <c r="K306" s="62"/>
      <c r="L306" s="64"/>
      <c r="M306" s="64"/>
      <c r="N306" s="62"/>
      <c r="O306" s="62">
        <f>H306</f>
        <v>1172</v>
      </c>
      <c r="P306" s="62">
        <f>O306</f>
        <v>1172</v>
      </c>
    </row>
    <row r="307" spans="1:16" ht="11.25">
      <c r="A307" s="54" t="s">
        <v>5</v>
      </c>
      <c r="B307" s="61"/>
      <c r="C307" s="61"/>
      <c r="D307" s="62"/>
      <c r="E307" s="129"/>
      <c r="F307" s="129"/>
      <c r="G307" s="62"/>
      <c r="H307" s="129"/>
      <c r="I307" s="129"/>
      <c r="J307" s="129"/>
      <c r="K307" s="62" t="e">
        <f>H307/E307*100</f>
        <v>#DIV/0!</v>
      </c>
      <c r="L307" s="129"/>
      <c r="M307" s="129"/>
      <c r="N307" s="62"/>
      <c r="O307" s="129"/>
      <c r="P307" s="129"/>
    </row>
    <row r="308" spans="1:16" ht="22.5">
      <c r="A308" s="55" t="s">
        <v>173</v>
      </c>
      <c r="B308" s="59"/>
      <c r="C308" s="59"/>
      <c r="D308" s="62"/>
      <c r="E308" s="62">
        <v>19</v>
      </c>
      <c r="F308" s="62">
        <f>E308</f>
        <v>19</v>
      </c>
      <c r="G308" s="62"/>
      <c r="H308" s="62">
        <f>132+3</f>
        <v>135</v>
      </c>
      <c r="I308" s="62"/>
      <c r="J308" s="62">
        <f>H308</f>
        <v>135</v>
      </c>
      <c r="K308" s="62">
        <f>H308/E308*100</f>
        <v>710.5263157894738</v>
      </c>
      <c r="L308" s="62"/>
      <c r="M308" s="62"/>
      <c r="N308" s="62"/>
      <c r="O308" s="62">
        <v>180</v>
      </c>
      <c r="P308" s="62">
        <f>O308</f>
        <v>180</v>
      </c>
    </row>
    <row r="309" spans="1:16" ht="11.25">
      <c r="A309" s="54" t="s">
        <v>7</v>
      </c>
      <c r="B309" s="61"/>
      <c r="C309" s="61"/>
      <c r="D309" s="62"/>
      <c r="E309" s="129"/>
      <c r="F309" s="129"/>
      <c r="G309" s="62"/>
      <c r="H309" s="129"/>
      <c r="I309" s="129"/>
      <c r="J309" s="129"/>
      <c r="K309" s="62" t="e">
        <f>H309/E309*100</f>
        <v>#DIV/0!</v>
      </c>
      <c r="L309" s="129"/>
      <c r="M309" s="129"/>
      <c r="N309" s="62"/>
      <c r="O309" s="129"/>
      <c r="P309" s="129"/>
    </row>
    <row r="310" spans="1:16" ht="24" customHeight="1">
      <c r="A310" s="55" t="s">
        <v>174</v>
      </c>
      <c r="B310" s="59"/>
      <c r="C310" s="59"/>
      <c r="D310" s="62"/>
      <c r="E310" s="62">
        <v>131580</v>
      </c>
      <c r="F310" s="62">
        <f>E310</f>
        <v>131580</v>
      </c>
      <c r="G310" s="62"/>
      <c r="H310" s="62">
        <f>147422.2222222</f>
        <v>147422.2222222</v>
      </c>
      <c r="I310" s="62"/>
      <c r="J310" s="62">
        <f>H310</f>
        <v>147422.2222222</v>
      </c>
      <c r="K310" s="62">
        <f>H310/E310*100</f>
        <v>112.03999256893147</v>
      </c>
      <c r="L310" s="62"/>
      <c r="M310" s="62"/>
      <c r="N310" s="62"/>
      <c r="O310" s="62">
        <v>157166.6666666</v>
      </c>
      <c r="P310" s="62">
        <f>O310</f>
        <v>157166.6666666</v>
      </c>
    </row>
    <row r="311" spans="1:16" ht="11.25">
      <c r="A311" s="54" t="s">
        <v>6</v>
      </c>
      <c r="B311" s="61"/>
      <c r="C311" s="61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</row>
    <row r="312" spans="1:16" ht="50.25" customHeight="1">
      <c r="A312" s="55" t="s">
        <v>175</v>
      </c>
      <c r="B312" s="59"/>
      <c r="C312" s="59"/>
      <c r="D312" s="62"/>
      <c r="E312" s="62"/>
      <c r="F312" s="62"/>
      <c r="G312" s="62"/>
      <c r="H312" s="62">
        <f>H308/H306*100</f>
        <v>11.518771331058021</v>
      </c>
      <c r="I312" s="62"/>
      <c r="J312" s="62">
        <f>J308/J306*100</f>
        <v>11.518771331058021</v>
      </c>
      <c r="K312" s="62" t="e">
        <f>K308/K306*100</f>
        <v>#DIV/0!</v>
      </c>
      <c r="L312" s="62" t="e">
        <f>L308/L306*100</f>
        <v>#DIV/0!</v>
      </c>
      <c r="M312" s="62" t="e">
        <f>M308/M306*100</f>
        <v>#DIV/0!</v>
      </c>
      <c r="N312" s="62"/>
      <c r="O312" s="62">
        <f>O308/O306*100</f>
        <v>15.358361774744028</v>
      </c>
      <c r="P312" s="62">
        <f>P308/P306*100</f>
        <v>15.358361774744028</v>
      </c>
    </row>
    <row r="313" spans="1:235" s="92" customFormat="1" ht="29.25" customHeight="1">
      <c r="A313" s="82" t="s">
        <v>375</v>
      </c>
      <c r="B313" s="88"/>
      <c r="C313" s="88"/>
      <c r="D313" s="89"/>
      <c r="E313" s="89">
        <f>5000000</f>
        <v>5000000</v>
      </c>
      <c r="F313" s="89">
        <f>E313</f>
        <v>5000000</v>
      </c>
      <c r="G313" s="89"/>
      <c r="H313" s="89">
        <f>H317*H319</f>
        <v>32499999.999971997</v>
      </c>
      <c r="I313" s="89"/>
      <c r="J313" s="89">
        <f>H313</f>
        <v>32499999.999971997</v>
      </c>
      <c r="K313" s="89"/>
      <c r="L313" s="89"/>
      <c r="M313" s="89"/>
      <c r="N313" s="89"/>
      <c r="O313" s="89">
        <f>O317*O319</f>
        <v>46209999.999989994</v>
      </c>
      <c r="P313" s="89">
        <f>N313+O313</f>
        <v>46209999.999989994</v>
      </c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</row>
    <row r="314" spans="1:235" s="70" customFormat="1" ht="11.25">
      <c r="A314" s="20" t="s">
        <v>4</v>
      </c>
      <c r="B314" s="7"/>
      <c r="C314" s="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  <c r="GA314" s="69"/>
      <c r="GB314" s="69"/>
      <c r="GC314" s="69"/>
      <c r="GD314" s="69"/>
      <c r="GE314" s="69"/>
      <c r="GF314" s="69"/>
      <c r="GG314" s="69"/>
      <c r="GH314" s="69"/>
      <c r="GI314" s="69"/>
      <c r="GJ314" s="69"/>
      <c r="GK314" s="69"/>
      <c r="GL314" s="69"/>
      <c r="GM314" s="69"/>
      <c r="GN314" s="69"/>
      <c r="GO314" s="69"/>
      <c r="GP314" s="69"/>
      <c r="GQ314" s="69"/>
      <c r="GR314" s="69"/>
      <c r="GS314" s="69"/>
      <c r="GT314" s="69"/>
      <c r="GU314" s="69"/>
      <c r="GV314" s="69"/>
      <c r="GW314" s="69"/>
      <c r="GX314" s="69"/>
      <c r="GY314" s="69"/>
      <c r="GZ314" s="69"/>
      <c r="HA314" s="69"/>
      <c r="HB314" s="69"/>
      <c r="HC314" s="69"/>
      <c r="HD314" s="69"/>
      <c r="HE314" s="69"/>
      <c r="HF314" s="69"/>
      <c r="HG314" s="69"/>
      <c r="HH314" s="69"/>
      <c r="HI314" s="69"/>
      <c r="HJ314" s="69"/>
      <c r="HK314" s="69"/>
      <c r="HL314" s="69"/>
      <c r="HM314" s="69"/>
      <c r="HN314" s="69"/>
      <c r="HO314" s="69"/>
      <c r="HP314" s="69"/>
      <c r="HQ314" s="69"/>
      <c r="HR314" s="69"/>
      <c r="HS314" s="69"/>
      <c r="HT314" s="69"/>
      <c r="HU314" s="69"/>
      <c r="HV314" s="69"/>
      <c r="HW314" s="69"/>
      <c r="HX314" s="69"/>
      <c r="HY314" s="69"/>
      <c r="HZ314" s="69"/>
      <c r="IA314" s="69"/>
    </row>
    <row r="315" spans="1:235" s="70" customFormat="1" ht="25.5" customHeight="1">
      <c r="A315" s="21" t="s">
        <v>258</v>
      </c>
      <c r="B315" s="7"/>
      <c r="C315" s="7"/>
      <c r="D315" s="14"/>
      <c r="E315" s="14">
        <f>(1511*70)/100</f>
        <v>1057.7</v>
      </c>
      <c r="F315" s="14">
        <f>E315</f>
        <v>1057.7</v>
      </c>
      <c r="G315" s="14"/>
      <c r="H315" s="14">
        <f>1058-35</f>
        <v>1023</v>
      </c>
      <c r="I315" s="14"/>
      <c r="J315" s="14">
        <f>H315</f>
        <v>1023</v>
      </c>
      <c r="K315" s="14"/>
      <c r="L315" s="14"/>
      <c r="M315" s="14"/>
      <c r="N315" s="14"/>
      <c r="O315" s="14">
        <f>1023-43</f>
        <v>980</v>
      </c>
      <c r="P315" s="14">
        <f>O315</f>
        <v>980</v>
      </c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69"/>
      <c r="FE315" s="69"/>
      <c r="FF315" s="69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  <c r="FW315" s="69"/>
      <c r="FX315" s="69"/>
      <c r="FY315" s="69"/>
      <c r="FZ315" s="69"/>
      <c r="GA315" s="69"/>
      <c r="GB315" s="69"/>
      <c r="GC315" s="69"/>
      <c r="GD315" s="69"/>
      <c r="GE315" s="69"/>
      <c r="GF315" s="69"/>
      <c r="GG315" s="69"/>
      <c r="GH315" s="69"/>
      <c r="GI315" s="69"/>
      <c r="GJ315" s="69"/>
      <c r="GK315" s="69"/>
      <c r="GL315" s="69"/>
      <c r="GM315" s="69"/>
      <c r="GN315" s="69"/>
      <c r="GO315" s="69"/>
      <c r="GP315" s="69"/>
      <c r="GQ315" s="69"/>
      <c r="GR315" s="69"/>
      <c r="GS315" s="69"/>
      <c r="GT315" s="69"/>
      <c r="GU315" s="69"/>
      <c r="GV315" s="69"/>
      <c r="GW315" s="69"/>
      <c r="GX315" s="69"/>
      <c r="GY315" s="69"/>
      <c r="GZ315" s="69"/>
      <c r="HA315" s="69"/>
      <c r="HB315" s="69"/>
      <c r="HC315" s="69"/>
      <c r="HD315" s="69"/>
      <c r="HE315" s="69"/>
      <c r="HF315" s="69"/>
      <c r="HG315" s="69"/>
      <c r="HH315" s="69"/>
      <c r="HI315" s="69"/>
      <c r="HJ315" s="69"/>
      <c r="HK315" s="69"/>
      <c r="HL315" s="69"/>
      <c r="HM315" s="69"/>
      <c r="HN315" s="69"/>
      <c r="HO315" s="69"/>
      <c r="HP315" s="69"/>
      <c r="HQ315" s="69"/>
      <c r="HR315" s="69"/>
      <c r="HS315" s="69"/>
      <c r="HT315" s="69"/>
      <c r="HU315" s="69"/>
      <c r="HV315" s="69"/>
      <c r="HW315" s="69"/>
      <c r="HX315" s="69"/>
      <c r="HY315" s="69"/>
      <c r="HZ315" s="69"/>
      <c r="IA315" s="69"/>
    </row>
    <row r="316" spans="1:235" s="70" customFormat="1" ht="11.25">
      <c r="A316" s="20" t="s">
        <v>5</v>
      </c>
      <c r="B316" s="7"/>
      <c r="C316" s="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  <c r="FF316" s="69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  <c r="FW316" s="69"/>
      <c r="FX316" s="69"/>
      <c r="FY316" s="69"/>
      <c r="FZ316" s="69"/>
      <c r="GA316" s="69"/>
      <c r="GB316" s="69"/>
      <c r="GC316" s="69"/>
      <c r="GD316" s="69"/>
      <c r="GE316" s="69"/>
      <c r="GF316" s="69"/>
      <c r="GG316" s="69"/>
      <c r="GH316" s="69"/>
      <c r="GI316" s="69"/>
      <c r="GJ316" s="69"/>
      <c r="GK316" s="69"/>
      <c r="GL316" s="69"/>
      <c r="GM316" s="69"/>
      <c r="GN316" s="69"/>
      <c r="GO316" s="69"/>
      <c r="GP316" s="69"/>
      <c r="GQ316" s="69"/>
      <c r="GR316" s="69"/>
      <c r="GS316" s="69"/>
      <c r="GT316" s="69"/>
      <c r="GU316" s="69"/>
      <c r="GV316" s="69"/>
      <c r="GW316" s="69"/>
      <c r="GX316" s="69"/>
      <c r="GY316" s="69"/>
      <c r="GZ316" s="69"/>
      <c r="HA316" s="69"/>
      <c r="HB316" s="69"/>
      <c r="HC316" s="69"/>
      <c r="HD316" s="69"/>
      <c r="HE316" s="69"/>
      <c r="HF316" s="69"/>
      <c r="HG316" s="69"/>
      <c r="HH316" s="69"/>
      <c r="HI316" s="69"/>
      <c r="HJ316" s="69"/>
      <c r="HK316" s="69"/>
      <c r="HL316" s="69"/>
      <c r="HM316" s="69"/>
      <c r="HN316" s="69"/>
      <c r="HO316" s="69"/>
      <c r="HP316" s="69"/>
      <c r="HQ316" s="69"/>
      <c r="HR316" s="69"/>
      <c r="HS316" s="69"/>
      <c r="HT316" s="69"/>
      <c r="HU316" s="69"/>
      <c r="HV316" s="69"/>
      <c r="HW316" s="69"/>
      <c r="HX316" s="69"/>
      <c r="HY316" s="69"/>
      <c r="HZ316" s="69"/>
      <c r="IA316" s="69"/>
    </row>
    <row r="317" spans="1:235" s="70" customFormat="1" ht="28.5" customHeight="1">
      <c r="A317" s="21" t="s">
        <v>259</v>
      </c>
      <c r="B317" s="7"/>
      <c r="C317" s="7"/>
      <c r="D317" s="14"/>
      <c r="E317" s="14">
        <v>35</v>
      </c>
      <c r="F317" s="14">
        <v>35</v>
      </c>
      <c r="G317" s="14"/>
      <c r="H317" s="14">
        <v>228</v>
      </c>
      <c r="I317" s="14"/>
      <c r="J317" s="14">
        <v>140</v>
      </c>
      <c r="K317" s="14"/>
      <c r="L317" s="14"/>
      <c r="M317" s="14"/>
      <c r="N317" s="14"/>
      <c r="O317" s="14">
        <v>300</v>
      </c>
      <c r="P317" s="14">
        <v>41</v>
      </c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69"/>
      <c r="FE317" s="69"/>
      <c r="FF317" s="69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  <c r="FW317" s="69"/>
      <c r="FX317" s="69"/>
      <c r="FY317" s="69"/>
      <c r="FZ317" s="69"/>
      <c r="GA317" s="69"/>
      <c r="GB317" s="69"/>
      <c r="GC317" s="69"/>
      <c r="GD317" s="69"/>
      <c r="GE317" s="69"/>
      <c r="GF317" s="69"/>
      <c r="GG317" s="69"/>
      <c r="GH317" s="69"/>
      <c r="GI317" s="69"/>
      <c r="GJ317" s="69"/>
      <c r="GK317" s="69"/>
      <c r="GL317" s="69"/>
      <c r="GM317" s="69"/>
      <c r="GN317" s="69"/>
      <c r="GO317" s="69"/>
      <c r="GP317" s="69"/>
      <c r="GQ317" s="69"/>
      <c r="GR317" s="69"/>
      <c r="GS317" s="69"/>
      <c r="GT317" s="69"/>
      <c r="GU317" s="69"/>
      <c r="GV317" s="69"/>
      <c r="GW317" s="69"/>
      <c r="GX317" s="69"/>
      <c r="GY317" s="69"/>
      <c r="GZ317" s="69"/>
      <c r="HA317" s="69"/>
      <c r="HB317" s="69"/>
      <c r="HC317" s="69"/>
      <c r="HD317" s="69"/>
      <c r="HE317" s="69"/>
      <c r="HF317" s="69"/>
      <c r="HG317" s="69"/>
      <c r="HH317" s="69"/>
      <c r="HI317" s="69"/>
      <c r="HJ317" s="69"/>
      <c r="HK317" s="69"/>
      <c r="HL317" s="69"/>
      <c r="HM317" s="69"/>
      <c r="HN317" s="69"/>
      <c r="HO317" s="69"/>
      <c r="HP317" s="69"/>
      <c r="HQ317" s="69"/>
      <c r="HR317" s="69"/>
      <c r="HS317" s="69"/>
      <c r="HT317" s="69"/>
      <c r="HU317" s="69"/>
      <c r="HV317" s="69"/>
      <c r="HW317" s="69"/>
      <c r="HX317" s="69"/>
      <c r="HY317" s="69"/>
      <c r="HZ317" s="69"/>
      <c r="IA317" s="69"/>
    </row>
    <row r="318" spans="1:235" s="70" customFormat="1" ht="11.25">
      <c r="A318" s="20" t="s">
        <v>7</v>
      </c>
      <c r="B318" s="7"/>
      <c r="C318" s="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  <c r="GV318" s="69"/>
      <c r="GW318" s="69"/>
      <c r="GX318" s="69"/>
      <c r="GY318" s="69"/>
      <c r="GZ318" s="69"/>
      <c r="HA318" s="69"/>
      <c r="HB318" s="69"/>
      <c r="HC318" s="69"/>
      <c r="HD318" s="69"/>
      <c r="HE318" s="69"/>
      <c r="HF318" s="69"/>
      <c r="HG318" s="69"/>
      <c r="HH318" s="69"/>
      <c r="HI318" s="69"/>
      <c r="HJ318" s="69"/>
      <c r="HK318" s="69"/>
      <c r="HL318" s="69"/>
      <c r="HM318" s="69"/>
      <c r="HN318" s="69"/>
      <c r="HO318" s="69"/>
      <c r="HP318" s="69"/>
      <c r="HQ318" s="69"/>
      <c r="HR318" s="69"/>
      <c r="HS318" s="69"/>
      <c r="HT318" s="69"/>
      <c r="HU318" s="69"/>
      <c r="HV318" s="69"/>
      <c r="HW318" s="69"/>
      <c r="HX318" s="69"/>
      <c r="HY318" s="69"/>
      <c r="HZ318" s="69"/>
      <c r="IA318" s="69"/>
    </row>
    <row r="319" spans="1:235" s="70" customFormat="1" ht="23.25" customHeight="1">
      <c r="A319" s="21" t="s">
        <v>174</v>
      </c>
      <c r="B319" s="7"/>
      <c r="C319" s="7"/>
      <c r="D319" s="14"/>
      <c r="E319" s="14">
        <f>E313/E317</f>
        <v>142857.14285714287</v>
      </c>
      <c r="F319" s="14">
        <f>E319</f>
        <v>142857.14285714287</v>
      </c>
      <c r="G319" s="14"/>
      <c r="H319" s="14">
        <v>142543.859649</v>
      </c>
      <c r="I319" s="14"/>
      <c r="J319" s="14">
        <f>H319</f>
        <v>142543.859649</v>
      </c>
      <c r="K319" s="14"/>
      <c r="L319" s="14"/>
      <c r="M319" s="14"/>
      <c r="N319" s="14"/>
      <c r="O319" s="14">
        <v>154033.3333333</v>
      </c>
      <c r="P319" s="14">
        <f>P313/P317</f>
        <v>1127073.1707314632</v>
      </c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  <c r="GA319" s="69"/>
      <c r="GB319" s="69"/>
      <c r="GC319" s="69"/>
      <c r="GD319" s="69"/>
      <c r="GE319" s="69"/>
      <c r="GF319" s="69"/>
      <c r="GG319" s="69"/>
      <c r="GH319" s="69"/>
      <c r="GI319" s="69"/>
      <c r="GJ319" s="69"/>
      <c r="GK319" s="69"/>
      <c r="GL319" s="69"/>
      <c r="GM319" s="69"/>
      <c r="GN319" s="69"/>
      <c r="GO319" s="69"/>
      <c r="GP319" s="69"/>
      <c r="GQ319" s="69"/>
      <c r="GR319" s="69"/>
      <c r="GS319" s="69"/>
      <c r="GT319" s="69"/>
      <c r="GU319" s="69"/>
      <c r="GV319" s="69"/>
      <c r="GW319" s="69"/>
      <c r="GX319" s="69"/>
      <c r="GY319" s="69"/>
      <c r="GZ319" s="69"/>
      <c r="HA319" s="69"/>
      <c r="HB319" s="69"/>
      <c r="HC319" s="69"/>
      <c r="HD319" s="69"/>
      <c r="HE319" s="69"/>
      <c r="HF319" s="69"/>
      <c r="HG319" s="69"/>
      <c r="HH319" s="69"/>
      <c r="HI319" s="69"/>
      <c r="HJ319" s="69"/>
      <c r="HK319" s="69"/>
      <c r="HL319" s="69"/>
      <c r="HM319" s="69"/>
      <c r="HN319" s="69"/>
      <c r="HO319" s="69"/>
      <c r="HP319" s="69"/>
      <c r="HQ319" s="69"/>
      <c r="HR319" s="69"/>
      <c r="HS319" s="69"/>
      <c r="HT319" s="69"/>
      <c r="HU319" s="69"/>
      <c r="HV319" s="69"/>
      <c r="HW319" s="69"/>
      <c r="HX319" s="69"/>
      <c r="HY319" s="69"/>
      <c r="HZ319" s="69"/>
      <c r="IA319" s="69"/>
    </row>
    <row r="320" spans="1:235" s="92" customFormat="1" ht="36.75" customHeight="1">
      <c r="A320" s="82" t="s">
        <v>377</v>
      </c>
      <c r="B320" s="88"/>
      <c r="C320" s="88"/>
      <c r="D320" s="89"/>
      <c r="E320" s="89">
        <f>(E327*E332)+(E328*E333)+(E329*E334)+(E330*E335)-1630000</f>
        <v>17148000</v>
      </c>
      <c r="F320" s="89">
        <f>(F327*F332)+(F328*F333)+(F329*F334)+(F330*F335)-1630000</f>
        <v>17148000</v>
      </c>
      <c r="G320" s="89">
        <f>G330*G335</f>
        <v>584999.9999982599</v>
      </c>
      <c r="H320" s="89">
        <f>(H327*H332)+(H328*H333)+(H329*H334)</f>
        <v>39320000.0000018</v>
      </c>
      <c r="I320" s="89"/>
      <c r="J320" s="89">
        <f>H320+G320</f>
        <v>39905000.00000006</v>
      </c>
      <c r="K320" s="89">
        <f>(K327*K332)+(K328*K333)+(K329*K334)+(K330*K335)</f>
        <v>0</v>
      </c>
      <c r="L320" s="89">
        <f>(L327*L332)+(L328*L333)+(L329*L334)+(L330*L335)</f>
        <v>0</v>
      </c>
      <c r="M320" s="89">
        <f>(M327*M332)+(M328*M333)+(M329*M334)+(M330*M335)</f>
        <v>0</v>
      </c>
      <c r="N320" s="89">
        <f>N330*N335</f>
        <v>480000</v>
      </c>
      <c r="O320" s="89">
        <f>(O327*O332)+(O328*O333)+(O329*O334)+(O330*O335)-8348</f>
        <v>64000000</v>
      </c>
      <c r="P320" s="89">
        <f>N320+O320</f>
        <v>64480000</v>
      </c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</row>
    <row r="321" spans="1:16" ht="11.25">
      <c r="A321" s="54" t="s">
        <v>4</v>
      </c>
      <c r="B321" s="60"/>
      <c r="C321" s="60"/>
      <c r="D321" s="62"/>
      <c r="E321" s="64"/>
      <c r="F321" s="64"/>
      <c r="G321" s="62"/>
      <c r="H321" s="64"/>
      <c r="I321" s="64"/>
      <c r="J321" s="64"/>
      <c r="K321" s="64"/>
      <c r="L321" s="64"/>
      <c r="M321" s="64"/>
      <c r="N321" s="62"/>
      <c r="O321" s="64"/>
      <c r="P321" s="64"/>
    </row>
    <row r="322" spans="1:16" ht="16.5" customHeight="1">
      <c r="A322" s="55" t="s">
        <v>176</v>
      </c>
      <c r="B322" s="60"/>
      <c r="C322" s="60"/>
      <c r="D322" s="62"/>
      <c r="E322" s="62">
        <v>12</v>
      </c>
      <c r="F322" s="62">
        <f>E322</f>
        <v>12</v>
      </c>
      <c r="G322" s="62"/>
      <c r="H322" s="64"/>
      <c r="I322" s="64"/>
      <c r="J322" s="64"/>
      <c r="K322" s="64"/>
      <c r="L322" s="64"/>
      <c r="M322" s="64"/>
      <c r="N322" s="62"/>
      <c r="O322" s="64"/>
      <c r="P322" s="64"/>
    </row>
    <row r="323" spans="1:16" ht="22.5">
      <c r="A323" s="55" t="s">
        <v>177</v>
      </c>
      <c r="B323" s="60"/>
      <c r="C323" s="60"/>
      <c r="D323" s="62"/>
      <c r="E323" s="62">
        <v>700</v>
      </c>
      <c r="F323" s="62">
        <f>E323</f>
        <v>700</v>
      </c>
      <c r="G323" s="62"/>
      <c r="H323" s="62">
        <v>500</v>
      </c>
      <c r="I323" s="62"/>
      <c r="J323" s="62">
        <f>H323</f>
        <v>500</v>
      </c>
      <c r="K323" s="64"/>
      <c r="L323" s="64"/>
      <c r="M323" s="64"/>
      <c r="N323" s="62"/>
      <c r="O323" s="62">
        <v>500</v>
      </c>
      <c r="P323" s="62">
        <f>O323</f>
        <v>500</v>
      </c>
    </row>
    <row r="324" spans="1:16" ht="22.5">
      <c r="A324" s="55" t="s">
        <v>178</v>
      </c>
      <c r="B324" s="60"/>
      <c r="C324" s="60"/>
      <c r="D324" s="62"/>
      <c r="E324" s="62">
        <v>454</v>
      </c>
      <c r="F324" s="62">
        <v>454</v>
      </c>
      <c r="G324" s="62"/>
      <c r="H324" s="62">
        <v>500</v>
      </c>
      <c r="I324" s="64"/>
      <c r="J324" s="62">
        <f>H324</f>
        <v>500</v>
      </c>
      <c r="K324" s="64"/>
      <c r="L324" s="64"/>
      <c r="M324" s="64"/>
      <c r="N324" s="62"/>
      <c r="O324" s="62">
        <v>400</v>
      </c>
      <c r="P324" s="62">
        <f>O324</f>
        <v>400</v>
      </c>
    </row>
    <row r="325" spans="1:16" ht="28.5" customHeight="1">
      <c r="A325" s="55" t="s">
        <v>179</v>
      </c>
      <c r="B325" s="60"/>
      <c r="C325" s="60"/>
      <c r="D325" s="62"/>
      <c r="E325" s="62">
        <v>700</v>
      </c>
      <c r="F325" s="62">
        <f>E325</f>
        <v>700</v>
      </c>
      <c r="G325" s="62">
        <v>500</v>
      </c>
      <c r="H325" s="62"/>
      <c r="I325" s="62"/>
      <c r="J325" s="62">
        <f>G325</f>
        <v>500</v>
      </c>
      <c r="K325" s="62"/>
      <c r="L325" s="62"/>
      <c r="M325" s="62"/>
      <c r="N325" s="62">
        <v>400</v>
      </c>
      <c r="O325" s="62"/>
      <c r="P325" s="62">
        <v>400</v>
      </c>
    </row>
    <row r="326" spans="1:16" ht="11.25">
      <c r="A326" s="54" t="s">
        <v>5</v>
      </c>
      <c r="B326" s="61"/>
      <c r="C326" s="61"/>
      <c r="D326" s="62"/>
      <c r="E326" s="62"/>
      <c r="F326" s="62"/>
      <c r="G326" s="62"/>
      <c r="H326" s="129"/>
      <c r="I326" s="129"/>
      <c r="J326" s="129"/>
      <c r="K326" s="62" t="e">
        <f>H326/E326*100</f>
        <v>#DIV/0!</v>
      </c>
      <c r="L326" s="129"/>
      <c r="M326" s="129"/>
      <c r="N326" s="62"/>
      <c r="O326" s="129"/>
      <c r="P326" s="129"/>
    </row>
    <row r="327" spans="1:16" ht="16.5" customHeight="1">
      <c r="A327" s="55" t="s">
        <v>376</v>
      </c>
      <c r="B327" s="61"/>
      <c r="C327" s="61"/>
      <c r="D327" s="62"/>
      <c r="E327" s="62">
        <v>12</v>
      </c>
      <c r="F327" s="62">
        <f>E327</f>
        <v>12</v>
      </c>
      <c r="G327" s="62"/>
      <c r="H327" s="62">
        <v>20</v>
      </c>
      <c r="I327" s="62"/>
      <c r="J327" s="62">
        <v>20</v>
      </c>
      <c r="K327" s="62"/>
      <c r="L327" s="129"/>
      <c r="M327" s="129"/>
      <c r="N327" s="62"/>
      <c r="O327" s="129"/>
      <c r="P327" s="129"/>
    </row>
    <row r="328" spans="1:16" ht="22.5">
      <c r="A328" s="55" t="s">
        <v>186</v>
      </c>
      <c r="B328" s="61"/>
      <c r="C328" s="61"/>
      <c r="D328" s="62"/>
      <c r="E328" s="62">
        <v>200</v>
      </c>
      <c r="F328" s="62">
        <v>200</v>
      </c>
      <c r="G328" s="62"/>
      <c r="H328" s="62">
        <v>400</v>
      </c>
      <c r="I328" s="62"/>
      <c r="J328" s="62">
        <f>H328</f>
        <v>400</v>
      </c>
      <c r="K328" s="62"/>
      <c r="L328" s="62"/>
      <c r="M328" s="62"/>
      <c r="N328" s="62"/>
      <c r="O328" s="114">
        <v>298</v>
      </c>
      <c r="P328" s="62">
        <f>O328</f>
        <v>298</v>
      </c>
    </row>
    <row r="329" spans="1:16" ht="22.5">
      <c r="A329" s="55" t="s">
        <v>180</v>
      </c>
      <c r="B329" s="61"/>
      <c r="C329" s="61"/>
      <c r="D329" s="62"/>
      <c r="E329" s="62">
        <v>454</v>
      </c>
      <c r="F329" s="62">
        <f>E329</f>
        <v>454</v>
      </c>
      <c r="G329" s="62"/>
      <c r="H329" s="62">
        <v>460</v>
      </c>
      <c r="I329" s="62"/>
      <c r="J329" s="62">
        <v>460</v>
      </c>
      <c r="K329" s="62"/>
      <c r="L329" s="129"/>
      <c r="M329" s="129"/>
      <c r="N329" s="62"/>
      <c r="O329" s="114">
        <v>334</v>
      </c>
      <c r="P329" s="62">
        <f>O329</f>
        <v>334</v>
      </c>
    </row>
    <row r="330" spans="1:16" ht="33.75">
      <c r="A330" s="55" t="s">
        <v>181</v>
      </c>
      <c r="B330" s="61"/>
      <c r="C330" s="61"/>
      <c r="D330" s="62"/>
      <c r="E330" s="62">
        <v>200</v>
      </c>
      <c r="F330" s="62">
        <f>E330</f>
        <v>200</v>
      </c>
      <c r="G330" s="62">
        <v>374</v>
      </c>
      <c r="H330" s="62"/>
      <c r="I330" s="62"/>
      <c r="J330" s="62">
        <f>G330</f>
        <v>374</v>
      </c>
      <c r="K330" s="62"/>
      <c r="L330" s="62"/>
      <c r="M330" s="62"/>
      <c r="N330" s="62">
        <v>400</v>
      </c>
      <c r="O330" s="62"/>
      <c r="P330" s="62">
        <f>N330</f>
        <v>400</v>
      </c>
    </row>
    <row r="331" spans="1:16" ht="11.25">
      <c r="A331" s="54" t="s">
        <v>7</v>
      </c>
      <c r="B331" s="61"/>
      <c r="C331" s="61"/>
      <c r="D331" s="62"/>
      <c r="E331" s="129"/>
      <c r="F331" s="129"/>
      <c r="G331" s="62"/>
      <c r="H331" s="129"/>
      <c r="I331" s="129"/>
      <c r="J331" s="129"/>
      <c r="K331" s="62" t="e">
        <f>H331/E331*100</f>
        <v>#DIV/0!</v>
      </c>
      <c r="L331" s="129"/>
      <c r="M331" s="129"/>
      <c r="N331" s="62"/>
      <c r="O331" s="129"/>
      <c r="P331" s="129"/>
    </row>
    <row r="332" spans="1:16" ht="22.5">
      <c r="A332" s="55" t="s">
        <v>182</v>
      </c>
      <c r="B332" s="59"/>
      <c r="C332" s="59"/>
      <c r="D332" s="62"/>
      <c r="E332" s="62">
        <v>400000</v>
      </c>
      <c r="F332" s="62">
        <f>E332</f>
        <v>400000</v>
      </c>
      <c r="G332" s="62"/>
      <c r="H332" s="62">
        <v>250000</v>
      </c>
      <c r="I332" s="62"/>
      <c r="J332" s="62">
        <f>H332</f>
        <v>250000</v>
      </c>
      <c r="K332" s="62"/>
      <c r="L332" s="62"/>
      <c r="M332" s="62"/>
      <c r="N332" s="62"/>
      <c r="O332" s="62"/>
      <c r="P332" s="62"/>
    </row>
    <row r="333" spans="1:16" ht="22.5">
      <c r="A333" s="55" t="s">
        <v>183</v>
      </c>
      <c r="B333" s="59"/>
      <c r="C333" s="59"/>
      <c r="D333" s="62"/>
      <c r="E333" s="62">
        <v>52500</v>
      </c>
      <c r="F333" s="62">
        <f>E333</f>
        <v>52500</v>
      </c>
      <c r="G333" s="62"/>
      <c r="H333" s="62">
        <v>75000</v>
      </c>
      <c r="I333" s="62"/>
      <c r="J333" s="62">
        <f>H333</f>
        <v>75000</v>
      </c>
      <c r="K333" s="62"/>
      <c r="L333" s="62"/>
      <c r="M333" s="62"/>
      <c r="N333" s="62"/>
      <c r="O333" s="62">
        <v>201330</v>
      </c>
      <c r="P333" s="62">
        <f>O333</f>
        <v>201330</v>
      </c>
    </row>
    <row r="334" spans="1:16" ht="22.5">
      <c r="A334" s="55" t="s">
        <v>184</v>
      </c>
      <c r="B334" s="59"/>
      <c r="C334" s="59"/>
      <c r="D334" s="62"/>
      <c r="E334" s="62">
        <v>7000</v>
      </c>
      <c r="F334" s="62">
        <f>E334</f>
        <v>7000</v>
      </c>
      <c r="G334" s="62"/>
      <c r="H334" s="62">
        <v>9391.30434783</v>
      </c>
      <c r="I334" s="62"/>
      <c r="J334" s="62">
        <f>H334</f>
        <v>9391.30434783</v>
      </c>
      <c r="K334" s="62"/>
      <c r="L334" s="62"/>
      <c r="M334" s="62"/>
      <c r="N334" s="62"/>
      <c r="O334" s="62">
        <v>12012</v>
      </c>
      <c r="P334" s="62">
        <f>O334</f>
        <v>12012</v>
      </c>
    </row>
    <row r="335" spans="1:16" ht="33.75">
      <c r="A335" s="55" t="s">
        <v>185</v>
      </c>
      <c r="B335" s="59"/>
      <c r="C335" s="59"/>
      <c r="D335" s="62"/>
      <c r="E335" s="62">
        <v>1500</v>
      </c>
      <c r="F335" s="62">
        <f>E335</f>
        <v>1500</v>
      </c>
      <c r="G335" s="62">
        <v>1564.17112299</v>
      </c>
      <c r="H335" s="62"/>
      <c r="I335" s="62"/>
      <c r="J335" s="62">
        <f>G335</f>
        <v>1564.17112299</v>
      </c>
      <c r="K335" s="62"/>
      <c r="L335" s="62"/>
      <c r="M335" s="62"/>
      <c r="N335" s="62">
        <v>1200</v>
      </c>
      <c r="O335" s="62"/>
      <c r="P335" s="62">
        <f>N335</f>
        <v>1200</v>
      </c>
    </row>
    <row r="336" spans="1:16" ht="11.25">
      <c r="A336" s="54" t="s">
        <v>6</v>
      </c>
      <c r="B336" s="59"/>
      <c r="C336" s="59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</row>
    <row r="337" spans="1:16" ht="33.75">
      <c r="A337" s="55" t="s">
        <v>187</v>
      </c>
      <c r="B337" s="59"/>
      <c r="C337" s="59"/>
      <c r="D337" s="62"/>
      <c r="E337" s="62">
        <f>E327/E322*100</f>
        <v>100</v>
      </c>
      <c r="F337" s="62">
        <f>E337</f>
        <v>100</v>
      </c>
      <c r="G337" s="62"/>
      <c r="H337" s="62"/>
      <c r="I337" s="62"/>
      <c r="J337" s="62"/>
      <c r="K337" s="62"/>
      <c r="L337" s="62"/>
      <c r="M337" s="62"/>
      <c r="N337" s="62"/>
      <c r="O337" s="62"/>
      <c r="P337" s="62"/>
    </row>
    <row r="338" spans="1:16" ht="45">
      <c r="A338" s="55" t="s">
        <v>188</v>
      </c>
      <c r="B338" s="59"/>
      <c r="C338" s="59"/>
      <c r="D338" s="62"/>
      <c r="E338" s="62">
        <f>E328/E323*100</f>
        <v>28.57142857142857</v>
      </c>
      <c r="F338" s="62">
        <f aca="true" t="shared" si="34" ref="F338:P338">F328/F323*100</f>
        <v>28.57142857142857</v>
      </c>
      <c r="G338" s="62"/>
      <c r="H338" s="62">
        <f t="shared" si="34"/>
        <v>80</v>
      </c>
      <c r="I338" s="62"/>
      <c r="J338" s="62">
        <f t="shared" si="34"/>
        <v>80</v>
      </c>
      <c r="K338" s="62" t="e">
        <f t="shared" si="34"/>
        <v>#DIV/0!</v>
      </c>
      <c r="L338" s="62" t="e">
        <f t="shared" si="34"/>
        <v>#DIV/0!</v>
      </c>
      <c r="M338" s="62" t="e">
        <f t="shared" si="34"/>
        <v>#DIV/0!</v>
      </c>
      <c r="N338" s="62"/>
      <c r="O338" s="62">
        <f t="shared" si="34"/>
        <v>59.599999999999994</v>
      </c>
      <c r="P338" s="62">
        <f t="shared" si="34"/>
        <v>59.599999999999994</v>
      </c>
    </row>
    <row r="339" spans="1:16" ht="45">
      <c r="A339" s="55" t="s">
        <v>189</v>
      </c>
      <c r="B339" s="59"/>
      <c r="C339" s="59"/>
      <c r="D339" s="62"/>
      <c r="E339" s="62">
        <f>E329/E324*100</f>
        <v>100</v>
      </c>
      <c r="F339" s="62">
        <f>E339</f>
        <v>100</v>
      </c>
      <c r="G339" s="62"/>
      <c r="H339" s="62"/>
      <c r="I339" s="62"/>
      <c r="J339" s="62"/>
      <c r="K339" s="62"/>
      <c r="L339" s="62"/>
      <c r="M339" s="62"/>
      <c r="N339" s="62"/>
      <c r="O339" s="62"/>
      <c r="P339" s="62"/>
    </row>
    <row r="340" spans="1:16" ht="56.25">
      <c r="A340" s="55" t="s">
        <v>190</v>
      </c>
      <c r="B340" s="59"/>
      <c r="C340" s="59"/>
      <c r="D340" s="62"/>
      <c r="E340" s="62">
        <f>E330/E323*100</f>
        <v>28.57142857142857</v>
      </c>
      <c r="F340" s="62">
        <f aca="true" t="shared" si="35" ref="F340:P340">F330/F323*100</f>
        <v>28.57142857142857</v>
      </c>
      <c r="G340" s="62">
        <f>G330/G325*100</f>
        <v>74.8</v>
      </c>
      <c r="H340" s="62"/>
      <c r="I340" s="62"/>
      <c r="J340" s="62">
        <f t="shared" si="35"/>
        <v>74.8</v>
      </c>
      <c r="K340" s="62" t="e">
        <f t="shared" si="35"/>
        <v>#DIV/0!</v>
      </c>
      <c r="L340" s="62" t="e">
        <f t="shared" si="35"/>
        <v>#DIV/0!</v>
      </c>
      <c r="M340" s="62" t="e">
        <f t="shared" si="35"/>
        <v>#DIV/0!</v>
      </c>
      <c r="N340" s="62"/>
      <c r="O340" s="62">
        <f t="shared" si="35"/>
        <v>0</v>
      </c>
      <c r="P340" s="62">
        <f t="shared" si="35"/>
        <v>80</v>
      </c>
    </row>
    <row r="341" spans="1:235" s="92" customFormat="1" ht="33.75">
      <c r="A341" s="82" t="s">
        <v>378</v>
      </c>
      <c r="B341" s="88"/>
      <c r="C341" s="88"/>
      <c r="D341" s="89"/>
      <c r="E341" s="89">
        <f>1630000-250000</f>
        <v>1380000</v>
      </c>
      <c r="F341" s="89">
        <f>E341</f>
        <v>1380000</v>
      </c>
      <c r="G341" s="89"/>
      <c r="H341" s="89">
        <f>H345*H347</f>
        <v>249999.9999993</v>
      </c>
      <c r="I341" s="89"/>
      <c r="J341" s="89">
        <f>H341</f>
        <v>249999.9999993</v>
      </c>
      <c r="K341" s="89">
        <f>K345*K347+1</f>
        <v>1</v>
      </c>
      <c r="L341" s="89">
        <f>L345*L347+1</f>
        <v>1</v>
      </c>
      <c r="M341" s="89">
        <f>M345*M347+1</f>
        <v>1</v>
      </c>
      <c r="N341" s="89"/>
      <c r="O341" s="89"/>
      <c r="P341" s="89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1"/>
      <c r="HT341" s="91"/>
      <c r="HU341" s="91"/>
      <c r="HV341" s="91"/>
      <c r="HW341" s="91"/>
      <c r="HX341" s="91"/>
      <c r="HY341" s="91"/>
      <c r="HZ341" s="91"/>
      <c r="IA341" s="91"/>
    </row>
    <row r="342" spans="1:16" ht="9.75" customHeight="1">
      <c r="A342" s="54" t="s">
        <v>4</v>
      </c>
      <c r="B342" s="59"/>
      <c r="C342" s="59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</row>
    <row r="343" spans="1:16" ht="33.75">
      <c r="A343" s="55" t="s">
        <v>271</v>
      </c>
      <c r="B343" s="59"/>
      <c r="C343" s="59"/>
      <c r="D343" s="62"/>
      <c r="E343" s="62">
        <v>48</v>
      </c>
      <c r="F343" s="62">
        <f>E343</f>
        <v>48</v>
      </c>
      <c r="G343" s="62"/>
      <c r="H343" s="62">
        <v>9</v>
      </c>
      <c r="I343" s="62"/>
      <c r="J343" s="62">
        <f>H343</f>
        <v>9</v>
      </c>
      <c r="K343" s="62"/>
      <c r="L343" s="62"/>
      <c r="M343" s="62"/>
      <c r="N343" s="62"/>
      <c r="O343" s="62"/>
      <c r="P343" s="62"/>
    </row>
    <row r="344" spans="1:16" ht="11.25">
      <c r="A344" s="54" t="s">
        <v>5</v>
      </c>
      <c r="B344" s="59"/>
      <c r="C344" s="59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</row>
    <row r="345" spans="1:16" ht="27" customHeight="1">
      <c r="A345" s="55" t="s">
        <v>274</v>
      </c>
      <c r="B345" s="59"/>
      <c r="C345" s="59"/>
      <c r="D345" s="62"/>
      <c r="E345" s="62">
        <v>48</v>
      </c>
      <c r="F345" s="62">
        <v>48</v>
      </c>
      <c r="G345" s="62"/>
      <c r="H345" s="62">
        <v>9</v>
      </c>
      <c r="I345" s="62"/>
      <c r="J345" s="62">
        <v>48</v>
      </c>
      <c r="K345" s="62"/>
      <c r="L345" s="62"/>
      <c r="M345" s="62"/>
      <c r="N345" s="62"/>
      <c r="O345" s="62"/>
      <c r="P345" s="62"/>
    </row>
    <row r="346" spans="1:16" ht="11.25">
      <c r="A346" s="54" t="s">
        <v>7</v>
      </c>
      <c r="B346" s="59"/>
      <c r="C346" s="59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</row>
    <row r="347" spans="1:16" ht="22.5">
      <c r="A347" s="55" t="s">
        <v>272</v>
      </c>
      <c r="B347" s="59"/>
      <c r="C347" s="59"/>
      <c r="D347" s="62"/>
      <c r="E347" s="62">
        <v>28103.5</v>
      </c>
      <c r="F347" s="62">
        <f>E347</f>
        <v>28103.5</v>
      </c>
      <c r="G347" s="62"/>
      <c r="H347" s="62">
        <v>27777.7777777</v>
      </c>
      <c r="I347" s="62"/>
      <c r="J347" s="62">
        <f>H347</f>
        <v>27777.7777777</v>
      </c>
      <c r="K347" s="62"/>
      <c r="L347" s="62"/>
      <c r="M347" s="62"/>
      <c r="N347" s="62"/>
      <c r="O347" s="62"/>
      <c r="P347" s="62"/>
    </row>
    <row r="348" spans="1:16" ht="11.25">
      <c r="A348" s="54" t="s">
        <v>6</v>
      </c>
      <c r="B348" s="60"/>
      <c r="C348" s="60"/>
      <c r="D348" s="62"/>
      <c r="E348" s="64"/>
      <c r="F348" s="64"/>
      <c r="G348" s="62"/>
      <c r="H348" s="64"/>
      <c r="I348" s="64"/>
      <c r="J348" s="64"/>
      <c r="K348" s="64"/>
      <c r="L348" s="64"/>
      <c r="M348" s="64"/>
      <c r="N348" s="62"/>
      <c r="O348" s="64"/>
      <c r="P348" s="64"/>
    </row>
    <row r="349" spans="1:16" ht="48.75" customHeight="1">
      <c r="A349" s="55" t="s">
        <v>273</v>
      </c>
      <c r="B349" s="61"/>
      <c r="C349" s="61"/>
      <c r="D349" s="129"/>
      <c r="E349" s="62">
        <f>E345/E343*100</f>
        <v>100</v>
      </c>
      <c r="F349" s="62">
        <f>E349</f>
        <v>100</v>
      </c>
      <c r="G349" s="62"/>
      <c r="H349" s="62">
        <f>H345/H343*100</f>
        <v>100</v>
      </c>
      <c r="I349" s="62"/>
      <c r="J349" s="62">
        <f>H349</f>
        <v>100</v>
      </c>
      <c r="K349" s="62" t="e">
        <f>(#REF!*#REF!)+(#REF!*#REF!)+(#REF!*#REF!)</f>
        <v>#REF!</v>
      </c>
      <c r="L349" s="62" t="e">
        <f>(#REF!*#REF!)+(#REF!*#REF!)+(#REF!*#REF!)</f>
        <v>#REF!</v>
      </c>
      <c r="M349" s="62" t="e">
        <f>(#REF!*#REF!)+(#REF!*#REF!)+(#REF!*#REF!)</f>
        <v>#REF!</v>
      </c>
      <c r="N349" s="62"/>
      <c r="O349" s="62"/>
      <c r="P349" s="62"/>
    </row>
    <row r="350" spans="1:16" ht="11.25" hidden="1">
      <c r="A350" s="55"/>
      <c r="B350" s="59"/>
      <c r="C350" s="59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</row>
    <row r="351" spans="1:16" ht="11.25" hidden="1">
      <c r="A351" s="55"/>
      <c r="B351" s="59"/>
      <c r="C351" s="59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</row>
    <row r="352" spans="1:16" ht="11.25" hidden="1">
      <c r="A352" s="55"/>
      <c r="B352" s="59"/>
      <c r="C352" s="59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</row>
    <row r="353" spans="1:235" s="92" customFormat="1" ht="33.75">
      <c r="A353" s="82" t="s">
        <v>191</v>
      </c>
      <c r="B353" s="88"/>
      <c r="C353" s="88"/>
      <c r="D353" s="89"/>
      <c r="E353" s="89">
        <f>E354</f>
        <v>1000000</v>
      </c>
      <c r="F353" s="89">
        <f>E353</f>
        <v>1000000</v>
      </c>
      <c r="G353" s="89"/>
      <c r="H353" s="89">
        <f>H354</f>
        <v>6999999.999978</v>
      </c>
      <c r="I353" s="89"/>
      <c r="J353" s="89">
        <f>H353</f>
        <v>6999999.999978</v>
      </c>
      <c r="K353" s="89"/>
      <c r="L353" s="89"/>
      <c r="M353" s="89"/>
      <c r="N353" s="89"/>
      <c r="O353" s="89">
        <f>O354</f>
        <v>6999999.9999939995</v>
      </c>
      <c r="P353" s="89">
        <f>O353</f>
        <v>6999999.9999939995</v>
      </c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</row>
    <row r="354" spans="1:235" s="92" customFormat="1" ht="33.75">
      <c r="A354" s="82" t="s">
        <v>379</v>
      </c>
      <c r="B354" s="88"/>
      <c r="C354" s="88"/>
      <c r="D354" s="89"/>
      <c r="E354" s="89">
        <f>E358*E360+1</f>
        <v>1000000</v>
      </c>
      <c r="F354" s="89">
        <f aca="true" t="shared" si="36" ref="F354:M354">F358*F360+1</f>
        <v>1000000</v>
      </c>
      <c r="G354" s="89"/>
      <c r="H354" s="89">
        <f>H358*H360</f>
        <v>6999999.999978</v>
      </c>
      <c r="I354" s="89"/>
      <c r="J354" s="89">
        <f>H354</f>
        <v>6999999.999978</v>
      </c>
      <c r="K354" s="89">
        <f t="shared" si="36"/>
        <v>1</v>
      </c>
      <c r="L354" s="89">
        <f t="shared" si="36"/>
        <v>1</v>
      </c>
      <c r="M354" s="89">
        <f t="shared" si="36"/>
        <v>1</v>
      </c>
      <c r="N354" s="89"/>
      <c r="O354" s="89">
        <f>O358*O360</f>
        <v>6999999.9999939995</v>
      </c>
      <c r="P354" s="89">
        <f>O354</f>
        <v>6999999.9999939995</v>
      </c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</row>
    <row r="355" spans="1:16" ht="11.25">
      <c r="A355" s="54" t="s">
        <v>4</v>
      </c>
      <c r="B355" s="59"/>
      <c r="C355" s="59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</row>
    <row r="356" spans="1:16" ht="22.5">
      <c r="A356" s="55" t="s">
        <v>172</v>
      </c>
      <c r="B356" s="59"/>
      <c r="C356" s="59"/>
      <c r="D356" s="62"/>
      <c r="E356" s="62">
        <v>10</v>
      </c>
      <c r="F356" s="62">
        <f>E356</f>
        <v>10</v>
      </c>
      <c r="G356" s="62"/>
      <c r="H356" s="62">
        <v>40</v>
      </c>
      <c r="I356" s="62"/>
      <c r="J356" s="62">
        <f>H356</f>
        <v>40</v>
      </c>
      <c r="K356" s="62"/>
      <c r="L356" s="62"/>
      <c r="M356" s="62"/>
      <c r="N356" s="62"/>
      <c r="O356" s="62">
        <v>17</v>
      </c>
      <c r="P356" s="62">
        <f>O356</f>
        <v>17</v>
      </c>
    </row>
    <row r="357" spans="1:16" ht="11.25">
      <c r="A357" s="54" t="s">
        <v>5</v>
      </c>
      <c r="B357" s="59"/>
      <c r="C357" s="59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</row>
    <row r="358" spans="1:16" ht="22.5">
      <c r="A358" s="55" t="s">
        <v>173</v>
      </c>
      <c r="B358" s="59"/>
      <c r="C358" s="59"/>
      <c r="D358" s="62"/>
      <c r="E358" s="62">
        <v>3</v>
      </c>
      <c r="F358" s="62">
        <f>E358</f>
        <v>3</v>
      </c>
      <c r="G358" s="62"/>
      <c r="H358" s="62">
        <v>23</v>
      </c>
      <c r="I358" s="62"/>
      <c r="J358" s="62">
        <f>H358</f>
        <v>23</v>
      </c>
      <c r="K358" s="62"/>
      <c r="L358" s="62"/>
      <c r="M358" s="62"/>
      <c r="N358" s="62"/>
      <c r="O358" s="62">
        <v>17</v>
      </c>
      <c r="P358" s="62">
        <f>O358</f>
        <v>17</v>
      </c>
    </row>
    <row r="359" spans="1:16" ht="11.25">
      <c r="A359" s="54" t="s">
        <v>7</v>
      </c>
      <c r="B359" s="59"/>
      <c r="C359" s="59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</row>
    <row r="360" spans="1:16" ht="22.5">
      <c r="A360" s="55" t="s">
        <v>174</v>
      </c>
      <c r="B360" s="59"/>
      <c r="C360" s="59"/>
      <c r="D360" s="62"/>
      <c r="E360" s="62">
        <v>333333</v>
      </c>
      <c r="F360" s="62">
        <f>E360</f>
        <v>333333</v>
      </c>
      <c r="G360" s="62"/>
      <c r="H360" s="62">
        <v>304347.826086</v>
      </c>
      <c r="I360" s="62"/>
      <c r="J360" s="62">
        <f>H360</f>
        <v>304347.826086</v>
      </c>
      <c r="K360" s="62"/>
      <c r="L360" s="62"/>
      <c r="M360" s="62"/>
      <c r="N360" s="62"/>
      <c r="O360" s="62">
        <v>411764.705882</v>
      </c>
      <c r="P360" s="62">
        <f>O360</f>
        <v>411764.705882</v>
      </c>
    </row>
    <row r="361" spans="1:16" ht="11.25">
      <c r="A361" s="54" t="s">
        <v>6</v>
      </c>
      <c r="B361" s="60"/>
      <c r="C361" s="60"/>
      <c r="D361" s="62"/>
      <c r="E361" s="64"/>
      <c r="F361" s="64"/>
      <c r="G361" s="62"/>
      <c r="H361" s="64"/>
      <c r="I361" s="64"/>
      <c r="J361" s="64"/>
      <c r="K361" s="64"/>
      <c r="L361" s="64"/>
      <c r="M361" s="64"/>
      <c r="N361" s="62"/>
      <c r="O361" s="64"/>
      <c r="P361" s="64"/>
    </row>
    <row r="362" spans="1:16" ht="51.75" customHeight="1">
      <c r="A362" s="55" t="s">
        <v>194</v>
      </c>
      <c r="B362" s="61"/>
      <c r="C362" s="61"/>
      <c r="D362" s="129"/>
      <c r="E362" s="62">
        <f>E358/E356*100</f>
        <v>30</v>
      </c>
      <c r="F362" s="62">
        <f>E362</f>
        <v>30</v>
      </c>
      <c r="G362" s="62"/>
      <c r="H362" s="62">
        <f>H358/H356*100</f>
        <v>57.49999999999999</v>
      </c>
      <c r="I362" s="62"/>
      <c r="J362" s="62">
        <f>H362</f>
        <v>57.49999999999999</v>
      </c>
      <c r="K362" s="62" t="e">
        <f>(#REF!*#REF!)+(#REF!*#REF!)+(#REF!*#REF!)</f>
        <v>#REF!</v>
      </c>
      <c r="L362" s="62" t="e">
        <f>(#REF!*#REF!)+(#REF!*#REF!)+(#REF!*#REF!)</f>
        <v>#REF!</v>
      </c>
      <c r="M362" s="62" t="e">
        <f>(#REF!*#REF!)+(#REF!*#REF!)+(#REF!*#REF!)</f>
        <v>#REF!</v>
      </c>
      <c r="N362" s="62"/>
      <c r="O362" s="62">
        <f>O358/O356*100</f>
        <v>100</v>
      </c>
      <c r="P362" s="62">
        <f>O362</f>
        <v>100</v>
      </c>
    </row>
    <row r="363" spans="1:16" ht="1.5" customHeight="1" hidden="1">
      <c r="A363" s="19" t="s">
        <v>269</v>
      </c>
      <c r="B363" s="26"/>
      <c r="C363" s="26"/>
      <c r="D363" s="25"/>
      <c r="E363" s="25">
        <f>E364</f>
        <v>1000000</v>
      </c>
      <c r="F363" s="25">
        <f>E363</f>
        <v>1000000</v>
      </c>
      <c r="G363" s="25"/>
      <c r="H363" s="25">
        <f>H364</f>
        <v>1320000</v>
      </c>
      <c r="I363" s="25"/>
      <c r="J363" s="25">
        <f>H363</f>
        <v>1320000</v>
      </c>
      <c r="K363" s="56"/>
      <c r="L363" s="56"/>
      <c r="M363" s="56"/>
      <c r="N363" s="25"/>
      <c r="O363" s="25">
        <f>O364</f>
        <v>1580000</v>
      </c>
      <c r="P363" s="25">
        <f>O363</f>
        <v>1580000</v>
      </c>
    </row>
    <row r="364" spans="1:16" ht="4.5" customHeight="1" hidden="1">
      <c r="A364" s="19" t="s">
        <v>270</v>
      </c>
      <c r="B364" s="26"/>
      <c r="C364" s="26"/>
      <c r="D364" s="25"/>
      <c r="E364" s="25">
        <f>E368*E370+1</f>
        <v>1000000</v>
      </c>
      <c r="F364" s="25">
        <f>F368*F370+1</f>
        <v>1000000</v>
      </c>
      <c r="G364" s="25"/>
      <c r="H364" s="25">
        <f>H368*H370</f>
        <v>1320000</v>
      </c>
      <c r="I364" s="25"/>
      <c r="J364" s="25">
        <f>H364</f>
        <v>1320000</v>
      </c>
      <c r="K364" s="25">
        <f>K368*K370+1</f>
        <v>1</v>
      </c>
      <c r="L364" s="25">
        <f>L368*L370+1</f>
        <v>1</v>
      </c>
      <c r="M364" s="25">
        <f>M368*M370+1</f>
        <v>1</v>
      </c>
      <c r="N364" s="25"/>
      <c r="O364" s="25">
        <f>O368*O370</f>
        <v>1580000</v>
      </c>
      <c r="P364" s="25">
        <f>O364</f>
        <v>1580000</v>
      </c>
    </row>
    <row r="365" spans="1:16" ht="16.5" customHeight="1" hidden="1">
      <c r="A365" s="54" t="s">
        <v>4</v>
      </c>
      <c r="B365" s="59"/>
      <c r="C365" s="59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</row>
    <row r="366" spans="1:16" ht="24.75" customHeight="1" hidden="1">
      <c r="A366" s="55" t="s">
        <v>172</v>
      </c>
      <c r="B366" s="59"/>
      <c r="C366" s="59"/>
      <c r="D366" s="62"/>
      <c r="E366" s="62">
        <v>10</v>
      </c>
      <c r="F366" s="62">
        <f>E366</f>
        <v>10</v>
      </c>
      <c r="G366" s="62"/>
      <c r="H366" s="62">
        <v>10</v>
      </c>
      <c r="I366" s="62"/>
      <c r="J366" s="62">
        <f>H366</f>
        <v>10</v>
      </c>
      <c r="K366" s="62"/>
      <c r="L366" s="62"/>
      <c r="M366" s="62"/>
      <c r="N366" s="62"/>
      <c r="O366" s="62">
        <v>10</v>
      </c>
      <c r="P366" s="62">
        <f>O366</f>
        <v>10</v>
      </c>
    </row>
    <row r="367" spans="1:16" ht="15" customHeight="1" hidden="1">
      <c r="A367" s="54" t="s">
        <v>5</v>
      </c>
      <c r="B367" s="59"/>
      <c r="C367" s="59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</row>
    <row r="368" spans="1:16" ht="12.75" customHeight="1" hidden="1">
      <c r="A368" s="55" t="s">
        <v>173</v>
      </c>
      <c r="B368" s="59"/>
      <c r="C368" s="59"/>
      <c r="D368" s="62"/>
      <c r="E368" s="62">
        <v>3</v>
      </c>
      <c r="F368" s="62">
        <f>E368</f>
        <v>3</v>
      </c>
      <c r="G368" s="62"/>
      <c r="H368" s="62">
        <v>3</v>
      </c>
      <c r="I368" s="62"/>
      <c r="J368" s="62">
        <f>H368</f>
        <v>3</v>
      </c>
      <c r="K368" s="62"/>
      <c r="L368" s="62"/>
      <c r="M368" s="62"/>
      <c r="N368" s="62"/>
      <c r="O368" s="62">
        <v>4</v>
      </c>
      <c r="P368" s="62">
        <f>O368</f>
        <v>4</v>
      </c>
    </row>
    <row r="369" spans="1:16" ht="16.5" customHeight="1" hidden="1">
      <c r="A369" s="54" t="s">
        <v>7</v>
      </c>
      <c r="B369" s="59"/>
      <c r="C369" s="59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</row>
    <row r="370" spans="1:16" ht="30" customHeight="1" hidden="1">
      <c r="A370" s="55" t="s">
        <v>174</v>
      </c>
      <c r="B370" s="59"/>
      <c r="C370" s="59"/>
      <c r="D370" s="62"/>
      <c r="E370" s="62">
        <v>333333</v>
      </c>
      <c r="F370" s="62">
        <f>E370</f>
        <v>333333</v>
      </c>
      <c r="G370" s="62"/>
      <c r="H370" s="62">
        <v>440000</v>
      </c>
      <c r="I370" s="62"/>
      <c r="J370" s="62">
        <f>H370</f>
        <v>440000</v>
      </c>
      <c r="K370" s="62"/>
      <c r="L370" s="62"/>
      <c r="M370" s="62"/>
      <c r="N370" s="62"/>
      <c r="O370" s="62">
        <v>395000</v>
      </c>
      <c r="P370" s="62">
        <f>O370</f>
        <v>395000</v>
      </c>
    </row>
    <row r="371" spans="1:16" ht="15" customHeight="1" hidden="1">
      <c r="A371" s="54" t="s">
        <v>6</v>
      </c>
      <c r="B371" s="60"/>
      <c r="C371" s="60"/>
      <c r="D371" s="62"/>
      <c r="E371" s="64"/>
      <c r="F371" s="64"/>
      <c r="G371" s="62"/>
      <c r="H371" s="64"/>
      <c r="I371" s="64"/>
      <c r="J371" s="64"/>
      <c r="K371" s="64"/>
      <c r="L371" s="64"/>
      <c r="M371" s="64"/>
      <c r="N371" s="62"/>
      <c r="O371" s="64"/>
      <c r="P371" s="64"/>
    </row>
    <row r="372" spans="1:16" ht="53.25" customHeight="1" hidden="1">
      <c r="A372" s="55" t="s">
        <v>194</v>
      </c>
      <c r="B372" s="61"/>
      <c r="C372" s="61"/>
      <c r="D372" s="129"/>
      <c r="E372" s="62">
        <f>E368/E366*100</f>
        <v>30</v>
      </c>
      <c r="F372" s="62">
        <f>E372</f>
        <v>30</v>
      </c>
      <c r="G372" s="62"/>
      <c r="H372" s="62">
        <f>H368/H366*100</f>
        <v>30</v>
      </c>
      <c r="I372" s="62"/>
      <c r="J372" s="62">
        <f>H372</f>
        <v>30</v>
      </c>
      <c r="K372" s="62" t="e">
        <f>(#REF!*#REF!)+(#REF!*#REF!)+(#REF!*#REF!)</f>
        <v>#REF!</v>
      </c>
      <c r="L372" s="62" t="e">
        <f>(#REF!*#REF!)+(#REF!*#REF!)+(#REF!*#REF!)</f>
        <v>#REF!</v>
      </c>
      <c r="M372" s="62" t="e">
        <f>(#REF!*#REF!)+(#REF!*#REF!)+(#REF!*#REF!)</f>
        <v>#REF!</v>
      </c>
      <c r="N372" s="62"/>
      <c r="O372" s="62">
        <f>O368/O366*100</f>
        <v>40</v>
      </c>
      <c r="P372" s="62">
        <f>O372</f>
        <v>40</v>
      </c>
    </row>
    <row r="373" spans="1:16" ht="21.75" customHeight="1" hidden="1">
      <c r="A373" s="55"/>
      <c r="B373" s="61"/>
      <c r="C373" s="61"/>
      <c r="D373" s="129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</row>
    <row r="374" spans="1:16" ht="54" customHeight="1" hidden="1">
      <c r="A374" s="55"/>
      <c r="B374" s="61"/>
      <c r="C374" s="61"/>
      <c r="D374" s="129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</row>
    <row r="375" spans="1:16" ht="54" customHeight="1" hidden="1">
      <c r="A375" s="55"/>
      <c r="B375" s="61"/>
      <c r="C375" s="61"/>
      <c r="D375" s="129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</row>
    <row r="376" spans="1:16" ht="54" customHeight="1" hidden="1">
      <c r="A376" s="55"/>
      <c r="B376" s="61"/>
      <c r="C376" s="61"/>
      <c r="D376" s="129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</row>
    <row r="377" spans="1:16" ht="54" customHeight="1" hidden="1">
      <c r="A377" s="55"/>
      <c r="B377" s="61"/>
      <c r="C377" s="61"/>
      <c r="D377" s="129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</row>
    <row r="378" spans="1:235" s="85" customFormat="1" ht="16.5" customHeight="1">
      <c r="A378" s="108" t="s">
        <v>195</v>
      </c>
      <c r="B378" s="108"/>
      <c r="C378" s="108"/>
      <c r="D378" s="119">
        <f>D379+D380+D381</f>
        <v>1889680.002</v>
      </c>
      <c r="E378" s="119"/>
      <c r="F378" s="119">
        <f>F379+F380+F381</f>
        <v>1889680.002</v>
      </c>
      <c r="G378" s="119">
        <f aca="true" t="shared" si="37" ref="G378:N378">G379+G380+G381</f>
        <v>2264999.9981236</v>
      </c>
      <c r="H378" s="119">
        <f t="shared" si="37"/>
        <v>0</v>
      </c>
      <c r="I378" s="119">
        <f t="shared" si="37"/>
        <v>0</v>
      </c>
      <c r="J378" s="119">
        <f t="shared" si="37"/>
        <v>2264999.9981236</v>
      </c>
      <c r="K378" s="119" t="e">
        <f t="shared" si="37"/>
        <v>#REF!</v>
      </c>
      <c r="L378" s="119">
        <f t="shared" si="37"/>
        <v>0</v>
      </c>
      <c r="M378" s="119">
        <f t="shared" si="37"/>
        <v>0</v>
      </c>
      <c r="N378" s="119">
        <f t="shared" si="37"/>
        <v>2689213.19998632</v>
      </c>
      <c r="O378" s="119">
        <f>O379+O380+O381</f>
        <v>0</v>
      </c>
      <c r="P378" s="119">
        <f>P379+P380+P381</f>
        <v>2689213.19998632</v>
      </c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1"/>
      <c r="BZ378" s="121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1"/>
      <c r="CM378" s="121"/>
      <c r="CN378" s="121"/>
      <c r="CO378" s="121"/>
      <c r="CP378" s="121"/>
      <c r="CQ378" s="121"/>
      <c r="CR378" s="121"/>
      <c r="CS378" s="121"/>
      <c r="CT378" s="121"/>
      <c r="CU378" s="121"/>
      <c r="CV378" s="121"/>
      <c r="CW378" s="121"/>
      <c r="CX378" s="121"/>
      <c r="CY378" s="121"/>
      <c r="CZ378" s="121"/>
      <c r="DA378" s="121"/>
      <c r="DB378" s="121"/>
      <c r="DC378" s="121"/>
      <c r="DD378" s="121"/>
      <c r="DE378" s="121"/>
      <c r="DF378" s="121"/>
      <c r="DG378" s="121"/>
      <c r="DH378" s="121"/>
      <c r="DI378" s="121"/>
      <c r="DJ378" s="121"/>
      <c r="DK378" s="121"/>
      <c r="DL378" s="121"/>
      <c r="DM378" s="121"/>
      <c r="DN378" s="121"/>
      <c r="DO378" s="121"/>
      <c r="DP378" s="121"/>
      <c r="DQ378" s="121"/>
      <c r="DR378" s="121"/>
      <c r="DS378" s="121"/>
      <c r="DT378" s="121"/>
      <c r="DU378" s="121"/>
      <c r="DV378" s="121"/>
      <c r="DW378" s="121"/>
      <c r="DX378" s="121"/>
      <c r="DY378" s="121"/>
      <c r="DZ378" s="121"/>
      <c r="EA378" s="121"/>
      <c r="EB378" s="121"/>
      <c r="EC378" s="121"/>
      <c r="ED378" s="121"/>
      <c r="EE378" s="121"/>
      <c r="EF378" s="121"/>
      <c r="EG378" s="121"/>
      <c r="EH378" s="121"/>
      <c r="EI378" s="121"/>
      <c r="EJ378" s="121"/>
      <c r="EK378" s="121"/>
      <c r="EL378" s="121"/>
      <c r="EM378" s="121"/>
      <c r="EN378" s="121"/>
      <c r="EO378" s="121"/>
      <c r="EP378" s="121"/>
      <c r="EQ378" s="121"/>
      <c r="ER378" s="121"/>
      <c r="ES378" s="121"/>
      <c r="ET378" s="121"/>
      <c r="EU378" s="121"/>
      <c r="EV378" s="121"/>
      <c r="EW378" s="121"/>
      <c r="EX378" s="121"/>
      <c r="EY378" s="121"/>
      <c r="EZ378" s="121"/>
      <c r="FA378" s="121"/>
      <c r="FB378" s="121"/>
      <c r="FC378" s="121"/>
      <c r="FD378" s="121"/>
      <c r="FE378" s="121"/>
      <c r="FF378" s="121"/>
      <c r="FG378" s="121"/>
      <c r="FH378" s="121"/>
      <c r="FI378" s="121"/>
      <c r="FJ378" s="121"/>
      <c r="FK378" s="121"/>
      <c r="FL378" s="121"/>
      <c r="FM378" s="121"/>
      <c r="FN378" s="121"/>
      <c r="FO378" s="121"/>
      <c r="FP378" s="121"/>
      <c r="FQ378" s="121"/>
      <c r="FR378" s="121"/>
      <c r="FS378" s="121"/>
      <c r="FT378" s="121"/>
      <c r="FU378" s="121"/>
      <c r="FV378" s="121"/>
      <c r="FW378" s="121"/>
      <c r="FX378" s="121"/>
      <c r="FY378" s="121"/>
      <c r="FZ378" s="121"/>
      <c r="GA378" s="121"/>
      <c r="GB378" s="121"/>
      <c r="GC378" s="121"/>
      <c r="GD378" s="121"/>
      <c r="GE378" s="121"/>
      <c r="GF378" s="121"/>
      <c r="GG378" s="121"/>
      <c r="GH378" s="121"/>
      <c r="GI378" s="121"/>
      <c r="GJ378" s="121"/>
      <c r="GK378" s="121"/>
      <c r="GL378" s="121"/>
      <c r="GM378" s="121"/>
      <c r="GN378" s="121"/>
      <c r="GO378" s="121"/>
      <c r="GP378" s="121"/>
      <c r="GQ378" s="121"/>
      <c r="GR378" s="121"/>
      <c r="GS378" s="121"/>
      <c r="GT378" s="121"/>
      <c r="GU378" s="121"/>
      <c r="GV378" s="121"/>
      <c r="GW378" s="121"/>
      <c r="GX378" s="121"/>
      <c r="GY378" s="121"/>
      <c r="GZ378" s="121"/>
      <c r="HA378" s="121"/>
      <c r="HB378" s="121"/>
      <c r="HC378" s="121"/>
      <c r="HD378" s="121"/>
      <c r="HE378" s="121"/>
      <c r="HF378" s="121"/>
      <c r="HG378" s="121"/>
      <c r="HH378" s="121"/>
      <c r="HI378" s="121"/>
      <c r="HJ378" s="121"/>
      <c r="HK378" s="121"/>
      <c r="HL378" s="121"/>
      <c r="HM378" s="121"/>
      <c r="HN378" s="121"/>
      <c r="HO378" s="121"/>
      <c r="HP378" s="121"/>
      <c r="HQ378" s="121"/>
      <c r="HR378" s="121"/>
      <c r="HS378" s="121"/>
      <c r="HT378" s="121"/>
      <c r="HU378" s="121"/>
      <c r="HV378" s="121"/>
      <c r="HW378" s="121"/>
      <c r="HX378" s="121"/>
      <c r="HY378" s="121"/>
      <c r="HZ378" s="121"/>
      <c r="IA378" s="121"/>
    </row>
    <row r="379" spans="1:235" s="85" customFormat="1" ht="13.5" customHeight="1">
      <c r="A379" s="108" t="s">
        <v>86</v>
      </c>
      <c r="B379" s="108"/>
      <c r="C379" s="108"/>
      <c r="D379" s="119">
        <f>D383+D390+D435+D449</f>
        <v>1536000.002</v>
      </c>
      <c r="E379" s="119"/>
      <c r="F379" s="119">
        <f>F383+F390+F435+F449</f>
        <v>1536000.002</v>
      </c>
      <c r="G379" s="119">
        <f>G383+G390+G440+G449+G435</f>
        <v>2044999.9981256</v>
      </c>
      <c r="H379" s="119">
        <f aca="true" t="shared" si="38" ref="H379:M379">H383+H390</f>
        <v>0</v>
      </c>
      <c r="I379" s="119">
        <f>I383+I390</f>
        <v>0</v>
      </c>
      <c r="J379" s="119">
        <f>J383+J390+J440+J449+J435</f>
        <v>2044999.9981256</v>
      </c>
      <c r="K379" s="119" t="e">
        <f t="shared" si="38"/>
        <v>#REF!</v>
      </c>
      <c r="L379" s="119">
        <f t="shared" si="38"/>
        <v>0</v>
      </c>
      <c r="M379" s="119">
        <f t="shared" si="38"/>
        <v>0</v>
      </c>
      <c r="N379" s="119">
        <f>N383+N390+N440+N449</f>
        <v>2269999.999987</v>
      </c>
      <c r="O379" s="119">
        <f>O383+O390</f>
        <v>0</v>
      </c>
      <c r="P379" s="119">
        <f>N379+O379</f>
        <v>2269999.999987</v>
      </c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121"/>
      <c r="CA379" s="121"/>
      <c r="CB379" s="121"/>
      <c r="CC379" s="121"/>
      <c r="CD379" s="121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21"/>
      <c r="CQ379" s="121"/>
      <c r="CR379" s="121"/>
      <c r="CS379" s="121"/>
      <c r="CT379" s="121"/>
      <c r="CU379" s="121"/>
      <c r="CV379" s="121"/>
      <c r="CW379" s="121"/>
      <c r="CX379" s="121"/>
      <c r="CY379" s="121"/>
      <c r="CZ379" s="121"/>
      <c r="DA379" s="121"/>
      <c r="DB379" s="121"/>
      <c r="DC379" s="121"/>
      <c r="DD379" s="121"/>
      <c r="DE379" s="121"/>
      <c r="DF379" s="121"/>
      <c r="DG379" s="121"/>
      <c r="DH379" s="121"/>
      <c r="DI379" s="121"/>
      <c r="DJ379" s="121"/>
      <c r="DK379" s="121"/>
      <c r="DL379" s="121"/>
      <c r="DM379" s="121"/>
      <c r="DN379" s="121"/>
      <c r="DO379" s="121"/>
      <c r="DP379" s="121"/>
      <c r="DQ379" s="121"/>
      <c r="DR379" s="121"/>
      <c r="DS379" s="121"/>
      <c r="DT379" s="121"/>
      <c r="DU379" s="121"/>
      <c r="DV379" s="121"/>
      <c r="DW379" s="121"/>
      <c r="DX379" s="121"/>
      <c r="DY379" s="121"/>
      <c r="DZ379" s="121"/>
      <c r="EA379" s="121"/>
      <c r="EB379" s="121"/>
      <c r="EC379" s="121"/>
      <c r="ED379" s="121"/>
      <c r="EE379" s="121"/>
      <c r="EF379" s="121"/>
      <c r="EG379" s="121"/>
      <c r="EH379" s="121"/>
      <c r="EI379" s="121"/>
      <c r="EJ379" s="121"/>
      <c r="EK379" s="121"/>
      <c r="EL379" s="121"/>
      <c r="EM379" s="121"/>
      <c r="EN379" s="121"/>
      <c r="EO379" s="121"/>
      <c r="EP379" s="121"/>
      <c r="EQ379" s="121"/>
      <c r="ER379" s="121"/>
      <c r="ES379" s="121"/>
      <c r="ET379" s="121"/>
      <c r="EU379" s="121"/>
      <c r="EV379" s="121"/>
      <c r="EW379" s="121"/>
      <c r="EX379" s="121"/>
      <c r="EY379" s="121"/>
      <c r="EZ379" s="121"/>
      <c r="FA379" s="121"/>
      <c r="FB379" s="121"/>
      <c r="FC379" s="121"/>
      <c r="FD379" s="121"/>
      <c r="FE379" s="121"/>
      <c r="FF379" s="121"/>
      <c r="FG379" s="121"/>
      <c r="FH379" s="121"/>
      <c r="FI379" s="121"/>
      <c r="FJ379" s="121"/>
      <c r="FK379" s="121"/>
      <c r="FL379" s="121"/>
      <c r="FM379" s="121"/>
      <c r="FN379" s="121"/>
      <c r="FO379" s="121"/>
      <c r="FP379" s="121"/>
      <c r="FQ379" s="121"/>
      <c r="FR379" s="121"/>
      <c r="FS379" s="121"/>
      <c r="FT379" s="121"/>
      <c r="FU379" s="121"/>
      <c r="FV379" s="121"/>
      <c r="FW379" s="121"/>
      <c r="FX379" s="121"/>
      <c r="FY379" s="121"/>
      <c r="FZ379" s="121"/>
      <c r="GA379" s="121"/>
      <c r="GB379" s="121"/>
      <c r="GC379" s="121"/>
      <c r="GD379" s="121"/>
      <c r="GE379" s="121"/>
      <c r="GF379" s="121"/>
      <c r="GG379" s="121"/>
      <c r="GH379" s="121"/>
      <c r="GI379" s="121"/>
      <c r="GJ379" s="121"/>
      <c r="GK379" s="121"/>
      <c r="GL379" s="121"/>
      <c r="GM379" s="121"/>
      <c r="GN379" s="121"/>
      <c r="GO379" s="121"/>
      <c r="GP379" s="121"/>
      <c r="GQ379" s="121"/>
      <c r="GR379" s="121"/>
      <c r="GS379" s="121"/>
      <c r="GT379" s="121"/>
      <c r="GU379" s="121"/>
      <c r="GV379" s="121"/>
      <c r="GW379" s="121"/>
      <c r="GX379" s="121"/>
      <c r="GY379" s="121"/>
      <c r="GZ379" s="121"/>
      <c r="HA379" s="121"/>
      <c r="HB379" s="121"/>
      <c r="HC379" s="121"/>
      <c r="HD379" s="121"/>
      <c r="HE379" s="121"/>
      <c r="HF379" s="121"/>
      <c r="HG379" s="121"/>
      <c r="HH379" s="121"/>
      <c r="HI379" s="121"/>
      <c r="HJ379" s="121"/>
      <c r="HK379" s="121"/>
      <c r="HL379" s="121"/>
      <c r="HM379" s="121"/>
      <c r="HN379" s="121"/>
      <c r="HO379" s="121"/>
      <c r="HP379" s="121"/>
      <c r="HQ379" s="121"/>
      <c r="HR379" s="121"/>
      <c r="HS379" s="121"/>
      <c r="HT379" s="121"/>
      <c r="HU379" s="121"/>
      <c r="HV379" s="121"/>
      <c r="HW379" s="121"/>
      <c r="HX379" s="121"/>
      <c r="HY379" s="121"/>
      <c r="HZ379" s="121"/>
      <c r="IA379" s="121"/>
    </row>
    <row r="380" spans="1:235" s="85" customFormat="1" ht="12.75">
      <c r="A380" s="124" t="s">
        <v>348</v>
      </c>
      <c r="B380" s="108"/>
      <c r="C380" s="108"/>
      <c r="D380" s="119">
        <f>D399+D413</f>
        <v>353680</v>
      </c>
      <c r="E380" s="119">
        <f aca="true" t="shared" si="39" ref="E380:P380">E399+E413</f>
        <v>0</v>
      </c>
      <c r="F380" s="119">
        <f t="shared" si="39"/>
        <v>353680</v>
      </c>
      <c r="G380" s="119">
        <f t="shared" si="39"/>
        <v>0</v>
      </c>
      <c r="H380" s="119">
        <f t="shared" si="39"/>
        <v>0</v>
      </c>
      <c r="I380" s="119">
        <f t="shared" si="39"/>
        <v>0</v>
      </c>
      <c r="J380" s="119">
        <f t="shared" si="39"/>
        <v>0</v>
      </c>
      <c r="K380" s="119">
        <f t="shared" si="39"/>
        <v>0</v>
      </c>
      <c r="L380" s="119">
        <f t="shared" si="39"/>
        <v>0</v>
      </c>
      <c r="M380" s="119">
        <f t="shared" si="39"/>
        <v>0</v>
      </c>
      <c r="N380" s="119">
        <f t="shared" si="39"/>
        <v>0</v>
      </c>
      <c r="O380" s="119">
        <f>O399+O413</f>
        <v>0</v>
      </c>
      <c r="P380" s="119">
        <f t="shared" si="39"/>
        <v>0</v>
      </c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21"/>
      <c r="BS380" s="121"/>
      <c r="BT380" s="121"/>
      <c r="BU380" s="121"/>
      <c r="BV380" s="121"/>
      <c r="BW380" s="121"/>
      <c r="BX380" s="121"/>
      <c r="BY380" s="121"/>
      <c r="BZ380" s="121"/>
      <c r="CA380" s="121"/>
      <c r="CB380" s="121"/>
      <c r="CC380" s="121"/>
      <c r="CD380" s="121"/>
      <c r="CE380" s="121"/>
      <c r="CF380" s="121"/>
      <c r="CG380" s="121"/>
      <c r="CH380" s="121"/>
      <c r="CI380" s="121"/>
      <c r="CJ380" s="121"/>
      <c r="CK380" s="121"/>
      <c r="CL380" s="121"/>
      <c r="CM380" s="121"/>
      <c r="CN380" s="121"/>
      <c r="CO380" s="121"/>
      <c r="CP380" s="121"/>
      <c r="CQ380" s="121"/>
      <c r="CR380" s="121"/>
      <c r="CS380" s="121"/>
      <c r="CT380" s="121"/>
      <c r="CU380" s="121"/>
      <c r="CV380" s="121"/>
      <c r="CW380" s="121"/>
      <c r="CX380" s="121"/>
      <c r="CY380" s="121"/>
      <c r="CZ380" s="121"/>
      <c r="DA380" s="121"/>
      <c r="DB380" s="121"/>
      <c r="DC380" s="121"/>
      <c r="DD380" s="121"/>
      <c r="DE380" s="121"/>
      <c r="DF380" s="121"/>
      <c r="DG380" s="121"/>
      <c r="DH380" s="121"/>
      <c r="DI380" s="121"/>
      <c r="DJ380" s="121"/>
      <c r="DK380" s="121"/>
      <c r="DL380" s="121"/>
      <c r="DM380" s="121"/>
      <c r="DN380" s="121"/>
      <c r="DO380" s="121"/>
      <c r="DP380" s="121"/>
      <c r="DQ380" s="121"/>
      <c r="DR380" s="121"/>
      <c r="DS380" s="121"/>
      <c r="DT380" s="121"/>
      <c r="DU380" s="121"/>
      <c r="DV380" s="121"/>
      <c r="DW380" s="121"/>
      <c r="DX380" s="121"/>
      <c r="DY380" s="121"/>
      <c r="DZ380" s="121"/>
      <c r="EA380" s="121"/>
      <c r="EB380" s="121"/>
      <c r="EC380" s="121"/>
      <c r="ED380" s="121"/>
      <c r="EE380" s="121"/>
      <c r="EF380" s="121"/>
      <c r="EG380" s="121"/>
      <c r="EH380" s="121"/>
      <c r="EI380" s="121"/>
      <c r="EJ380" s="121"/>
      <c r="EK380" s="121"/>
      <c r="EL380" s="121"/>
      <c r="EM380" s="121"/>
      <c r="EN380" s="121"/>
      <c r="EO380" s="121"/>
      <c r="EP380" s="121"/>
      <c r="EQ380" s="121"/>
      <c r="ER380" s="121"/>
      <c r="ES380" s="121"/>
      <c r="ET380" s="121"/>
      <c r="EU380" s="121"/>
      <c r="EV380" s="121"/>
      <c r="EW380" s="121"/>
      <c r="EX380" s="121"/>
      <c r="EY380" s="121"/>
      <c r="EZ380" s="121"/>
      <c r="FA380" s="121"/>
      <c r="FB380" s="121"/>
      <c r="FC380" s="121"/>
      <c r="FD380" s="121"/>
      <c r="FE380" s="121"/>
      <c r="FF380" s="121"/>
      <c r="FG380" s="121"/>
      <c r="FH380" s="121"/>
      <c r="FI380" s="121"/>
      <c r="FJ380" s="121"/>
      <c r="FK380" s="121"/>
      <c r="FL380" s="121"/>
      <c r="FM380" s="121"/>
      <c r="FN380" s="121"/>
      <c r="FO380" s="121"/>
      <c r="FP380" s="121"/>
      <c r="FQ380" s="121"/>
      <c r="FR380" s="121"/>
      <c r="FS380" s="121"/>
      <c r="FT380" s="121"/>
      <c r="FU380" s="121"/>
      <c r="FV380" s="121"/>
      <c r="FW380" s="121"/>
      <c r="FX380" s="121"/>
      <c r="FY380" s="121"/>
      <c r="FZ380" s="121"/>
      <c r="GA380" s="121"/>
      <c r="GB380" s="121"/>
      <c r="GC380" s="121"/>
      <c r="GD380" s="121"/>
      <c r="GE380" s="121"/>
      <c r="GF380" s="121"/>
      <c r="GG380" s="121"/>
      <c r="GH380" s="121"/>
      <c r="GI380" s="121"/>
      <c r="GJ380" s="121"/>
      <c r="GK380" s="121"/>
      <c r="GL380" s="121"/>
      <c r="GM380" s="121"/>
      <c r="GN380" s="121"/>
      <c r="GO380" s="121"/>
      <c r="GP380" s="121"/>
      <c r="GQ380" s="121"/>
      <c r="GR380" s="121"/>
      <c r="GS380" s="121"/>
      <c r="GT380" s="121"/>
      <c r="GU380" s="121"/>
      <c r="GV380" s="121"/>
      <c r="GW380" s="121"/>
      <c r="GX380" s="121"/>
      <c r="GY380" s="121"/>
      <c r="GZ380" s="121"/>
      <c r="HA380" s="121"/>
      <c r="HB380" s="121"/>
      <c r="HC380" s="121"/>
      <c r="HD380" s="121"/>
      <c r="HE380" s="121"/>
      <c r="HF380" s="121"/>
      <c r="HG380" s="121"/>
      <c r="HH380" s="121"/>
      <c r="HI380" s="121"/>
      <c r="HJ380" s="121"/>
      <c r="HK380" s="121"/>
      <c r="HL380" s="121"/>
      <c r="HM380" s="121"/>
      <c r="HN380" s="121"/>
      <c r="HO380" s="121"/>
      <c r="HP380" s="121"/>
      <c r="HQ380" s="121"/>
      <c r="HR380" s="121"/>
      <c r="HS380" s="121"/>
      <c r="HT380" s="121"/>
      <c r="HU380" s="121"/>
      <c r="HV380" s="121"/>
      <c r="HW380" s="121"/>
      <c r="HX380" s="121"/>
      <c r="HY380" s="121"/>
      <c r="HZ380" s="121"/>
      <c r="IA380" s="121"/>
    </row>
    <row r="381" spans="1:235" s="85" customFormat="1" ht="12.75">
      <c r="A381" s="124" t="s">
        <v>349</v>
      </c>
      <c r="B381" s="108"/>
      <c r="C381" s="108"/>
      <c r="D381" s="119">
        <f>D406+D424</f>
        <v>0</v>
      </c>
      <c r="E381" s="119">
        <f aca="true" t="shared" si="40" ref="E381:P381">E406+E424</f>
        <v>0</v>
      </c>
      <c r="F381" s="119">
        <f t="shared" si="40"/>
        <v>0</v>
      </c>
      <c r="G381" s="119">
        <f>G406+G424</f>
        <v>219999.99999799998</v>
      </c>
      <c r="H381" s="119">
        <f t="shared" si="40"/>
        <v>0</v>
      </c>
      <c r="I381" s="119">
        <f t="shared" si="40"/>
        <v>0</v>
      </c>
      <c r="J381" s="119">
        <f t="shared" si="40"/>
        <v>219999.99999799998</v>
      </c>
      <c r="K381" s="119">
        <f t="shared" si="40"/>
        <v>0</v>
      </c>
      <c r="L381" s="119">
        <f t="shared" si="40"/>
        <v>0</v>
      </c>
      <c r="M381" s="119">
        <f t="shared" si="40"/>
        <v>0</v>
      </c>
      <c r="N381" s="119">
        <f t="shared" si="40"/>
        <v>419213.19999932</v>
      </c>
      <c r="O381" s="119">
        <f>O406+O424</f>
        <v>0</v>
      </c>
      <c r="P381" s="119">
        <f t="shared" si="40"/>
        <v>419213.19999932</v>
      </c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21"/>
      <c r="BS381" s="121"/>
      <c r="BT381" s="121"/>
      <c r="BU381" s="121"/>
      <c r="BV381" s="121"/>
      <c r="BW381" s="121"/>
      <c r="BX381" s="121"/>
      <c r="BY381" s="121"/>
      <c r="BZ381" s="121"/>
      <c r="CA381" s="121"/>
      <c r="CB381" s="121"/>
      <c r="CC381" s="121"/>
      <c r="CD381" s="121"/>
      <c r="CE381" s="121"/>
      <c r="CF381" s="121"/>
      <c r="CG381" s="121"/>
      <c r="CH381" s="121"/>
      <c r="CI381" s="121"/>
      <c r="CJ381" s="121"/>
      <c r="CK381" s="121"/>
      <c r="CL381" s="121"/>
      <c r="CM381" s="121"/>
      <c r="CN381" s="121"/>
      <c r="CO381" s="121"/>
      <c r="CP381" s="121"/>
      <c r="CQ381" s="121"/>
      <c r="CR381" s="121"/>
      <c r="CS381" s="121"/>
      <c r="CT381" s="121"/>
      <c r="CU381" s="121"/>
      <c r="CV381" s="121"/>
      <c r="CW381" s="121"/>
      <c r="CX381" s="121"/>
      <c r="CY381" s="121"/>
      <c r="CZ381" s="121"/>
      <c r="DA381" s="121"/>
      <c r="DB381" s="121"/>
      <c r="DC381" s="121"/>
      <c r="DD381" s="121"/>
      <c r="DE381" s="121"/>
      <c r="DF381" s="121"/>
      <c r="DG381" s="121"/>
      <c r="DH381" s="121"/>
      <c r="DI381" s="121"/>
      <c r="DJ381" s="121"/>
      <c r="DK381" s="121"/>
      <c r="DL381" s="121"/>
      <c r="DM381" s="121"/>
      <c r="DN381" s="121"/>
      <c r="DO381" s="121"/>
      <c r="DP381" s="121"/>
      <c r="DQ381" s="121"/>
      <c r="DR381" s="121"/>
      <c r="DS381" s="121"/>
      <c r="DT381" s="121"/>
      <c r="DU381" s="121"/>
      <c r="DV381" s="121"/>
      <c r="DW381" s="121"/>
      <c r="DX381" s="121"/>
      <c r="DY381" s="121"/>
      <c r="DZ381" s="121"/>
      <c r="EA381" s="121"/>
      <c r="EB381" s="121"/>
      <c r="EC381" s="121"/>
      <c r="ED381" s="121"/>
      <c r="EE381" s="121"/>
      <c r="EF381" s="121"/>
      <c r="EG381" s="121"/>
      <c r="EH381" s="121"/>
      <c r="EI381" s="121"/>
      <c r="EJ381" s="121"/>
      <c r="EK381" s="121"/>
      <c r="EL381" s="121"/>
      <c r="EM381" s="121"/>
      <c r="EN381" s="121"/>
      <c r="EO381" s="121"/>
      <c r="EP381" s="121"/>
      <c r="EQ381" s="121"/>
      <c r="ER381" s="121"/>
      <c r="ES381" s="121"/>
      <c r="ET381" s="121"/>
      <c r="EU381" s="121"/>
      <c r="EV381" s="121"/>
      <c r="EW381" s="121"/>
      <c r="EX381" s="121"/>
      <c r="EY381" s="121"/>
      <c r="EZ381" s="121"/>
      <c r="FA381" s="121"/>
      <c r="FB381" s="121"/>
      <c r="FC381" s="121"/>
      <c r="FD381" s="121"/>
      <c r="FE381" s="121"/>
      <c r="FF381" s="121"/>
      <c r="FG381" s="121"/>
      <c r="FH381" s="121"/>
      <c r="FI381" s="121"/>
      <c r="FJ381" s="121"/>
      <c r="FK381" s="121"/>
      <c r="FL381" s="121"/>
      <c r="FM381" s="121"/>
      <c r="FN381" s="121"/>
      <c r="FO381" s="121"/>
      <c r="FP381" s="121"/>
      <c r="FQ381" s="121"/>
      <c r="FR381" s="121"/>
      <c r="FS381" s="121"/>
      <c r="FT381" s="121"/>
      <c r="FU381" s="121"/>
      <c r="FV381" s="121"/>
      <c r="FW381" s="121"/>
      <c r="FX381" s="121"/>
      <c r="FY381" s="121"/>
      <c r="FZ381" s="121"/>
      <c r="GA381" s="121"/>
      <c r="GB381" s="121"/>
      <c r="GC381" s="121"/>
      <c r="GD381" s="121"/>
      <c r="GE381" s="121"/>
      <c r="GF381" s="121"/>
      <c r="GG381" s="121"/>
      <c r="GH381" s="121"/>
      <c r="GI381" s="121"/>
      <c r="GJ381" s="121"/>
      <c r="GK381" s="121"/>
      <c r="GL381" s="121"/>
      <c r="GM381" s="121"/>
      <c r="GN381" s="121"/>
      <c r="GO381" s="121"/>
      <c r="GP381" s="121"/>
      <c r="GQ381" s="121"/>
      <c r="GR381" s="121"/>
      <c r="GS381" s="121"/>
      <c r="GT381" s="121"/>
      <c r="GU381" s="121"/>
      <c r="GV381" s="121"/>
      <c r="GW381" s="121"/>
      <c r="GX381" s="121"/>
      <c r="GY381" s="121"/>
      <c r="GZ381" s="121"/>
      <c r="HA381" s="121"/>
      <c r="HB381" s="121"/>
      <c r="HC381" s="121"/>
      <c r="HD381" s="121"/>
      <c r="HE381" s="121"/>
      <c r="HF381" s="121"/>
      <c r="HG381" s="121"/>
      <c r="HH381" s="121"/>
      <c r="HI381" s="121"/>
      <c r="HJ381" s="121"/>
      <c r="HK381" s="121"/>
      <c r="HL381" s="121"/>
      <c r="HM381" s="121"/>
      <c r="HN381" s="121"/>
      <c r="HO381" s="121"/>
      <c r="HP381" s="121"/>
      <c r="HQ381" s="121"/>
      <c r="HR381" s="121"/>
      <c r="HS381" s="121"/>
      <c r="HT381" s="121"/>
      <c r="HU381" s="121"/>
      <c r="HV381" s="121"/>
      <c r="HW381" s="121"/>
      <c r="HX381" s="121"/>
      <c r="HY381" s="121"/>
      <c r="HZ381" s="121"/>
      <c r="IA381" s="121"/>
    </row>
    <row r="382" spans="1:16" ht="36" customHeight="1">
      <c r="A382" s="21" t="s">
        <v>196</v>
      </c>
      <c r="B382" s="7"/>
      <c r="C382" s="7"/>
      <c r="D382" s="13"/>
      <c r="E382" s="13"/>
      <c r="F382" s="13"/>
      <c r="G382" s="13"/>
      <c r="H382" s="13"/>
      <c r="I382" s="13"/>
      <c r="J382" s="13"/>
      <c r="K382" s="17"/>
      <c r="L382" s="10"/>
      <c r="M382" s="10"/>
      <c r="N382" s="13"/>
      <c r="O382" s="13"/>
      <c r="P382" s="13"/>
    </row>
    <row r="383" spans="1:235" s="92" customFormat="1" ht="22.5">
      <c r="A383" s="82" t="s">
        <v>380</v>
      </c>
      <c r="B383" s="88"/>
      <c r="C383" s="88"/>
      <c r="D383" s="89">
        <f>D385</f>
        <v>1385000</v>
      </c>
      <c r="E383" s="89"/>
      <c r="F383" s="89">
        <f>D383</f>
        <v>1385000</v>
      </c>
      <c r="G383" s="89">
        <f>G387*G389</f>
        <v>1659999.999996</v>
      </c>
      <c r="H383" s="89"/>
      <c r="I383" s="89"/>
      <c r="J383" s="89">
        <f>G383</f>
        <v>1659999.999996</v>
      </c>
      <c r="K383" s="89"/>
      <c r="L383" s="89"/>
      <c r="M383" s="89"/>
      <c r="N383" s="89">
        <f>N387*N389</f>
        <v>1989999.999999</v>
      </c>
      <c r="O383" s="89"/>
      <c r="P383" s="89">
        <f>N383</f>
        <v>1989999.999999</v>
      </c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/>
      <c r="CO383" s="91"/>
      <c r="CP383" s="91"/>
      <c r="CQ383" s="91"/>
      <c r="CR383" s="91"/>
      <c r="CS383" s="91"/>
      <c r="CT383" s="91"/>
      <c r="CU383" s="91"/>
      <c r="CV383" s="91"/>
      <c r="CW383" s="91"/>
      <c r="CX383" s="91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1"/>
      <c r="HT383" s="91"/>
      <c r="HU383" s="91"/>
      <c r="HV383" s="91"/>
      <c r="HW383" s="91"/>
      <c r="HX383" s="91"/>
      <c r="HY383" s="91"/>
      <c r="HZ383" s="91"/>
      <c r="IA383" s="91"/>
    </row>
    <row r="384" spans="1:16" ht="11.25">
      <c r="A384" s="20" t="s">
        <v>58</v>
      </c>
      <c r="B384" s="5"/>
      <c r="C384" s="5"/>
      <c r="D384" s="130"/>
      <c r="E384" s="130"/>
      <c r="F384" s="130"/>
      <c r="G384" s="130"/>
      <c r="H384" s="130"/>
      <c r="I384" s="130"/>
      <c r="J384" s="130"/>
      <c r="K384" s="17"/>
      <c r="L384" s="128"/>
      <c r="M384" s="128"/>
      <c r="N384" s="130"/>
      <c r="O384" s="130"/>
      <c r="P384" s="130"/>
    </row>
    <row r="385" spans="1:16" ht="12" customHeight="1">
      <c r="A385" s="21" t="s">
        <v>63</v>
      </c>
      <c r="B385" s="7"/>
      <c r="C385" s="7"/>
      <c r="D385" s="14">
        <v>1385000</v>
      </c>
      <c r="E385" s="14"/>
      <c r="F385" s="14">
        <f>D385</f>
        <v>1385000</v>
      </c>
      <c r="G385" s="14">
        <f>G387*G389</f>
        <v>1659999.999996</v>
      </c>
      <c r="H385" s="14"/>
      <c r="I385" s="14"/>
      <c r="J385" s="14">
        <f>G385</f>
        <v>1659999.999996</v>
      </c>
      <c r="K385" s="17">
        <f>G385/D385*100</f>
        <v>119.85559566758121</v>
      </c>
      <c r="L385" s="17"/>
      <c r="M385" s="17"/>
      <c r="N385" s="14">
        <f>N387*N389</f>
        <v>1989999.999999</v>
      </c>
      <c r="O385" s="14"/>
      <c r="P385" s="14">
        <f>N385</f>
        <v>1989999.999999</v>
      </c>
    </row>
    <row r="386" spans="1:16" ht="11.25">
      <c r="A386" s="20" t="s">
        <v>5</v>
      </c>
      <c r="B386" s="5"/>
      <c r="C386" s="5"/>
      <c r="D386" s="130"/>
      <c r="E386" s="130"/>
      <c r="F386" s="14"/>
      <c r="G386" s="130"/>
      <c r="H386" s="130"/>
      <c r="I386" s="130"/>
      <c r="J386" s="14"/>
      <c r="K386" s="17"/>
      <c r="L386" s="128"/>
      <c r="M386" s="128"/>
      <c r="N386" s="130"/>
      <c r="O386" s="130"/>
      <c r="P386" s="14"/>
    </row>
    <row r="387" spans="1:16" ht="22.5">
      <c r="A387" s="21" t="s">
        <v>197</v>
      </c>
      <c r="B387" s="7"/>
      <c r="C387" s="7"/>
      <c r="D387" s="14">
        <v>9</v>
      </c>
      <c r="E387" s="14"/>
      <c r="F387" s="14">
        <f>D387</f>
        <v>9</v>
      </c>
      <c r="G387" s="14">
        <v>9</v>
      </c>
      <c r="H387" s="14"/>
      <c r="I387" s="14"/>
      <c r="J387" s="14">
        <f>G387</f>
        <v>9</v>
      </c>
      <c r="K387" s="17">
        <f>G387/D387*100</f>
        <v>100</v>
      </c>
      <c r="L387" s="17"/>
      <c r="M387" s="17"/>
      <c r="N387" s="14">
        <v>9</v>
      </c>
      <c r="O387" s="14"/>
      <c r="P387" s="14">
        <f>N387</f>
        <v>9</v>
      </c>
    </row>
    <row r="388" spans="1:16" ht="11.25">
      <c r="A388" s="20" t="s">
        <v>7</v>
      </c>
      <c r="B388" s="5"/>
      <c r="C388" s="5"/>
      <c r="D388" s="130"/>
      <c r="E388" s="130"/>
      <c r="F388" s="14"/>
      <c r="G388" s="130"/>
      <c r="H388" s="130"/>
      <c r="I388" s="130"/>
      <c r="J388" s="14"/>
      <c r="K388" s="17"/>
      <c r="L388" s="128"/>
      <c r="M388" s="128"/>
      <c r="N388" s="130"/>
      <c r="O388" s="130"/>
      <c r="P388" s="14"/>
    </row>
    <row r="389" spans="1:16" ht="22.5">
      <c r="A389" s="21" t="s">
        <v>198</v>
      </c>
      <c r="B389" s="7"/>
      <c r="C389" s="7"/>
      <c r="D389" s="14">
        <f>D385/D387+0.11</f>
        <v>153888.99888888886</v>
      </c>
      <c r="E389" s="14"/>
      <c r="F389" s="14">
        <f>D389</f>
        <v>153888.99888888886</v>
      </c>
      <c r="G389" s="14">
        <v>184444.444444</v>
      </c>
      <c r="H389" s="14"/>
      <c r="I389" s="14"/>
      <c r="J389" s="14">
        <f>G389</f>
        <v>184444.444444</v>
      </c>
      <c r="K389" s="17">
        <f>G389/D389*100</f>
        <v>119.85550999468961</v>
      </c>
      <c r="L389" s="17"/>
      <c r="M389" s="17"/>
      <c r="N389" s="14">
        <v>221111.111111</v>
      </c>
      <c r="O389" s="14"/>
      <c r="P389" s="14">
        <f>N389</f>
        <v>221111.111111</v>
      </c>
    </row>
    <row r="390" spans="1:235" s="92" customFormat="1" ht="24" customHeight="1">
      <c r="A390" s="82" t="s">
        <v>381</v>
      </c>
      <c r="B390" s="88"/>
      <c r="C390" s="88"/>
      <c r="D390" s="131">
        <f>D394*D396-216</f>
        <v>99784</v>
      </c>
      <c r="E390" s="131"/>
      <c r="F390" s="131">
        <f>F394*F396-216</f>
        <v>99784</v>
      </c>
      <c r="G390" s="131">
        <f aca="true" t="shared" si="41" ref="G390:P390">G394*G396</f>
        <v>182699.99813</v>
      </c>
      <c r="H390" s="131"/>
      <c r="I390" s="131"/>
      <c r="J390" s="131">
        <f t="shared" si="41"/>
        <v>182699.99813</v>
      </c>
      <c r="K390" s="131" t="e">
        <f t="shared" si="41"/>
        <v>#REF!</v>
      </c>
      <c r="L390" s="131">
        <f t="shared" si="41"/>
        <v>0</v>
      </c>
      <c r="M390" s="131">
        <f t="shared" si="41"/>
        <v>0</v>
      </c>
      <c r="N390" s="131">
        <f t="shared" si="41"/>
        <v>100000</v>
      </c>
      <c r="O390" s="131"/>
      <c r="P390" s="131">
        <f t="shared" si="41"/>
        <v>100000</v>
      </c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1"/>
      <c r="HT390" s="91"/>
      <c r="HU390" s="91"/>
      <c r="HV390" s="91"/>
      <c r="HW390" s="91"/>
      <c r="HX390" s="91"/>
      <c r="HY390" s="91"/>
      <c r="HZ390" s="91"/>
      <c r="IA390" s="91"/>
    </row>
    <row r="391" spans="1:16" ht="11.25">
      <c r="A391" s="20" t="s">
        <v>58</v>
      </c>
      <c r="B391" s="5"/>
      <c r="C391" s="5"/>
      <c r="D391" s="132"/>
      <c r="E391" s="132"/>
      <c r="F391" s="132"/>
      <c r="G391" s="130"/>
      <c r="H391" s="130"/>
      <c r="I391" s="130"/>
      <c r="J391" s="130"/>
      <c r="K391" s="17"/>
      <c r="L391" s="128"/>
      <c r="M391" s="128"/>
      <c r="N391" s="130"/>
      <c r="O391" s="130"/>
      <c r="P391" s="130"/>
    </row>
    <row r="392" spans="1:16" ht="23.25" customHeight="1">
      <c r="A392" s="21" t="s">
        <v>201</v>
      </c>
      <c r="B392" s="7"/>
      <c r="C392" s="7"/>
      <c r="D392" s="132">
        <v>1752</v>
      </c>
      <c r="E392" s="132"/>
      <c r="F392" s="132">
        <f>D392</f>
        <v>1752</v>
      </c>
      <c r="G392" s="132">
        <v>1752</v>
      </c>
      <c r="H392" s="132"/>
      <c r="I392" s="132"/>
      <c r="J392" s="132">
        <f>G392</f>
        <v>1752</v>
      </c>
      <c r="K392" s="17" t="e">
        <f>#REF!/G392*100</f>
        <v>#REF!</v>
      </c>
      <c r="L392" s="17"/>
      <c r="M392" s="17"/>
      <c r="N392" s="132">
        <v>1752</v>
      </c>
      <c r="O392" s="132"/>
      <c r="P392" s="132">
        <f>N392</f>
        <v>1752</v>
      </c>
    </row>
    <row r="393" spans="1:16" ht="11.25">
      <c r="A393" s="20" t="s">
        <v>5</v>
      </c>
      <c r="B393" s="5"/>
      <c r="C393" s="5"/>
      <c r="D393" s="132"/>
      <c r="E393" s="132"/>
      <c r="F393" s="132"/>
      <c r="G393" s="130"/>
      <c r="H393" s="130"/>
      <c r="I393" s="130"/>
      <c r="J393" s="14"/>
      <c r="K393" s="17"/>
      <c r="L393" s="128"/>
      <c r="M393" s="128"/>
      <c r="N393" s="130"/>
      <c r="O393" s="130"/>
      <c r="P393" s="14"/>
    </row>
    <row r="394" spans="1:16" ht="24" customHeight="1">
      <c r="A394" s="21" t="s">
        <v>199</v>
      </c>
      <c r="B394" s="7"/>
      <c r="C394" s="7"/>
      <c r="D394" s="132">
        <v>625</v>
      </c>
      <c r="E394" s="132"/>
      <c r="F394" s="132">
        <f>D394</f>
        <v>625</v>
      </c>
      <c r="G394" s="132">
        <v>751</v>
      </c>
      <c r="H394" s="132"/>
      <c r="I394" s="132"/>
      <c r="J394" s="132">
        <f>G394</f>
        <v>751</v>
      </c>
      <c r="K394" s="17" t="e">
        <f>#REF!/G394*100</f>
        <v>#REF!</v>
      </c>
      <c r="L394" s="17"/>
      <c r="M394" s="17"/>
      <c r="N394" s="132">
        <v>625</v>
      </c>
      <c r="O394" s="132"/>
      <c r="P394" s="132">
        <f>N394</f>
        <v>625</v>
      </c>
    </row>
    <row r="395" spans="1:16" ht="11.25">
      <c r="A395" s="20" t="s">
        <v>7</v>
      </c>
      <c r="B395" s="5"/>
      <c r="C395" s="5"/>
      <c r="D395" s="132"/>
      <c r="E395" s="132"/>
      <c r="F395" s="132"/>
      <c r="G395" s="132"/>
      <c r="H395" s="132"/>
      <c r="I395" s="132"/>
      <c r="J395" s="132"/>
      <c r="K395" s="17"/>
      <c r="L395" s="128"/>
      <c r="M395" s="128"/>
      <c r="N395" s="132"/>
      <c r="O395" s="132"/>
      <c r="P395" s="132"/>
    </row>
    <row r="396" spans="1:16" ht="24" customHeight="1">
      <c r="A396" s="21" t="s">
        <v>60</v>
      </c>
      <c r="B396" s="7"/>
      <c r="C396" s="7"/>
      <c r="D396" s="132">
        <v>160</v>
      </c>
      <c r="E396" s="132"/>
      <c r="F396" s="132">
        <f>D396</f>
        <v>160</v>
      </c>
      <c r="G396" s="132">
        <v>243.27563</v>
      </c>
      <c r="H396" s="132"/>
      <c r="I396" s="132"/>
      <c r="J396" s="132">
        <f>G396</f>
        <v>243.27563</v>
      </c>
      <c r="K396" s="17" t="e">
        <f>#REF!/G396*100</f>
        <v>#REF!</v>
      </c>
      <c r="L396" s="17"/>
      <c r="M396" s="17"/>
      <c r="N396" s="132">
        <v>160</v>
      </c>
      <c r="O396" s="132"/>
      <c r="P396" s="132">
        <f>N396</f>
        <v>160</v>
      </c>
    </row>
    <row r="397" spans="1:16" ht="11.25">
      <c r="A397" s="54" t="s">
        <v>6</v>
      </c>
      <c r="B397" s="53"/>
      <c r="C397" s="53"/>
      <c r="D397" s="132"/>
      <c r="E397" s="132"/>
      <c r="F397" s="132"/>
      <c r="G397" s="14"/>
      <c r="H397" s="14"/>
      <c r="I397" s="14"/>
      <c r="J397" s="14"/>
      <c r="K397" s="17"/>
      <c r="L397" s="17"/>
      <c r="M397" s="17"/>
      <c r="N397" s="14"/>
      <c r="O397" s="14"/>
      <c r="P397" s="14"/>
    </row>
    <row r="398" spans="1:16" ht="39" customHeight="1">
      <c r="A398" s="55" t="s">
        <v>200</v>
      </c>
      <c r="B398" s="53"/>
      <c r="C398" s="53"/>
      <c r="D398" s="132">
        <f>D394/D392*100</f>
        <v>35.67351598173516</v>
      </c>
      <c r="E398" s="132"/>
      <c r="F398" s="132">
        <f>D398</f>
        <v>35.67351598173516</v>
      </c>
      <c r="G398" s="132">
        <f>G394/G392*100</f>
        <v>42.86529680365297</v>
      </c>
      <c r="H398" s="132"/>
      <c r="I398" s="132"/>
      <c r="J398" s="132">
        <f>G398</f>
        <v>42.86529680365297</v>
      </c>
      <c r="K398" s="17"/>
      <c r="L398" s="17"/>
      <c r="M398" s="17"/>
      <c r="N398" s="132">
        <f>N394/N392*100</f>
        <v>35.67351598173516</v>
      </c>
      <c r="O398" s="132"/>
      <c r="P398" s="132">
        <f>N398</f>
        <v>35.67351598173516</v>
      </c>
    </row>
    <row r="399" spans="1:235" s="92" customFormat="1" ht="36.75" customHeight="1">
      <c r="A399" s="96" t="s">
        <v>382</v>
      </c>
      <c r="B399" s="96"/>
      <c r="C399" s="96"/>
      <c r="D399" s="133">
        <f>D403*D405</f>
        <v>60000</v>
      </c>
      <c r="E399" s="133"/>
      <c r="F399" s="133">
        <f>F403*F405</f>
        <v>60000</v>
      </c>
      <c r="G399" s="133">
        <f>G403*G405</f>
        <v>0</v>
      </c>
      <c r="H399" s="133"/>
      <c r="I399" s="133"/>
      <c r="J399" s="133">
        <f>G399+H399</f>
        <v>0</v>
      </c>
      <c r="K399" s="133"/>
      <c r="L399" s="133"/>
      <c r="M399" s="133"/>
      <c r="N399" s="133">
        <f>N403*N405</f>
        <v>0</v>
      </c>
      <c r="O399" s="133"/>
      <c r="P399" s="133">
        <f>N399</f>
        <v>0</v>
      </c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  <c r="CP399" s="91"/>
      <c r="CQ399" s="91"/>
      <c r="CR399" s="91"/>
      <c r="CS399" s="91"/>
      <c r="CT399" s="91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1"/>
      <c r="HT399" s="91"/>
      <c r="HU399" s="91"/>
      <c r="HV399" s="91"/>
      <c r="HW399" s="91"/>
      <c r="HX399" s="91"/>
      <c r="HY399" s="91"/>
      <c r="HZ399" s="91"/>
      <c r="IA399" s="91"/>
    </row>
    <row r="400" spans="1:16" ht="11.25">
      <c r="A400" s="43" t="s">
        <v>4</v>
      </c>
      <c r="B400" s="32"/>
      <c r="C400" s="32"/>
      <c r="D400" s="134"/>
      <c r="E400" s="134"/>
      <c r="F400" s="134"/>
      <c r="G400" s="134"/>
      <c r="H400" s="134"/>
      <c r="I400" s="134"/>
      <c r="J400" s="134"/>
      <c r="K400" s="35"/>
      <c r="L400" s="134"/>
      <c r="M400" s="134"/>
      <c r="N400" s="134"/>
      <c r="O400" s="134"/>
      <c r="P400" s="134"/>
    </row>
    <row r="401" spans="1:16" ht="15" customHeight="1">
      <c r="A401" s="44" t="s">
        <v>65</v>
      </c>
      <c r="B401" s="34"/>
      <c r="C401" s="34"/>
      <c r="D401" s="36">
        <f>D399/D405</f>
        <v>4</v>
      </c>
      <c r="E401" s="36"/>
      <c r="F401" s="36">
        <f>D401</f>
        <v>4</v>
      </c>
      <c r="G401" s="36">
        <v>0</v>
      </c>
      <c r="H401" s="36"/>
      <c r="I401" s="36"/>
      <c r="J401" s="36">
        <f>G401+H401</f>
        <v>0</v>
      </c>
      <c r="K401" s="36">
        <f>G401/D401*100</f>
        <v>0</v>
      </c>
      <c r="L401" s="36"/>
      <c r="M401" s="36"/>
      <c r="N401" s="36">
        <v>0</v>
      </c>
      <c r="O401" s="36"/>
      <c r="P401" s="36">
        <f>N401</f>
        <v>0</v>
      </c>
    </row>
    <row r="402" spans="1:16" ht="11.25">
      <c r="A402" s="43" t="s">
        <v>5</v>
      </c>
      <c r="B402" s="32"/>
      <c r="C402" s="32"/>
      <c r="D402" s="135"/>
      <c r="E402" s="135"/>
      <c r="F402" s="36"/>
      <c r="G402" s="135"/>
      <c r="H402" s="135"/>
      <c r="I402" s="135"/>
      <c r="J402" s="36"/>
      <c r="K402" s="36"/>
      <c r="L402" s="135"/>
      <c r="M402" s="135"/>
      <c r="N402" s="135"/>
      <c r="O402" s="135"/>
      <c r="P402" s="36"/>
    </row>
    <row r="403" spans="1:16" ht="24" customHeight="1">
      <c r="A403" s="44" t="s">
        <v>66</v>
      </c>
      <c r="B403" s="34"/>
      <c r="C403" s="34"/>
      <c r="D403" s="36">
        <v>4</v>
      </c>
      <c r="E403" s="36"/>
      <c r="F403" s="36">
        <f>D403</f>
        <v>4</v>
      </c>
      <c r="G403" s="36">
        <v>0</v>
      </c>
      <c r="H403" s="36"/>
      <c r="I403" s="36"/>
      <c r="J403" s="36">
        <f>G403+H403</f>
        <v>0</v>
      </c>
      <c r="K403" s="36">
        <f>G403/D403*100</f>
        <v>0</v>
      </c>
      <c r="L403" s="36"/>
      <c r="M403" s="36"/>
      <c r="N403" s="36">
        <v>0</v>
      </c>
      <c r="O403" s="36"/>
      <c r="P403" s="36">
        <f>N403</f>
        <v>0</v>
      </c>
    </row>
    <row r="404" spans="1:16" ht="11.25">
      <c r="A404" s="43" t="s">
        <v>7</v>
      </c>
      <c r="B404" s="32"/>
      <c r="C404" s="32"/>
      <c r="D404" s="134"/>
      <c r="E404" s="134"/>
      <c r="F404" s="35"/>
      <c r="G404" s="134"/>
      <c r="H404" s="134"/>
      <c r="I404" s="134"/>
      <c r="J404" s="35"/>
      <c r="K404" s="35"/>
      <c r="L404" s="134"/>
      <c r="M404" s="134"/>
      <c r="N404" s="134"/>
      <c r="O404" s="134"/>
      <c r="P404" s="35"/>
    </row>
    <row r="405" spans="1:16" ht="24" customHeight="1">
      <c r="A405" s="44" t="s">
        <v>67</v>
      </c>
      <c r="B405" s="34"/>
      <c r="C405" s="34"/>
      <c r="D405" s="35">
        <v>15000</v>
      </c>
      <c r="E405" s="35"/>
      <c r="F405" s="35">
        <f>D405</f>
        <v>15000</v>
      </c>
      <c r="G405" s="35">
        <v>0</v>
      </c>
      <c r="H405" s="35"/>
      <c r="I405" s="35"/>
      <c r="J405" s="35">
        <f>G405</f>
        <v>0</v>
      </c>
      <c r="K405" s="35">
        <f>G405/D405*100</f>
        <v>0</v>
      </c>
      <c r="L405" s="35"/>
      <c r="M405" s="35"/>
      <c r="N405" s="35">
        <v>0</v>
      </c>
      <c r="O405" s="35"/>
      <c r="P405" s="35">
        <f>N405</f>
        <v>0</v>
      </c>
    </row>
    <row r="406" spans="1:235" s="92" customFormat="1" ht="36.75" customHeight="1">
      <c r="A406" s="96" t="s">
        <v>383</v>
      </c>
      <c r="B406" s="96"/>
      <c r="C406" s="96"/>
      <c r="D406" s="133">
        <f>D410*D412</f>
        <v>0</v>
      </c>
      <c r="E406" s="133"/>
      <c r="F406" s="133">
        <f>F410*F412</f>
        <v>0</v>
      </c>
      <c r="G406" s="188">
        <f>G410*G412</f>
        <v>119999.9999996</v>
      </c>
      <c r="H406" s="133"/>
      <c r="I406" s="133"/>
      <c r="J406" s="133">
        <f>G406+H406</f>
        <v>119999.9999996</v>
      </c>
      <c r="K406" s="133"/>
      <c r="L406" s="133"/>
      <c r="M406" s="133"/>
      <c r="N406" s="133">
        <f>N410*N412</f>
        <v>119999.9999996</v>
      </c>
      <c r="O406" s="133"/>
      <c r="P406" s="133">
        <f>N406</f>
        <v>119999.9999996</v>
      </c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91"/>
      <c r="CO406" s="91"/>
      <c r="CP406" s="91"/>
      <c r="CQ406" s="91"/>
      <c r="CR406" s="91"/>
      <c r="CS406" s="91"/>
      <c r="CT406" s="91"/>
      <c r="CU406" s="91"/>
      <c r="CV406" s="91"/>
      <c r="CW406" s="91"/>
      <c r="CX406" s="91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1"/>
      <c r="HT406" s="91"/>
      <c r="HU406" s="91"/>
      <c r="HV406" s="91"/>
      <c r="HW406" s="91"/>
      <c r="HX406" s="91"/>
      <c r="HY406" s="91"/>
      <c r="HZ406" s="91"/>
      <c r="IA406" s="91"/>
    </row>
    <row r="407" spans="1:16" ht="11.25">
      <c r="A407" s="43" t="s">
        <v>4</v>
      </c>
      <c r="B407" s="32"/>
      <c r="C407" s="32"/>
      <c r="D407" s="134"/>
      <c r="E407" s="134"/>
      <c r="F407" s="134"/>
      <c r="G407" s="134"/>
      <c r="H407" s="134"/>
      <c r="I407" s="134"/>
      <c r="J407" s="134"/>
      <c r="K407" s="35"/>
      <c r="L407" s="134"/>
      <c r="M407" s="134"/>
      <c r="N407" s="134"/>
      <c r="O407" s="134"/>
      <c r="P407" s="134"/>
    </row>
    <row r="408" spans="1:16" ht="15" customHeight="1">
      <c r="A408" s="44" t="s">
        <v>65</v>
      </c>
      <c r="B408" s="34"/>
      <c r="C408" s="34"/>
      <c r="D408" s="36">
        <v>0</v>
      </c>
      <c r="E408" s="36"/>
      <c r="F408" s="36">
        <f>D408</f>
        <v>0</v>
      </c>
      <c r="G408" s="36">
        <v>7</v>
      </c>
      <c r="H408" s="36"/>
      <c r="I408" s="36"/>
      <c r="J408" s="36">
        <f>G408+H408</f>
        <v>7</v>
      </c>
      <c r="K408" s="36" t="e">
        <f>G408/D408*100</f>
        <v>#DIV/0!</v>
      </c>
      <c r="L408" s="36"/>
      <c r="M408" s="36"/>
      <c r="N408" s="36">
        <v>7</v>
      </c>
      <c r="O408" s="36"/>
      <c r="P408" s="36">
        <f>N408</f>
        <v>7</v>
      </c>
    </row>
    <row r="409" spans="1:16" ht="11.25">
      <c r="A409" s="43" t="s">
        <v>5</v>
      </c>
      <c r="B409" s="32"/>
      <c r="C409" s="32"/>
      <c r="D409" s="135"/>
      <c r="E409" s="135"/>
      <c r="F409" s="36"/>
      <c r="G409" s="135"/>
      <c r="H409" s="135"/>
      <c r="I409" s="135"/>
      <c r="J409" s="36"/>
      <c r="K409" s="36"/>
      <c r="L409" s="135"/>
      <c r="M409" s="135"/>
      <c r="N409" s="135"/>
      <c r="O409" s="135"/>
      <c r="P409" s="36"/>
    </row>
    <row r="410" spans="1:16" ht="24" customHeight="1">
      <c r="A410" s="44" t="s">
        <v>66</v>
      </c>
      <c r="B410" s="34"/>
      <c r="C410" s="34"/>
      <c r="D410" s="36">
        <v>0</v>
      </c>
      <c r="E410" s="36"/>
      <c r="F410" s="36">
        <f>D410</f>
        <v>0</v>
      </c>
      <c r="G410" s="36">
        <v>7</v>
      </c>
      <c r="H410" s="36"/>
      <c r="I410" s="36"/>
      <c r="J410" s="36">
        <f>G410+H410</f>
        <v>7</v>
      </c>
      <c r="K410" s="36" t="e">
        <f>G410/D410*100</f>
        <v>#DIV/0!</v>
      </c>
      <c r="L410" s="36"/>
      <c r="M410" s="36"/>
      <c r="N410" s="36">
        <v>7</v>
      </c>
      <c r="O410" s="36"/>
      <c r="P410" s="36">
        <f>N410</f>
        <v>7</v>
      </c>
    </row>
    <row r="411" spans="1:16" ht="11.25">
      <c r="A411" s="43" t="s">
        <v>7</v>
      </c>
      <c r="B411" s="32"/>
      <c r="C411" s="32"/>
      <c r="D411" s="134"/>
      <c r="E411" s="134"/>
      <c r="F411" s="35"/>
      <c r="G411" s="134"/>
      <c r="H411" s="134"/>
      <c r="I411" s="134"/>
      <c r="J411" s="35"/>
      <c r="K411" s="35"/>
      <c r="L411" s="134"/>
      <c r="M411" s="134"/>
      <c r="N411" s="134"/>
      <c r="O411" s="134"/>
      <c r="P411" s="35"/>
    </row>
    <row r="412" spans="1:16" ht="24" customHeight="1">
      <c r="A412" s="44" t="s">
        <v>67</v>
      </c>
      <c r="B412" s="34"/>
      <c r="C412" s="34"/>
      <c r="D412" s="35">
        <v>0</v>
      </c>
      <c r="E412" s="35"/>
      <c r="F412" s="35">
        <f>D412</f>
        <v>0</v>
      </c>
      <c r="G412" s="35">
        <v>17142.8571428</v>
      </c>
      <c r="H412" s="35"/>
      <c r="I412" s="35"/>
      <c r="J412" s="35">
        <f>G412</f>
        <v>17142.8571428</v>
      </c>
      <c r="K412" s="35" t="e">
        <f>G412/D412*100</f>
        <v>#DIV/0!</v>
      </c>
      <c r="L412" s="35"/>
      <c r="M412" s="35"/>
      <c r="N412" s="35">
        <v>17142.8571428</v>
      </c>
      <c r="O412" s="35"/>
      <c r="P412" s="35">
        <f>N412</f>
        <v>17142.8571428</v>
      </c>
    </row>
    <row r="413" spans="1:235" s="92" customFormat="1" ht="33.75">
      <c r="A413" s="96" t="s">
        <v>384</v>
      </c>
      <c r="B413" s="96"/>
      <c r="C413" s="96"/>
      <c r="D413" s="100">
        <f>(D417*D422)+(D418*D423)+2.8</f>
        <v>293680</v>
      </c>
      <c r="E413" s="100"/>
      <c r="F413" s="100">
        <f>D413</f>
        <v>293680</v>
      </c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  <c r="CI413" s="91"/>
      <c r="CJ413" s="91"/>
      <c r="CK413" s="91"/>
      <c r="CL413" s="91"/>
      <c r="CM413" s="91"/>
      <c r="CN413" s="91"/>
      <c r="CO413" s="91"/>
      <c r="CP413" s="91"/>
      <c r="CQ413" s="91"/>
      <c r="CR413" s="91"/>
      <c r="CS413" s="91"/>
      <c r="CT413" s="91"/>
      <c r="CU413" s="91"/>
      <c r="CV413" s="91"/>
      <c r="CW413" s="91"/>
      <c r="CX413" s="91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1"/>
      <c r="HT413" s="91"/>
      <c r="HU413" s="91"/>
      <c r="HV413" s="91"/>
      <c r="HW413" s="91"/>
      <c r="HX413" s="91"/>
      <c r="HY413" s="91"/>
      <c r="HZ413" s="91"/>
      <c r="IA413" s="91"/>
    </row>
    <row r="414" spans="1:16" ht="11.25">
      <c r="A414" s="43" t="s">
        <v>5</v>
      </c>
      <c r="B414" s="32"/>
      <c r="C414" s="32"/>
      <c r="D414" s="134"/>
      <c r="E414" s="134"/>
      <c r="F414" s="35"/>
      <c r="G414" s="134"/>
      <c r="H414" s="134"/>
      <c r="I414" s="134"/>
      <c r="J414" s="35"/>
      <c r="K414" s="38"/>
      <c r="L414" s="136"/>
      <c r="M414" s="136"/>
      <c r="N414" s="134"/>
      <c r="O414" s="134"/>
      <c r="P414" s="35"/>
    </row>
    <row r="415" spans="1:16" ht="24" customHeight="1">
      <c r="A415" s="44" t="s">
        <v>202</v>
      </c>
      <c r="B415" s="34"/>
      <c r="C415" s="34"/>
      <c r="D415" s="36"/>
      <c r="E415" s="36"/>
      <c r="F415" s="36">
        <v>230</v>
      </c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1:16" ht="13.5" customHeight="1">
      <c r="A416" s="44" t="s">
        <v>68</v>
      </c>
      <c r="B416" s="34"/>
      <c r="C416" s="3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1:16" ht="23.25" customHeight="1">
      <c r="A417" s="44" t="s">
        <v>203</v>
      </c>
      <c r="B417" s="34"/>
      <c r="C417" s="34"/>
      <c r="D417" s="36">
        <v>180</v>
      </c>
      <c r="E417" s="36"/>
      <c r="F417" s="36">
        <f>D417</f>
        <v>180</v>
      </c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1:16" ht="27" customHeight="1">
      <c r="A418" s="44" t="s">
        <v>204</v>
      </c>
      <c r="B418" s="34"/>
      <c r="C418" s="34"/>
      <c r="D418" s="36">
        <v>540</v>
      </c>
      <c r="E418" s="36"/>
      <c r="F418" s="36">
        <f>D418</f>
        <v>540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1:16" ht="11.25">
      <c r="A419" s="43" t="s">
        <v>7</v>
      </c>
      <c r="B419" s="32"/>
      <c r="C419" s="32"/>
      <c r="D419" s="135"/>
      <c r="E419" s="135"/>
      <c r="F419" s="36"/>
      <c r="G419" s="135"/>
      <c r="H419" s="135"/>
      <c r="I419" s="135"/>
      <c r="J419" s="36"/>
      <c r="K419" s="37"/>
      <c r="L419" s="103"/>
      <c r="M419" s="103"/>
      <c r="N419" s="135"/>
      <c r="O419" s="135"/>
      <c r="P419" s="36"/>
    </row>
    <row r="420" spans="1:16" ht="35.25" customHeight="1">
      <c r="A420" s="44" t="s">
        <v>205</v>
      </c>
      <c r="B420" s="34"/>
      <c r="C420" s="34"/>
      <c r="D420" s="36"/>
      <c r="E420" s="36"/>
      <c r="F420" s="36">
        <f>D420</f>
        <v>0</v>
      </c>
      <c r="G420" s="36"/>
      <c r="H420" s="36"/>
      <c r="I420" s="36"/>
      <c r="J420" s="36"/>
      <c r="K420" s="37"/>
      <c r="L420" s="37"/>
      <c r="M420" s="37"/>
      <c r="N420" s="36"/>
      <c r="O420" s="36"/>
      <c r="P420" s="36"/>
    </row>
    <row r="421" spans="1:16" ht="11.25">
      <c r="A421" s="44" t="s">
        <v>68</v>
      </c>
      <c r="B421" s="34"/>
      <c r="C421" s="34"/>
      <c r="D421" s="35"/>
      <c r="E421" s="35"/>
      <c r="F421" s="35"/>
      <c r="G421" s="35"/>
      <c r="H421" s="35"/>
      <c r="I421" s="35"/>
      <c r="J421" s="35"/>
      <c r="K421" s="38"/>
      <c r="L421" s="38"/>
      <c r="M421" s="38"/>
      <c r="N421" s="35"/>
      <c r="O421" s="35"/>
      <c r="P421" s="35"/>
    </row>
    <row r="422" spans="1:16" ht="23.25" customHeight="1">
      <c r="A422" s="44" t="s">
        <v>203</v>
      </c>
      <c r="B422" s="34"/>
      <c r="C422" s="34"/>
      <c r="D422" s="36">
        <v>122.96</v>
      </c>
      <c r="E422" s="36"/>
      <c r="F422" s="36">
        <f>D422</f>
        <v>122.96</v>
      </c>
      <c r="G422" s="36"/>
      <c r="H422" s="36"/>
      <c r="I422" s="36"/>
      <c r="J422" s="36"/>
      <c r="K422" s="38"/>
      <c r="L422" s="38"/>
      <c r="M422" s="38"/>
      <c r="N422" s="36"/>
      <c r="O422" s="36"/>
      <c r="P422" s="36"/>
    </row>
    <row r="423" spans="1:16" ht="24" customHeight="1">
      <c r="A423" s="44" t="s">
        <v>204</v>
      </c>
      <c r="B423" s="34"/>
      <c r="C423" s="34"/>
      <c r="D423" s="36">
        <v>502.86</v>
      </c>
      <c r="E423" s="36"/>
      <c r="F423" s="36">
        <f>D423</f>
        <v>502.86</v>
      </c>
      <c r="G423" s="36"/>
      <c r="H423" s="36"/>
      <c r="I423" s="36"/>
      <c r="J423" s="36"/>
      <c r="K423" s="38"/>
      <c r="L423" s="38"/>
      <c r="M423" s="38"/>
      <c r="N423" s="36"/>
      <c r="O423" s="36"/>
      <c r="P423" s="36"/>
    </row>
    <row r="424" spans="1:235" s="92" customFormat="1" ht="33.75">
      <c r="A424" s="96" t="s">
        <v>385</v>
      </c>
      <c r="B424" s="96"/>
      <c r="C424" s="96"/>
      <c r="D424" s="100"/>
      <c r="E424" s="100"/>
      <c r="F424" s="100"/>
      <c r="G424" s="100">
        <f>G428*G433+G429*G434</f>
        <v>99999.9999984</v>
      </c>
      <c r="H424" s="100"/>
      <c r="I424" s="100"/>
      <c r="J424" s="100">
        <f>G424+H424</f>
        <v>99999.9999984</v>
      </c>
      <c r="K424" s="100"/>
      <c r="L424" s="100"/>
      <c r="M424" s="100"/>
      <c r="N424" s="100">
        <f>(N428*N433)+(N429*N434)</f>
        <v>299213.19999972</v>
      </c>
      <c r="O424" s="100"/>
      <c r="P424" s="100">
        <f>N424</f>
        <v>299213.19999972</v>
      </c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  <c r="CI424" s="91"/>
      <c r="CJ424" s="91"/>
      <c r="CK424" s="91"/>
      <c r="CL424" s="91"/>
      <c r="CM424" s="91"/>
      <c r="CN424" s="91"/>
      <c r="CO424" s="91"/>
      <c r="CP424" s="91"/>
      <c r="CQ424" s="91"/>
      <c r="CR424" s="91"/>
      <c r="CS424" s="91"/>
      <c r="CT424" s="91"/>
      <c r="CU424" s="91"/>
      <c r="CV424" s="91"/>
      <c r="CW424" s="91"/>
      <c r="CX424" s="91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1"/>
      <c r="HT424" s="91"/>
      <c r="HU424" s="91"/>
      <c r="HV424" s="91"/>
      <c r="HW424" s="91"/>
      <c r="HX424" s="91"/>
      <c r="HY424" s="91"/>
      <c r="HZ424" s="91"/>
      <c r="IA424" s="91"/>
    </row>
    <row r="425" spans="1:16" ht="11.25">
      <c r="A425" s="43" t="s">
        <v>5</v>
      </c>
      <c r="B425" s="32"/>
      <c r="C425" s="32"/>
      <c r="D425" s="134"/>
      <c r="E425" s="134"/>
      <c r="F425" s="35"/>
      <c r="G425" s="134"/>
      <c r="H425" s="134"/>
      <c r="I425" s="134"/>
      <c r="J425" s="35"/>
      <c r="K425" s="38"/>
      <c r="L425" s="136"/>
      <c r="M425" s="136"/>
      <c r="N425" s="134"/>
      <c r="O425" s="134"/>
      <c r="P425" s="35"/>
    </row>
    <row r="426" spans="1:16" ht="24" customHeight="1">
      <c r="A426" s="44" t="s">
        <v>202</v>
      </c>
      <c r="B426" s="34"/>
      <c r="C426" s="34"/>
      <c r="D426" s="36"/>
      <c r="E426" s="36"/>
      <c r="F426" s="36"/>
      <c r="G426" s="36">
        <v>270</v>
      </c>
      <c r="H426" s="36"/>
      <c r="I426" s="36"/>
      <c r="J426" s="36">
        <v>257</v>
      </c>
      <c r="K426" s="36" t="e">
        <f>G426/D426*100</f>
        <v>#DIV/0!</v>
      </c>
      <c r="L426" s="36"/>
      <c r="M426" s="36"/>
      <c r="N426" s="36">
        <v>765</v>
      </c>
      <c r="O426" s="36"/>
      <c r="P426" s="36">
        <v>765</v>
      </c>
    </row>
    <row r="427" spans="1:16" ht="13.5" customHeight="1">
      <c r="A427" s="44" t="s">
        <v>68</v>
      </c>
      <c r="B427" s="34"/>
      <c r="C427" s="3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ht="23.25" customHeight="1">
      <c r="A428" s="44" t="s">
        <v>203</v>
      </c>
      <c r="B428" s="34"/>
      <c r="C428" s="34"/>
      <c r="D428" s="36"/>
      <c r="E428" s="36"/>
      <c r="F428" s="36"/>
      <c r="G428" s="36">
        <v>77</v>
      </c>
      <c r="H428" s="36"/>
      <c r="I428" s="36"/>
      <c r="J428" s="36">
        <f>G428+H428</f>
        <v>77</v>
      </c>
      <c r="K428" s="36"/>
      <c r="L428" s="36"/>
      <c r="M428" s="36"/>
      <c r="N428" s="36">
        <v>225</v>
      </c>
      <c r="O428" s="36"/>
      <c r="P428" s="36">
        <f>N428</f>
        <v>225</v>
      </c>
    </row>
    <row r="429" spans="1:16" ht="27" customHeight="1">
      <c r="A429" s="44" t="s">
        <v>204</v>
      </c>
      <c r="B429" s="34"/>
      <c r="C429" s="34"/>
      <c r="D429" s="36"/>
      <c r="E429" s="36"/>
      <c r="F429" s="36"/>
      <c r="G429" s="36">
        <v>180</v>
      </c>
      <c r="H429" s="36"/>
      <c r="I429" s="36"/>
      <c r="J429" s="36">
        <f>G429+H429</f>
        <v>180</v>
      </c>
      <c r="K429" s="36"/>
      <c r="L429" s="36"/>
      <c r="M429" s="36"/>
      <c r="N429" s="36">
        <v>540</v>
      </c>
      <c r="O429" s="36"/>
      <c r="P429" s="36">
        <f>N429</f>
        <v>540</v>
      </c>
    </row>
    <row r="430" spans="1:16" ht="11.25">
      <c r="A430" s="43" t="s">
        <v>7</v>
      </c>
      <c r="B430" s="32"/>
      <c r="C430" s="32"/>
      <c r="D430" s="135"/>
      <c r="E430" s="135"/>
      <c r="F430" s="36"/>
      <c r="G430" s="135"/>
      <c r="H430" s="135"/>
      <c r="I430" s="135"/>
      <c r="J430" s="36"/>
      <c r="K430" s="37"/>
      <c r="L430" s="103"/>
      <c r="M430" s="103"/>
      <c r="N430" s="135"/>
      <c r="O430" s="135"/>
      <c r="P430" s="36"/>
    </row>
    <row r="431" spans="1:16" ht="36" customHeight="1">
      <c r="A431" s="44" t="s">
        <v>205</v>
      </c>
      <c r="B431" s="34"/>
      <c r="C431" s="34"/>
      <c r="D431" s="36"/>
      <c r="E431" s="36"/>
      <c r="F431" s="36"/>
      <c r="G431" s="36"/>
      <c r="H431" s="36"/>
      <c r="I431" s="36"/>
      <c r="J431" s="36">
        <f>G431</f>
        <v>0</v>
      </c>
      <c r="K431" s="37" t="e">
        <f>G431/D431*100</f>
        <v>#DIV/0!</v>
      </c>
      <c r="L431" s="37"/>
      <c r="M431" s="37"/>
      <c r="N431" s="36"/>
      <c r="O431" s="36"/>
      <c r="P431" s="36">
        <f>N431</f>
        <v>0</v>
      </c>
    </row>
    <row r="432" spans="1:16" ht="11.25">
      <c r="A432" s="44" t="s">
        <v>68</v>
      </c>
      <c r="B432" s="34"/>
      <c r="C432" s="34"/>
      <c r="D432" s="35"/>
      <c r="E432" s="35"/>
      <c r="F432" s="35"/>
      <c r="G432" s="35"/>
      <c r="H432" s="35"/>
      <c r="I432" s="35"/>
      <c r="J432" s="35"/>
      <c r="K432" s="38"/>
      <c r="L432" s="38"/>
      <c r="M432" s="38"/>
      <c r="N432" s="35"/>
      <c r="O432" s="35"/>
      <c r="P432" s="35"/>
    </row>
    <row r="433" spans="1:16" ht="23.25" customHeight="1">
      <c r="A433" s="44" t="s">
        <v>203</v>
      </c>
      <c r="B433" s="34"/>
      <c r="C433" s="34"/>
      <c r="D433" s="36"/>
      <c r="E433" s="36"/>
      <c r="F433" s="36"/>
      <c r="G433" s="36">
        <v>123</v>
      </c>
      <c r="H433" s="36"/>
      <c r="I433" s="36"/>
      <c r="J433" s="36">
        <f>G433</f>
        <v>123</v>
      </c>
      <c r="K433" s="38"/>
      <c r="L433" s="38"/>
      <c r="M433" s="38"/>
      <c r="N433" s="36">
        <v>123</v>
      </c>
      <c r="O433" s="36"/>
      <c r="P433" s="36">
        <f>N433</f>
        <v>123</v>
      </c>
    </row>
    <row r="434" spans="1:16" ht="24" customHeight="1">
      <c r="A434" s="44" t="s">
        <v>204</v>
      </c>
      <c r="B434" s="34"/>
      <c r="C434" s="34"/>
      <c r="D434" s="36"/>
      <c r="E434" s="36"/>
      <c r="F434" s="36"/>
      <c r="G434" s="36">
        <v>502.93888888</v>
      </c>
      <c r="H434" s="36"/>
      <c r="I434" s="36"/>
      <c r="J434" s="36">
        <f>G434</f>
        <v>502.93888888</v>
      </c>
      <c r="K434" s="38"/>
      <c r="L434" s="38"/>
      <c r="M434" s="38"/>
      <c r="N434" s="36">
        <v>502.848518518</v>
      </c>
      <c r="O434" s="36"/>
      <c r="P434" s="36">
        <f>N434</f>
        <v>502.848518518</v>
      </c>
    </row>
    <row r="435" spans="1:235" s="92" customFormat="1" ht="24" customHeight="1">
      <c r="A435" s="96" t="s">
        <v>386</v>
      </c>
      <c r="B435" s="96"/>
      <c r="C435" s="96"/>
      <c r="D435" s="100">
        <f>(D437*D439)+0.02</f>
        <v>51000.002</v>
      </c>
      <c r="E435" s="100"/>
      <c r="F435" s="100">
        <f>D435</f>
        <v>51000.002</v>
      </c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  <c r="CP435" s="91"/>
      <c r="CQ435" s="91"/>
      <c r="CR435" s="91"/>
      <c r="CS435" s="91"/>
      <c r="CT435" s="91"/>
      <c r="CU435" s="91"/>
      <c r="CV435" s="91"/>
      <c r="CW435" s="91"/>
      <c r="CX435" s="91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1"/>
      <c r="HT435" s="91"/>
      <c r="HU435" s="91"/>
      <c r="HV435" s="91"/>
      <c r="HW435" s="91"/>
      <c r="HX435" s="91"/>
      <c r="HY435" s="91"/>
      <c r="HZ435" s="91"/>
      <c r="IA435" s="91"/>
    </row>
    <row r="436" spans="1:16" ht="12.75" customHeight="1">
      <c r="A436" s="43" t="s">
        <v>238</v>
      </c>
      <c r="B436" s="65"/>
      <c r="C436" s="65"/>
      <c r="D436" s="39"/>
      <c r="E436" s="39"/>
      <c r="F436" s="39"/>
      <c r="G436" s="39"/>
      <c r="H436" s="39"/>
      <c r="I436" s="39"/>
      <c r="J436" s="39"/>
      <c r="K436" s="137"/>
      <c r="L436" s="39"/>
      <c r="M436" s="39"/>
      <c r="N436" s="39"/>
      <c r="O436" s="39"/>
      <c r="P436" s="39"/>
    </row>
    <row r="437" spans="1:16" ht="24" customHeight="1">
      <c r="A437" s="55" t="s">
        <v>237</v>
      </c>
      <c r="B437" s="34"/>
      <c r="C437" s="34"/>
      <c r="D437" s="36">
        <v>6600</v>
      </c>
      <c r="E437" s="36"/>
      <c r="F437" s="36">
        <f>D437</f>
        <v>6600</v>
      </c>
      <c r="G437" s="36"/>
      <c r="H437" s="36"/>
      <c r="I437" s="36"/>
      <c r="J437" s="36"/>
      <c r="K437" s="38"/>
      <c r="L437" s="38"/>
      <c r="M437" s="38"/>
      <c r="N437" s="36"/>
      <c r="O437" s="36"/>
      <c r="P437" s="36"/>
    </row>
    <row r="438" spans="1:16" ht="11.25">
      <c r="A438" s="43" t="s">
        <v>7</v>
      </c>
      <c r="B438" s="34"/>
      <c r="C438" s="34"/>
      <c r="D438" s="36"/>
      <c r="E438" s="36"/>
      <c r="F438" s="36"/>
      <c r="G438" s="36"/>
      <c r="H438" s="36"/>
      <c r="I438" s="36"/>
      <c r="J438" s="36"/>
      <c r="K438" s="38"/>
      <c r="L438" s="38"/>
      <c r="M438" s="38"/>
      <c r="N438" s="36"/>
      <c r="O438" s="36"/>
      <c r="P438" s="36"/>
    </row>
    <row r="439" spans="1:16" ht="24" customHeight="1">
      <c r="A439" s="44" t="s">
        <v>239</v>
      </c>
      <c r="B439" s="34"/>
      <c r="C439" s="34"/>
      <c r="D439" s="36">
        <f>7727.27/1000</f>
        <v>7.727270000000001</v>
      </c>
      <c r="E439" s="36"/>
      <c r="F439" s="36">
        <f>D439</f>
        <v>7.727270000000001</v>
      </c>
      <c r="G439" s="36"/>
      <c r="H439" s="36"/>
      <c r="I439" s="36"/>
      <c r="J439" s="36"/>
      <c r="K439" s="38"/>
      <c r="L439" s="38"/>
      <c r="M439" s="38"/>
      <c r="N439" s="36"/>
      <c r="O439" s="36"/>
      <c r="P439" s="36"/>
    </row>
    <row r="440" spans="1:235" s="92" customFormat="1" ht="38.25" customHeight="1">
      <c r="A440" s="96" t="s">
        <v>387</v>
      </c>
      <c r="B440" s="96"/>
      <c r="C440" s="96"/>
      <c r="D440" s="100"/>
      <c r="E440" s="100"/>
      <c r="F440" s="100"/>
      <c r="G440" s="100">
        <f>G442*G444</f>
        <v>168999.9999996</v>
      </c>
      <c r="H440" s="100"/>
      <c r="I440" s="100"/>
      <c r="J440" s="100">
        <f>G440</f>
        <v>168999.9999996</v>
      </c>
      <c r="K440" s="103"/>
      <c r="L440" s="103"/>
      <c r="M440" s="103"/>
      <c r="N440" s="100">
        <f>N442*N444</f>
        <v>169999.999992</v>
      </c>
      <c r="O440" s="100"/>
      <c r="P440" s="100">
        <f>N440</f>
        <v>169999.999992</v>
      </c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  <c r="CP440" s="91"/>
      <c r="CQ440" s="91"/>
      <c r="CR440" s="91"/>
      <c r="CS440" s="91"/>
      <c r="CT440" s="91"/>
      <c r="CU440" s="91"/>
      <c r="CV440" s="91"/>
      <c r="CW440" s="91"/>
      <c r="CX440" s="91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1"/>
      <c r="HT440" s="91"/>
      <c r="HU440" s="91"/>
      <c r="HV440" s="91"/>
      <c r="HW440" s="91"/>
      <c r="HX440" s="91"/>
      <c r="HY440" s="91"/>
      <c r="HZ440" s="91"/>
      <c r="IA440" s="91"/>
    </row>
    <row r="441" spans="1:16" ht="11.25">
      <c r="A441" s="43" t="s">
        <v>238</v>
      </c>
      <c r="B441" s="65"/>
      <c r="C441" s="65"/>
      <c r="D441" s="39"/>
      <c r="E441" s="39"/>
      <c r="F441" s="39"/>
      <c r="G441" s="39"/>
      <c r="H441" s="39"/>
      <c r="I441" s="39"/>
      <c r="J441" s="39"/>
      <c r="K441" s="38"/>
      <c r="L441" s="38"/>
      <c r="M441" s="38"/>
      <c r="N441" s="36"/>
      <c r="O441" s="36"/>
      <c r="P441" s="36"/>
    </row>
    <row r="442" spans="1:16" ht="45">
      <c r="A442" s="55" t="s">
        <v>292</v>
      </c>
      <c r="B442" s="34"/>
      <c r="C442" s="34"/>
      <c r="D442" s="36"/>
      <c r="E442" s="36"/>
      <c r="F442" s="36"/>
      <c r="G442" s="36">
        <v>12</v>
      </c>
      <c r="H442" s="36"/>
      <c r="I442" s="36"/>
      <c r="J442" s="36">
        <f>G442</f>
        <v>12</v>
      </c>
      <c r="K442" s="38"/>
      <c r="L442" s="38"/>
      <c r="M442" s="38"/>
      <c r="N442" s="36">
        <v>12</v>
      </c>
      <c r="O442" s="36"/>
      <c r="P442" s="36">
        <f>N442</f>
        <v>12</v>
      </c>
    </row>
    <row r="443" spans="1:16" ht="11.25">
      <c r="A443" s="43" t="s">
        <v>7</v>
      </c>
      <c r="B443" s="34"/>
      <c r="C443" s="34"/>
      <c r="D443" s="36"/>
      <c r="E443" s="36"/>
      <c r="F443" s="36"/>
      <c r="G443" s="36"/>
      <c r="H443" s="36"/>
      <c r="I443" s="36"/>
      <c r="J443" s="36"/>
      <c r="K443" s="38"/>
      <c r="L443" s="38"/>
      <c r="M443" s="38"/>
      <c r="N443" s="36"/>
      <c r="O443" s="36"/>
      <c r="P443" s="36"/>
    </row>
    <row r="444" spans="1:16" ht="38.25" customHeight="1">
      <c r="A444" s="44" t="s">
        <v>293</v>
      </c>
      <c r="B444" s="34"/>
      <c r="C444" s="34"/>
      <c r="D444" s="36"/>
      <c r="E444" s="36"/>
      <c r="F444" s="36"/>
      <c r="G444" s="36">
        <v>14083.3333333</v>
      </c>
      <c r="H444" s="36"/>
      <c r="I444" s="36"/>
      <c r="J444" s="36">
        <f>G444</f>
        <v>14083.3333333</v>
      </c>
      <c r="K444" s="38"/>
      <c r="L444" s="38"/>
      <c r="M444" s="38"/>
      <c r="N444" s="36">
        <v>14166.666666</v>
      </c>
      <c r="O444" s="36"/>
      <c r="P444" s="36">
        <f>N444</f>
        <v>14166.666666</v>
      </c>
    </row>
    <row r="445" spans="1:16" ht="2.25" customHeight="1" hidden="1">
      <c r="A445" s="44"/>
      <c r="B445" s="34"/>
      <c r="C445" s="34"/>
      <c r="D445" s="36"/>
      <c r="E445" s="36"/>
      <c r="F445" s="36"/>
      <c r="G445" s="36"/>
      <c r="H445" s="36"/>
      <c r="I445" s="36"/>
      <c r="J445" s="36"/>
      <c r="K445" s="38"/>
      <c r="L445" s="38"/>
      <c r="M445" s="38"/>
      <c r="N445" s="36"/>
      <c r="O445" s="36"/>
      <c r="P445" s="36"/>
    </row>
    <row r="446" spans="1:16" ht="24" customHeight="1" hidden="1">
      <c r="A446" s="44"/>
      <c r="B446" s="34"/>
      <c r="C446" s="34"/>
      <c r="D446" s="36"/>
      <c r="E446" s="36"/>
      <c r="F446" s="36"/>
      <c r="G446" s="36"/>
      <c r="H446" s="36"/>
      <c r="I446" s="36"/>
      <c r="J446" s="36"/>
      <c r="K446" s="38"/>
      <c r="L446" s="38"/>
      <c r="M446" s="38"/>
      <c r="N446" s="36"/>
      <c r="O446" s="36"/>
      <c r="P446" s="36"/>
    </row>
    <row r="447" spans="1:16" ht="24" customHeight="1" hidden="1">
      <c r="A447" s="44"/>
      <c r="B447" s="34"/>
      <c r="C447" s="34"/>
      <c r="D447" s="36"/>
      <c r="E447" s="36"/>
      <c r="F447" s="36"/>
      <c r="G447" s="36"/>
      <c r="H447" s="36"/>
      <c r="I447" s="36"/>
      <c r="J447" s="36"/>
      <c r="K447" s="38"/>
      <c r="L447" s="38"/>
      <c r="M447" s="38"/>
      <c r="N447" s="36"/>
      <c r="O447" s="36"/>
      <c r="P447" s="36"/>
    </row>
    <row r="448" spans="1:16" ht="24" customHeight="1" hidden="1">
      <c r="A448" s="44"/>
      <c r="B448" s="34"/>
      <c r="C448" s="34"/>
      <c r="D448" s="36"/>
      <c r="E448" s="36"/>
      <c r="F448" s="36"/>
      <c r="G448" s="36"/>
      <c r="H448" s="36"/>
      <c r="I448" s="36"/>
      <c r="J448" s="36"/>
      <c r="K448" s="38"/>
      <c r="L448" s="38"/>
      <c r="M448" s="38"/>
      <c r="N448" s="36"/>
      <c r="O448" s="36"/>
      <c r="P448" s="36"/>
    </row>
    <row r="449" spans="1:235" s="92" customFormat="1" ht="33.75">
      <c r="A449" s="96" t="s">
        <v>388</v>
      </c>
      <c r="B449" s="96"/>
      <c r="C449" s="96"/>
      <c r="D449" s="100">
        <v>216</v>
      </c>
      <c r="E449" s="100"/>
      <c r="F449" s="100">
        <f>D449</f>
        <v>216</v>
      </c>
      <c r="G449" s="100">
        <f>G451*G453</f>
        <v>33300</v>
      </c>
      <c r="H449" s="100"/>
      <c r="I449" s="100"/>
      <c r="J449" s="100">
        <f>G449</f>
        <v>33300</v>
      </c>
      <c r="K449" s="103"/>
      <c r="L449" s="103"/>
      <c r="M449" s="103"/>
      <c r="N449" s="100">
        <f>N451*N453</f>
        <v>9999.999996</v>
      </c>
      <c r="O449" s="100"/>
      <c r="P449" s="100">
        <f>N449</f>
        <v>9999.999996</v>
      </c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  <c r="EP449" s="91"/>
      <c r="EQ449" s="91"/>
      <c r="ER449" s="91"/>
      <c r="ES449" s="91"/>
      <c r="ET449" s="91"/>
      <c r="EU449" s="91"/>
      <c r="EV449" s="91"/>
      <c r="EW449" s="91"/>
      <c r="EX449" s="91"/>
      <c r="EY449" s="91"/>
      <c r="EZ449" s="91"/>
      <c r="FA449" s="91"/>
      <c r="FB449" s="91"/>
      <c r="FC449" s="91"/>
      <c r="FD449" s="91"/>
      <c r="FE449" s="91"/>
      <c r="FF449" s="91"/>
      <c r="FG449" s="91"/>
      <c r="FH449" s="91"/>
      <c r="FI449" s="91"/>
      <c r="FJ449" s="91"/>
      <c r="FK449" s="91"/>
      <c r="FL449" s="91"/>
      <c r="FM449" s="91"/>
      <c r="FN449" s="91"/>
      <c r="FO449" s="91"/>
      <c r="FP449" s="91"/>
      <c r="FQ449" s="91"/>
      <c r="FR449" s="91"/>
      <c r="FS449" s="91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1"/>
      <c r="GF449" s="91"/>
      <c r="GG449" s="91"/>
      <c r="GH449" s="91"/>
      <c r="GI449" s="91"/>
      <c r="GJ449" s="91"/>
      <c r="GK449" s="91"/>
      <c r="GL449" s="91"/>
      <c r="GM449" s="91"/>
      <c r="GN449" s="91"/>
      <c r="GO449" s="91"/>
      <c r="GP449" s="91"/>
      <c r="GQ449" s="91"/>
      <c r="GR449" s="91"/>
      <c r="GS449" s="91"/>
      <c r="GT449" s="91"/>
      <c r="GU449" s="91"/>
      <c r="GV449" s="91"/>
      <c r="GW449" s="91"/>
      <c r="GX449" s="91"/>
      <c r="GY449" s="91"/>
      <c r="GZ449" s="91"/>
      <c r="HA449" s="91"/>
      <c r="HB449" s="91"/>
      <c r="HC449" s="91"/>
      <c r="HD449" s="91"/>
      <c r="HE449" s="91"/>
      <c r="HF449" s="91"/>
      <c r="HG449" s="91"/>
      <c r="HH449" s="91"/>
      <c r="HI449" s="91"/>
      <c r="HJ449" s="91"/>
      <c r="HK449" s="91"/>
      <c r="HL449" s="91"/>
      <c r="HM449" s="91"/>
      <c r="HN449" s="91"/>
      <c r="HO449" s="91"/>
      <c r="HP449" s="91"/>
      <c r="HQ449" s="91"/>
      <c r="HR449" s="91"/>
      <c r="HS449" s="91"/>
      <c r="HT449" s="91"/>
      <c r="HU449" s="91"/>
      <c r="HV449" s="91"/>
      <c r="HW449" s="91"/>
      <c r="HX449" s="91"/>
      <c r="HY449" s="91"/>
      <c r="HZ449" s="91"/>
      <c r="IA449" s="91"/>
    </row>
    <row r="450" spans="1:16" ht="11.25">
      <c r="A450" s="43" t="s">
        <v>238</v>
      </c>
      <c r="B450" s="65"/>
      <c r="C450" s="65"/>
      <c r="D450" s="39"/>
      <c r="E450" s="39"/>
      <c r="F450" s="39"/>
      <c r="G450" s="39"/>
      <c r="H450" s="39"/>
      <c r="I450" s="39"/>
      <c r="J450" s="39"/>
      <c r="K450" s="38"/>
      <c r="L450" s="38"/>
      <c r="M450" s="38"/>
      <c r="N450" s="36"/>
      <c r="O450" s="36"/>
      <c r="P450" s="36"/>
    </row>
    <row r="451" spans="1:16" ht="39" customHeight="1">
      <c r="A451" s="55" t="s">
        <v>294</v>
      </c>
      <c r="B451" s="34"/>
      <c r="C451" s="34"/>
      <c r="D451" s="36">
        <v>2</v>
      </c>
      <c r="E451" s="36"/>
      <c r="F451" s="36">
        <f>D451</f>
        <v>2</v>
      </c>
      <c r="G451" s="36">
        <v>12</v>
      </c>
      <c r="H451" s="36"/>
      <c r="I451" s="36"/>
      <c r="J451" s="36">
        <f>G451</f>
        <v>12</v>
      </c>
      <c r="K451" s="38"/>
      <c r="L451" s="38"/>
      <c r="M451" s="38"/>
      <c r="N451" s="36">
        <v>12</v>
      </c>
      <c r="O451" s="36"/>
      <c r="P451" s="36">
        <f>N451</f>
        <v>12</v>
      </c>
    </row>
    <row r="452" spans="1:16" ht="11.25">
      <c r="A452" s="43" t="s">
        <v>7</v>
      </c>
      <c r="B452" s="34"/>
      <c r="C452" s="34"/>
      <c r="D452" s="36"/>
      <c r="E452" s="36"/>
      <c r="F452" s="36"/>
      <c r="G452" s="36"/>
      <c r="H452" s="36"/>
      <c r="I452" s="36"/>
      <c r="J452" s="36"/>
      <c r="K452" s="38"/>
      <c r="L452" s="38"/>
      <c r="M452" s="38"/>
      <c r="N452" s="36"/>
      <c r="O452" s="36"/>
      <c r="P452" s="36"/>
    </row>
    <row r="453" spans="1:16" ht="33.75" customHeight="1">
      <c r="A453" s="44" t="s">
        <v>295</v>
      </c>
      <c r="B453" s="34"/>
      <c r="C453" s="34"/>
      <c r="D453" s="36">
        <f>D449/D451</f>
        <v>108</v>
      </c>
      <c r="E453" s="36"/>
      <c r="F453" s="36">
        <f>D453</f>
        <v>108</v>
      </c>
      <c r="G453" s="36">
        <v>2775</v>
      </c>
      <c r="H453" s="36"/>
      <c r="I453" s="36"/>
      <c r="J453" s="36">
        <f>G453</f>
        <v>2775</v>
      </c>
      <c r="K453" s="38"/>
      <c r="L453" s="38"/>
      <c r="M453" s="38"/>
      <c r="N453" s="36">
        <v>833.333333</v>
      </c>
      <c r="O453" s="36"/>
      <c r="P453" s="36">
        <f>N453</f>
        <v>833.333333</v>
      </c>
    </row>
    <row r="454" spans="1:235" s="85" customFormat="1" ht="12">
      <c r="A454" s="125" t="s">
        <v>350</v>
      </c>
      <c r="B454" s="122"/>
      <c r="C454" s="122"/>
      <c r="D454" s="123"/>
      <c r="E454" s="123">
        <f>E458+E466+E471</f>
        <v>534080</v>
      </c>
      <c r="F454" s="123">
        <f>E454</f>
        <v>534080</v>
      </c>
      <c r="G454" s="123">
        <f>0</f>
        <v>0</v>
      </c>
      <c r="H454" s="123">
        <f>H458+H466+H471+H485+H492+H478</f>
        <v>878509.9999997</v>
      </c>
      <c r="I454" s="123">
        <f>I458+I466+I471+I485+I492</f>
        <v>0</v>
      </c>
      <c r="J454" s="123">
        <f>H454</f>
        <v>878509.9999997</v>
      </c>
      <c r="K454" s="138"/>
      <c r="L454" s="139"/>
      <c r="M454" s="139"/>
      <c r="N454" s="123"/>
      <c r="O454" s="123">
        <f>O458+O466+O471+O478</f>
        <v>569509.9999997</v>
      </c>
      <c r="P454" s="123">
        <f>O454</f>
        <v>569509.9999997</v>
      </c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1"/>
      <c r="CA454" s="121"/>
      <c r="CB454" s="121"/>
      <c r="CC454" s="121"/>
      <c r="CD454" s="121"/>
      <c r="CE454" s="121"/>
      <c r="CF454" s="121"/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21"/>
      <c r="CQ454" s="121"/>
      <c r="CR454" s="121"/>
      <c r="CS454" s="121"/>
      <c r="CT454" s="121"/>
      <c r="CU454" s="121"/>
      <c r="CV454" s="121"/>
      <c r="CW454" s="121"/>
      <c r="CX454" s="121"/>
      <c r="CY454" s="121"/>
      <c r="CZ454" s="121"/>
      <c r="DA454" s="121"/>
      <c r="DB454" s="121"/>
      <c r="DC454" s="121"/>
      <c r="DD454" s="121"/>
      <c r="DE454" s="121"/>
      <c r="DF454" s="121"/>
      <c r="DG454" s="121"/>
      <c r="DH454" s="121"/>
      <c r="DI454" s="121"/>
      <c r="DJ454" s="121"/>
      <c r="DK454" s="121"/>
      <c r="DL454" s="121"/>
      <c r="DM454" s="121"/>
      <c r="DN454" s="121"/>
      <c r="DO454" s="121"/>
      <c r="DP454" s="121"/>
      <c r="DQ454" s="121"/>
      <c r="DR454" s="121"/>
      <c r="DS454" s="121"/>
      <c r="DT454" s="121"/>
      <c r="DU454" s="121"/>
      <c r="DV454" s="121"/>
      <c r="DW454" s="121"/>
      <c r="DX454" s="121"/>
      <c r="DY454" s="121"/>
      <c r="DZ454" s="121"/>
      <c r="EA454" s="121"/>
      <c r="EB454" s="121"/>
      <c r="EC454" s="121"/>
      <c r="ED454" s="121"/>
      <c r="EE454" s="121"/>
      <c r="EF454" s="121"/>
      <c r="EG454" s="121"/>
      <c r="EH454" s="121"/>
      <c r="EI454" s="121"/>
      <c r="EJ454" s="121"/>
      <c r="EK454" s="121"/>
      <c r="EL454" s="121"/>
      <c r="EM454" s="121"/>
      <c r="EN454" s="121"/>
      <c r="EO454" s="121"/>
      <c r="EP454" s="121"/>
      <c r="EQ454" s="121"/>
      <c r="ER454" s="121"/>
      <c r="ES454" s="121"/>
      <c r="ET454" s="121"/>
      <c r="EU454" s="121"/>
      <c r="EV454" s="121"/>
      <c r="EW454" s="121"/>
      <c r="EX454" s="121"/>
      <c r="EY454" s="121"/>
      <c r="EZ454" s="121"/>
      <c r="FA454" s="121"/>
      <c r="FB454" s="121"/>
      <c r="FC454" s="121"/>
      <c r="FD454" s="121"/>
      <c r="FE454" s="121"/>
      <c r="FF454" s="121"/>
      <c r="FG454" s="121"/>
      <c r="FH454" s="121"/>
      <c r="FI454" s="121"/>
      <c r="FJ454" s="121"/>
      <c r="FK454" s="121"/>
      <c r="FL454" s="121"/>
      <c r="FM454" s="121"/>
      <c r="FN454" s="121"/>
      <c r="FO454" s="121"/>
      <c r="FP454" s="121"/>
      <c r="FQ454" s="121"/>
      <c r="FR454" s="121"/>
      <c r="FS454" s="121"/>
      <c r="FT454" s="121"/>
      <c r="FU454" s="121"/>
      <c r="FV454" s="121"/>
      <c r="FW454" s="121"/>
      <c r="FX454" s="121"/>
      <c r="FY454" s="121"/>
      <c r="FZ454" s="121"/>
      <c r="GA454" s="121"/>
      <c r="GB454" s="121"/>
      <c r="GC454" s="121"/>
      <c r="GD454" s="121"/>
      <c r="GE454" s="121"/>
      <c r="GF454" s="121"/>
      <c r="GG454" s="121"/>
      <c r="GH454" s="121"/>
      <c r="GI454" s="121"/>
      <c r="GJ454" s="121"/>
      <c r="GK454" s="121"/>
      <c r="GL454" s="121"/>
      <c r="GM454" s="121"/>
      <c r="GN454" s="121"/>
      <c r="GO454" s="121"/>
      <c r="GP454" s="121"/>
      <c r="GQ454" s="121"/>
      <c r="GR454" s="121"/>
      <c r="GS454" s="121"/>
      <c r="GT454" s="121"/>
      <c r="GU454" s="121"/>
      <c r="GV454" s="121"/>
      <c r="GW454" s="121"/>
      <c r="GX454" s="121"/>
      <c r="GY454" s="121"/>
      <c r="GZ454" s="121"/>
      <c r="HA454" s="121"/>
      <c r="HB454" s="121"/>
      <c r="HC454" s="121"/>
      <c r="HD454" s="121"/>
      <c r="HE454" s="121"/>
      <c r="HF454" s="121"/>
      <c r="HG454" s="121"/>
      <c r="HH454" s="121"/>
      <c r="HI454" s="121"/>
      <c r="HJ454" s="121"/>
      <c r="HK454" s="121"/>
      <c r="HL454" s="121"/>
      <c r="HM454" s="121"/>
      <c r="HN454" s="121"/>
      <c r="HO454" s="121"/>
      <c r="HP454" s="121"/>
      <c r="HQ454" s="121"/>
      <c r="HR454" s="121"/>
      <c r="HS454" s="121"/>
      <c r="HT454" s="121"/>
      <c r="HU454" s="121"/>
      <c r="HV454" s="121"/>
      <c r="HW454" s="121"/>
      <c r="HX454" s="121"/>
      <c r="HY454" s="121"/>
      <c r="HZ454" s="121"/>
      <c r="IA454" s="121"/>
    </row>
    <row r="455" spans="1:235" s="85" customFormat="1" ht="12">
      <c r="A455" s="125" t="s">
        <v>348</v>
      </c>
      <c r="B455" s="122"/>
      <c r="C455" s="122"/>
      <c r="D455" s="123"/>
      <c r="E455" s="123">
        <f>E458+E466+E471</f>
        <v>534080</v>
      </c>
      <c r="F455" s="123">
        <f aca="true" t="shared" si="42" ref="F455:N455">F458+F466+F471</f>
        <v>534080</v>
      </c>
      <c r="G455" s="123">
        <f t="shared" si="42"/>
        <v>0</v>
      </c>
      <c r="H455" s="123">
        <f>33.5026841552*H463</f>
        <v>64399.99999992592</v>
      </c>
      <c r="I455" s="123">
        <f>33.502928*I463</f>
        <v>0</v>
      </c>
      <c r="J455" s="123">
        <f>33.5026841552*J463</f>
        <v>64399.99999992592</v>
      </c>
      <c r="K455" s="123">
        <f t="shared" si="42"/>
        <v>0</v>
      </c>
      <c r="L455" s="123">
        <f t="shared" si="42"/>
        <v>0</v>
      </c>
      <c r="M455" s="123">
        <f t="shared" si="42"/>
        <v>0</v>
      </c>
      <c r="N455" s="123">
        <f t="shared" si="42"/>
        <v>0</v>
      </c>
      <c r="O455" s="123">
        <v>0</v>
      </c>
      <c r="P455" s="123">
        <v>0</v>
      </c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21"/>
      <c r="CA455" s="121"/>
      <c r="CB455" s="121"/>
      <c r="CC455" s="121"/>
      <c r="CD455" s="121"/>
      <c r="CE455" s="121"/>
      <c r="CF455" s="121"/>
      <c r="CG455" s="121"/>
      <c r="CH455" s="121"/>
      <c r="CI455" s="121"/>
      <c r="CJ455" s="121"/>
      <c r="CK455" s="121"/>
      <c r="CL455" s="121"/>
      <c r="CM455" s="121"/>
      <c r="CN455" s="121"/>
      <c r="CO455" s="121"/>
      <c r="CP455" s="121"/>
      <c r="CQ455" s="121"/>
      <c r="CR455" s="121"/>
      <c r="CS455" s="121"/>
      <c r="CT455" s="121"/>
      <c r="CU455" s="121"/>
      <c r="CV455" s="121"/>
      <c r="CW455" s="121"/>
      <c r="CX455" s="121"/>
      <c r="CY455" s="121"/>
      <c r="CZ455" s="121"/>
      <c r="DA455" s="121"/>
      <c r="DB455" s="121"/>
      <c r="DC455" s="121"/>
      <c r="DD455" s="121"/>
      <c r="DE455" s="121"/>
      <c r="DF455" s="121"/>
      <c r="DG455" s="121"/>
      <c r="DH455" s="121"/>
      <c r="DI455" s="121"/>
      <c r="DJ455" s="121"/>
      <c r="DK455" s="121"/>
      <c r="DL455" s="121"/>
      <c r="DM455" s="121"/>
      <c r="DN455" s="121"/>
      <c r="DO455" s="121"/>
      <c r="DP455" s="121"/>
      <c r="DQ455" s="121"/>
      <c r="DR455" s="121"/>
      <c r="DS455" s="121"/>
      <c r="DT455" s="121"/>
      <c r="DU455" s="121"/>
      <c r="DV455" s="121"/>
      <c r="DW455" s="121"/>
      <c r="DX455" s="121"/>
      <c r="DY455" s="121"/>
      <c r="DZ455" s="121"/>
      <c r="EA455" s="121"/>
      <c r="EB455" s="121"/>
      <c r="EC455" s="121"/>
      <c r="ED455" s="121"/>
      <c r="EE455" s="121"/>
      <c r="EF455" s="121"/>
      <c r="EG455" s="121"/>
      <c r="EH455" s="121"/>
      <c r="EI455" s="121"/>
      <c r="EJ455" s="121"/>
      <c r="EK455" s="121"/>
      <c r="EL455" s="121"/>
      <c r="EM455" s="121"/>
      <c r="EN455" s="121"/>
      <c r="EO455" s="121"/>
      <c r="EP455" s="121"/>
      <c r="EQ455" s="121"/>
      <c r="ER455" s="121"/>
      <c r="ES455" s="121"/>
      <c r="ET455" s="121"/>
      <c r="EU455" s="121"/>
      <c r="EV455" s="121"/>
      <c r="EW455" s="121"/>
      <c r="EX455" s="121"/>
      <c r="EY455" s="121"/>
      <c r="EZ455" s="121"/>
      <c r="FA455" s="121"/>
      <c r="FB455" s="121"/>
      <c r="FC455" s="121"/>
      <c r="FD455" s="121"/>
      <c r="FE455" s="121"/>
      <c r="FF455" s="121"/>
      <c r="FG455" s="121"/>
      <c r="FH455" s="121"/>
      <c r="FI455" s="121"/>
      <c r="FJ455" s="121"/>
      <c r="FK455" s="121"/>
      <c r="FL455" s="121"/>
      <c r="FM455" s="121"/>
      <c r="FN455" s="121"/>
      <c r="FO455" s="121"/>
      <c r="FP455" s="121"/>
      <c r="FQ455" s="121"/>
      <c r="FR455" s="121"/>
      <c r="FS455" s="121"/>
      <c r="FT455" s="121"/>
      <c r="FU455" s="121"/>
      <c r="FV455" s="121"/>
      <c r="FW455" s="121"/>
      <c r="FX455" s="121"/>
      <c r="FY455" s="121"/>
      <c r="FZ455" s="121"/>
      <c r="GA455" s="121"/>
      <c r="GB455" s="121"/>
      <c r="GC455" s="121"/>
      <c r="GD455" s="121"/>
      <c r="GE455" s="121"/>
      <c r="GF455" s="121"/>
      <c r="GG455" s="121"/>
      <c r="GH455" s="121"/>
      <c r="GI455" s="121"/>
      <c r="GJ455" s="121"/>
      <c r="GK455" s="121"/>
      <c r="GL455" s="121"/>
      <c r="GM455" s="121"/>
      <c r="GN455" s="121"/>
      <c r="GO455" s="121"/>
      <c r="GP455" s="121"/>
      <c r="GQ455" s="121"/>
      <c r="GR455" s="121"/>
      <c r="GS455" s="121"/>
      <c r="GT455" s="121"/>
      <c r="GU455" s="121"/>
      <c r="GV455" s="121"/>
      <c r="GW455" s="121"/>
      <c r="GX455" s="121"/>
      <c r="GY455" s="121"/>
      <c r="GZ455" s="121"/>
      <c r="HA455" s="121"/>
      <c r="HB455" s="121"/>
      <c r="HC455" s="121"/>
      <c r="HD455" s="121"/>
      <c r="HE455" s="121"/>
      <c r="HF455" s="121"/>
      <c r="HG455" s="121"/>
      <c r="HH455" s="121"/>
      <c r="HI455" s="121"/>
      <c r="HJ455" s="121"/>
      <c r="HK455" s="121"/>
      <c r="HL455" s="121"/>
      <c r="HM455" s="121"/>
      <c r="HN455" s="121"/>
      <c r="HO455" s="121"/>
      <c r="HP455" s="121"/>
      <c r="HQ455" s="121"/>
      <c r="HR455" s="121"/>
      <c r="HS455" s="121"/>
      <c r="HT455" s="121"/>
      <c r="HU455" s="121"/>
      <c r="HV455" s="121"/>
      <c r="HW455" s="121"/>
      <c r="HX455" s="121"/>
      <c r="HY455" s="121"/>
      <c r="HZ455" s="121"/>
      <c r="IA455" s="121"/>
    </row>
    <row r="456" spans="1:235" s="85" customFormat="1" ht="12">
      <c r="A456" s="125" t="s">
        <v>349</v>
      </c>
      <c r="B456" s="122"/>
      <c r="C456" s="122"/>
      <c r="D456" s="123"/>
      <c r="E456" s="123">
        <f>E478+E485+E492</f>
        <v>0</v>
      </c>
      <c r="F456" s="123">
        <f>F478+F485+F492</f>
        <v>0</v>
      </c>
      <c r="G456" s="123">
        <f>G478+G485+G492</f>
        <v>0</v>
      </c>
      <c r="H456" s="123">
        <f>H458-H455+H466+H478+H485+H492</f>
        <v>814109.999999774</v>
      </c>
      <c r="I456" s="123">
        <f aca="true" t="shared" si="43" ref="I456:P456">I458-I455+I466+I478+I485+I492</f>
        <v>0</v>
      </c>
      <c r="J456" s="123">
        <f t="shared" si="43"/>
        <v>814109.999999774</v>
      </c>
      <c r="K456" s="123">
        <f t="shared" si="43"/>
        <v>0</v>
      </c>
      <c r="L456" s="123">
        <f t="shared" si="43"/>
        <v>0</v>
      </c>
      <c r="M456" s="123">
        <f t="shared" si="43"/>
        <v>0</v>
      </c>
      <c r="N456" s="123">
        <f t="shared" si="43"/>
        <v>0</v>
      </c>
      <c r="O456" s="123">
        <f t="shared" si="43"/>
        <v>569509.9999997</v>
      </c>
      <c r="P456" s="123">
        <f t="shared" si="43"/>
        <v>569509.9999997</v>
      </c>
      <c r="Q456" s="123">
        <f>Q478+Q485+Q492</f>
        <v>0</v>
      </c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1"/>
      <c r="CA456" s="121"/>
      <c r="CB456" s="121"/>
      <c r="CC456" s="121"/>
      <c r="CD456" s="121"/>
      <c r="CE456" s="121"/>
      <c r="CF456" s="121"/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21"/>
      <c r="CQ456" s="121"/>
      <c r="CR456" s="121"/>
      <c r="CS456" s="121"/>
      <c r="CT456" s="121"/>
      <c r="CU456" s="121"/>
      <c r="CV456" s="121"/>
      <c r="CW456" s="121"/>
      <c r="CX456" s="121"/>
      <c r="CY456" s="121"/>
      <c r="CZ456" s="121"/>
      <c r="DA456" s="121"/>
      <c r="DB456" s="121"/>
      <c r="DC456" s="121"/>
      <c r="DD456" s="121"/>
      <c r="DE456" s="121"/>
      <c r="DF456" s="121"/>
      <c r="DG456" s="121"/>
      <c r="DH456" s="121"/>
      <c r="DI456" s="121"/>
      <c r="DJ456" s="121"/>
      <c r="DK456" s="121"/>
      <c r="DL456" s="121"/>
      <c r="DM456" s="121"/>
      <c r="DN456" s="121"/>
      <c r="DO456" s="121"/>
      <c r="DP456" s="121"/>
      <c r="DQ456" s="121"/>
      <c r="DR456" s="121"/>
      <c r="DS456" s="121"/>
      <c r="DT456" s="121"/>
      <c r="DU456" s="121"/>
      <c r="DV456" s="121"/>
      <c r="DW456" s="121"/>
      <c r="DX456" s="121"/>
      <c r="DY456" s="121"/>
      <c r="DZ456" s="121"/>
      <c r="EA456" s="121"/>
      <c r="EB456" s="121"/>
      <c r="EC456" s="121"/>
      <c r="ED456" s="121"/>
      <c r="EE456" s="121"/>
      <c r="EF456" s="121"/>
      <c r="EG456" s="121"/>
      <c r="EH456" s="121"/>
      <c r="EI456" s="121"/>
      <c r="EJ456" s="121"/>
      <c r="EK456" s="121"/>
      <c r="EL456" s="121"/>
      <c r="EM456" s="121"/>
      <c r="EN456" s="121"/>
      <c r="EO456" s="121"/>
      <c r="EP456" s="121"/>
      <c r="EQ456" s="121"/>
      <c r="ER456" s="121"/>
      <c r="ES456" s="121"/>
      <c r="ET456" s="121"/>
      <c r="EU456" s="121"/>
      <c r="EV456" s="121"/>
      <c r="EW456" s="121"/>
      <c r="EX456" s="121"/>
      <c r="EY456" s="121"/>
      <c r="EZ456" s="121"/>
      <c r="FA456" s="121"/>
      <c r="FB456" s="121"/>
      <c r="FC456" s="121"/>
      <c r="FD456" s="121"/>
      <c r="FE456" s="121"/>
      <c r="FF456" s="121"/>
      <c r="FG456" s="121"/>
      <c r="FH456" s="121"/>
      <c r="FI456" s="121"/>
      <c r="FJ456" s="121"/>
      <c r="FK456" s="121"/>
      <c r="FL456" s="121"/>
      <c r="FM456" s="121"/>
      <c r="FN456" s="121"/>
      <c r="FO456" s="121"/>
      <c r="FP456" s="121"/>
      <c r="FQ456" s="121"/>
      <c r="FR456" s="121"/>
      <c r="FS456" s="121"/>
      <c r="FT456" s="121"/>
      <c r="FU456" s="121"/>
      <c r="FV456" s="121"/>
      <c r="FW456" s="121"/>
      <c r="FX456" s="121"/>
      <c r="FY456" s="121"/>
      <c r="FZ456" s="121"/>
      <c r="GA456" s="121"/>
      <c r="GB456" s="121"/>
      <c r="GC456" s="121"/>
      <c r="GD456" s="121"/>
      <c r="GE456" s="121"/>
      <c r="GF456" s="121"/>
      <c r="GG456" s="121"/>
      <c r="GH456" s="121"/>
      <c r="GI456" s="121"/>
      <c r="GJ456" s="121"/>
      <c r="GK456" s="121"/>
      <c r="GL456" s="121"/>
      <c r="GM456" s="121"/>
      <c r="GN456" s="121"/>
      <c r="GO456" s="121"/>
      <c r="GP456" s="121"/>
      <c r="GQ456" s="121"/>
      <c r="GR456" s="121"/>
      <c r="GS456" s="121"/>
      <c r="GT456" s="121"/>
      <c r="GU456" s="121"/>
      <c r="GV456" s="121"/>
      <c r="GW456" s="121"/>
      <c r="GX456" s="121"/>
      <c r="GY456" s="121"/>
      <c r="GZ456" s="121"/>
      <c r="HA456" s="121"/>
      <c r="HB456" s="121"/>
      <c r="HC456" s="121"/>
      <c r="HD456" s="121"/>
      <c r="HE456" s="121"/>
      <c r="HF456" s="121"/>
      <c r="HG456" s="121"/>
      <c r="HH456" s="121"/>
      <c r="HI456" s="121"/>
      <c r="HJ456" s="121"/>
      <c r="HK456" s="121"/>
      <c r="HL456" s="121"/>
      <c r="HM456" s="121"/>
      <c r="HN456" s="121"/>
      <c r="HO456" s="121"/>
      <c r="HP456" s="121"/>
      <c r="HQ456" s="121"/>
      <c r="HR456" s="121"/>
      <c r="HS456" s="121"/>
      <c r="HT456" s="121"/>
      <c r="HU456" s="121"/>
      <c r="HV456" s="121"/>
      <c r="HW456" s="121"/>
      <c r="HX456" s="121"/>
      <c r="HY456" s="121"/>
      <c r="HZ456" s="121"/>
      <c r="IA456" s="121"/>
    </row>
    <row r="457" spans="1:16" ht="90.75" customHeight="1">
      <c r="A457" s="45" t="s">
        <v>318</v>
      </c>
      <c r="B457" s="41"/>
      <c r="C457" s="41"/>
      <c r="D457" s="39"/>
      <c r="E457" s="39"/>
      <c r="F457" s="39"/>
      <c r="G457" s="39"/>
      <c r="H457" s="39"/>
      <c r="I457" s="39"/>
      <c r="J457" s="39"/>
      <c r="K457" s="140"/>
      <c r="L457" s="40"/>
      <c r="M457" s="40"/>
      <c r="N457" s="39"/>
      <c r="O457" s="39"/>
      <c r="P457" s="39"/>
    </row>
    <row r="458" spans="1:235" s="85" customFormat="1" ht="24.75" customHeight="1">
      <c r="A458" s="96" t="s">
        <v>389</v>
      </c>
      <c r="B458" s="96"/>
      <c r="C458" s="96"/>
      <c r="D458" s="100"/>
      <c r="E458" s="100">
        <f>E461*E463+1.32</f>
        <v>180690</v>
      </c>
      <c r="F458" s="100">
        <f>E458</f>
        <v>180690</v>
      </c>
      <c r="G458" s="100"/>
      <c r="H458" s="100">
        <f>H461*H463</f>
        <v>180689.9999997</v>
      </c>
      <c r="I458" s="100"/>
      <c r="J458" s="100">
        <f>H458</f>
        <v>180689.9999997</v>
      </c>
      <c r="K458" s="138"/>
      <c r="L458" s="100"/>
      <c r="M458" s="100"/>
      <c r="N458" s="100"/>
      <c r="O458" s="100">
        <f>O461*O463</f>
        <v>180689.9999997</v>
      </c>
      <c r="P458" s="100">
        <f>O458</f>
        <v>180689.9999997</v>
      </c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21"/>
      <c r="CA458" s="121"/>
      <c r="CB458" s="121"/>
      <c r="CC458" s="121"/>
      <c r="CD458" s="121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21"/>
      <c r="CQ458" s="121"/>
      <c r="CR458" s="121"/>
      <c r="CS458" s="121"/>
      <c r="CT458" s="121"/>
      <c r="CU458" s="121"/>
      <c r="CV458" s="121"/>
      <c r="CW458" s="121"/>
      <c r="CX458" s="121"/>
      <c r="CY458" s="121"/>
      <c r="CZ458" s="121"/>
      <c r="DA458" s="121"/>
      <c r="DB458" s="121"/>
      <c r="DC458" s="121"/>
      <c r="DD458" s="121"/>
      <c r="DE458" s="121"/>
      <c r="DF458" s="121"/>
      <c r="DG458" s="121"/>
      <c r="DH458" s="121"/>
      <c r="DI458" s="121"/>
      <c r="DJ458" s="121"/>
      <c r="DK458" s="121"/>
      <c r="DL458" s="121"/>
      <c r="DM458" s="121"/>
      <c r="DN458" s="121"/>
      <c r="DO458" s="121"/>
      <c r="DP458" s="121"/>
      <c r="DQ458" s="121"/>
      <c r="DR458" s="121"/>
      <c r="DS458" s="121"/>
      <c r="DT458" s="121"/>
      <c r="DU458" s="121"/>
      <c r="DV458" s="121"/>
      <c r="DW458" s="121"/>
      <c r="DX458" s="121"/>
      <c r="DY458" s="121"/>
      <c r="DZ458" s="121"/>
      <c r="EA458" s="121"/>
      <c r="EB458" s="121"/>
      <c r="EC458" s="121"/>
      <c r="ED458" s="121"/>
      <c r="EE458" s="121"/>
      <c r="EF458" s="121"/>
      <c r="EG458" s="121"/>
      <c r="EH458" s="121"/>
      <c r="EI458" s="121"/>
      <c r="EJ458" s="121"/>
      <c r="EK458" s="121"/>
      <c r="EL458" s="121"/>
      <c r="EM458" s="121"/>
      <c r="EN458" s="121"/>
      <c r="EO458" s="121"/>
      <c r="EP458" s="121"/>
      <c r="EQ458" s="121"/>
      <c r="ER458" s="121"/>
      <c r="ES458" s="121"/>
      <c r="ET458" s="121"/>
      <c r="EU458" s="121"/>
      <c r="EV458" s="121"/>
      <c r="EW458" s="121"/>
      <c r="EX458" s="121"/>
      <c r="EY458" s="121"/>
      <c r="EZ458" s="121"/>
      <c r="FA458" s="121"/>
      <c r="FB458" s="121"/>
      <c r="FC458" s="121"/>
      <c r="FD458" s="121"/>
      <c r="FE458" s="121"/>
      <c r="FF458" s="121"/>
      <c r="FG458" s="121"/>
      <c r="FH458" s="121"/>
      <c r="FI458" s="121"/>
      <c r="FJ458" s="121"/>
      <c r="FK458" s="121"/>
      <c r="FL458" s="121"/>
      <c r="FM458" s="121"/>
      <c r="FN458" s="121"/>
      <c r="FO458" s="121"/>
      <c r="FP458" s="121"/>
      <c r="FQ458" s="121"/>
      <c r="FR458" s="121"/>
      <c r="FS458" s="121"/>
      <c r="FT458" s="121"/>
      <c r="FU458" s="121"/>
      <c r="FV458" s="121"/>
      <c r="FW458" s="121"/>
      <c r="FX458" s="121"/>
      <c r="FY458" s="121"/>
      <c r="FZ458" s="121"/>
      <c r="GA458" s="121"/>
      <c r="GB458" s="121"/>
      <c r="GC458" s="121"/>
      <c r="GD458" s="121"/>
      <c r="GE458" s="121"/>
      <c r="GF458" s="121"/>
      <c r="GG458" s="121"/>
      <c r="GH458" s="121"/>
      <c r="GI458" s="121"/>
      <c r="GJ458" s="121"/>
      <c r="GK458" s="121"/>
      <c r="GL458" s="121"/>
      <c r="GM458" s="121"/>
      <c r="GN458" s="121"/>
      <c r="GO458" s="121"/>
      <c r="GP458" s="121"/>
      <c r="GQ458" s="121"/>
      <c r="GR458" s="121"/>
      <c r="GS458" s="121"/>
      <c r="GT458" s="121"/>
      <c r="GU458" s="121"/>
      <c r="GV458" s="121"/>
      <c r="GW458" s="121"/>
      <c r="GX458" s="121"/>
      <c r="GY458" s="121"/>
      <c r="GZ458" s="121"/>
      <c r="HA458" s="121"/>
      <c r="HB458" s="121"/>
      <c r="HC458" s="121"/>
      <c r="HD458" s="121"/>
      <c r="HE458" s="121"/>
      <c r="HF458" s="121"/>
      <c r="HG458" s="121"/>
      <c r="HH458" s="121"/>
      <c r="HI458" s="121"/>
      <c r="HJ458" s="121"/>
      <c r="HK458" s="121"/>
      <c r="HL458" s="121"/>
      <c r="HM458" s="121"/>
      <c r="HN458" s="121"/>
      <c r="HO458" s="121"/>
      <c r="HP458" s="121"/>
      <c r="HQ458" s="121"/>
      <c r="HR458" s="121"/>
      <c r="HS458" s="121"/>
      <c r="HT458" s="121"/>
      <c r="HU458" s="121"/>
      <c r="HV458" s="121"/>
      <c r="HW458" s="121"/>
      <c r="HX458" s="121"/>
      <c r="HY458" s="121"/>
      <c r="HZ458" s="121"/>
      <c r="IA458" s="121"/>
    </row>
    <row r="459" spans="1:16" ht="11.25">
      <c r="A459" s="43" t="s">
        <v>5</v>
      </c>
      <c r="B459" s="31"/>
      <c r="C459" s="31"/>
      <c r="D459" s="134"/>
      <c r="E459" s="134"/>
      <c r="F459" s="35"/>
      <c r="G459" s="134"/>
      <c r="H459" s="134"/>
      <c r="I459" s="134"/>
      <c r="J459" s="35"/>
      <c r="K459" s="35"/>
      <c r="L459" s="134"/>
      <c r="M459" s="134"/>
      <c r="N459" s="134"/>
      <c r="O459" s="134"/>
      <c r="P459" s="35"/>
    </row>
    <row r="460" spans="1:16" ht="26.25" customHeight="1">
      <c r="A460" s="44" t="s">
        <v>206</v>
      </c>
      <c r="B460" s="33"/>
      <c r="C460" s="33"/>
      <c r="D460" s="36"/>
      <c r="E460" s="36">
        <v>33</v>
      </c>
      <c r="F460" s="36">
        <f>E460</f>
        <v>33</v>
      </c>
      <c r="G460" s="36"/>
      <c r="H460" s="36">
        <v>33</v>
      </c>
      <c r="I460" s="36"/>
      <c r="J460" s="36">
        <f>H460</f>
        <v>33</v>
      </c>
      <c r="K460" s="36" t="e">
        <f>G460/D460*100</f>
        <v>#DIV/0!</v>
      </c>
      <c r="L460" s="36"/>
      <c r="M460" s="36"/>
      <c r="N460" s="36"/>
      <c r="O460" s="36">
        <v>33</v>
      </c>
      <c r="P460" s="36">
        <f>O460</f>
        <v>33</v>
      </c>
    </row>
    <row r="461" spans="1:16" ht="26.25" customHeight="1">
      <c r="A461" s="44" t="s">
        <v>69</v>
      </c>
      <c r="B461" s="33"/>
      <c r="C461" s="33"/>
      <c r="D461" s="36"/>
      <c r="E461" s="36">
        <v>94</v>
      </c>
      <c r="F461" s="36">
        <v>94</v>
      </c>
      <c r="G461" s="36"/>
      <c r="H461" s="36">
        <v>94</v>
      </c>
      <c r="I461" s="36"/>
      <c r="J461" s="36">
        <v>94</v>
      </c>
      <c r="K461" s="36"/>
      <c r="L461" s="36"/>
      <c r="M461" s="36"/>
      <c r="N461" s="36"/>
      <c r="O461" s="36">
        <v>94</v>
      </c>
      <c r="P461" s="36">
        <v>94</v>
      </c>
    </row>
    <row r="462" spans="1:16" ht="11.25">
      <c r="A462" s="43" t="s">
        <v>7</v>
      </c>
      <c r="B462" s="31"/>
      <c r="C462" s="31"/>
      <c r="D462" s="134"/>
      <c r="E462" s="134"/>
      <c r="F462" s="35"/>
      <c r="G462" s="134"/>
      <c r="H462" s="134"/>
      <c r="I462" s="134"/>
      <c r="J462" s="35"/>
      <c r="K462" s="35"/>
      <c r="L462" s="134"/>
      <c r="M462" s="134"/>
      <c r="N462" s="134"/>
      <c r="O462" s="134"/>
      <c r="P462" s="35"/>
    </row>
    <row r="463" spans="1:16" ht="23.25" customHeight="1">
      <c r="A463" s="44" t="s">
        <v>70</v>
      </c>
      <c r="B463" s="33"/>
      <c r="C463" s="33"/>
      <c r="D463" s="35"/>
      <c r="E463" s="35">
        <v>1922.22</v>
      </c>
      <c r="F463" s="35">
        <f>E463</f>
        <v>1922.22</v>
      </c>
      <c r="G463" s="35"/>
      <c r="H463" s="35">
        <v>1922.23404255</v>
      </c>
      <c r="I463" s="35"/>
      <c r="J463" s="35">
        <f>H463</f>
        <v>1922.23404255</v>
      </c>
      <c r="K463" s="35" t="e">
        <f>G463/D463*100</f>
        <v>#DIV/0!</v>
      </c>
      <c r="L463" s="35"/>
      <c r="M463" s="35"/>
      <c r="N463" s="35"/>
      <c r="O463" s="35">
        <v>1922.23404255</v>
      </c>
      <c r="P463" s="35">
        <f>O463</f>
        <v>1922.23404255</v>
      </c>
    </row>
    <row r="464" spans="1:16" ht="11.25">
      <c r="A464" s="54" t="s">
        <v>6</v>
      </c>
      <c r="B464" s="33"/>
      <c r="C464" s="33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29.25" customHeight="1">
      <c r="A465" s="55" t="s">
        <v>207</v>
      </c>
      <c r="B465" s="33"/>
      <c r="C465" s="33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235" s="92" customFormat="1" ht="33.75" customHeight="1">
      <c r="A466" s="96" t="s">
        <v>390</v>
      </c>
      <c r="B466" s="96"/>
      <c r="C466" s="96"/>
      <c r="D466" s="100"/>
      <c r="E466" s="100">
        <f>E470</f>
        <v>162140</v>
      </c>
      <c r="F466" s="100">
        <f>E466</f>
        <v>162140</v>
      </c>
      <c r="G466" s="100"/>
      <c r="H466" s="100">
        <f>H470</f>
        <v>257570</v>
      </c>
      <c r="I466" s="100"/>
      <c r="J466" s="100">
        <f>H466</f>
        <v>257570</v>
      </c>
      <c r="K466" s="100"/>
      <c r="L466" s="100"/>
      <c r="M466" s="100"/>
      <c r="N466" s="100"/>
      <c r="O466" s="100">
        <f>O470</f>
        <v>257570</v>
      </c>
      <c r="P466" s="100">
        <f>O466</f>
        <v>257570</v>
      </c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  <c r="CO466" s="91"/>
      <c r="CP466" s="91"/>
      <c r="CQ466" s="91"/>
      <c r="CR466" s="91"/>
      <c r="CS466" s="91"/>
      <c r="CT466" s="91"/>
      <c r="CU466" s="91"/>
      <c r="CV466" s="91"/>
      <c r="CW466" s="91"/>
      <c r="CX466" s="91"/>
      <c r="CY466" s="91"/>
      <c r="CZ466" s="91"/>
      <c r="DA466" s="91"/>
      <c r="DB466" s="91"/>
      <c r="DC466" s="91"/>
      <c r="DD466" s="91"/>
      <c r="DE466" s="91"/>
      <c r="DF466" s="91"/>
      <c r="DG466" s="91"/>
      <c r="DH466" s="91"/>
      <c r="DI466" s="91"/>
      <c r="DJ466" s="91"/>
      <c r="DK466" s="91"/>
      <c r="DL466" s="91"/>
      <c r="DM466" s="91"/>
      <c r="DN466" s="91"/>
      <c r="DO466" s="91"/>
      <c r="DP466" s="91"/>
      <c r="DQ466" s="91"/>
      <c r="DR466" s="91"/>
      <c r="DS466" s="91"/>
      <c r="DT466" s="91"/>
      <c r="DU466" s="91"/>
      <c r="DV466" s="91"/>
      <c r="DW466" s="91"/>
      <c r="DX466" s="91"/>
      <c r="DY466" s="91"/>
      <c r="DZ466" s="91"/>
      <c r="EA466" s="91"/>
      <c r="EB466" s="91"/>
      <c r="EC466" s="91"/>
      <c r="ED466" s="91"/>
      <c r="EE466" s="91"/>
      <c r="EF466" s="91"/>
      <c r="EG466" s="91"/>
      <c r="EH466" s="91"/>
      <c r="EI466" s="91"/>
      <c r="EJ466" s="91"/>
      <c r="EK466" s="91"/>
      <c r="EL466" s="91"/>
      <c r="EM466" s="91"/>
      <c r="EN466" s="91"/>
      <c r="EO466" s="91"/>
      <c r="EP466" s="91"/>
      <c r="EQ466" s="91"/>
      <c r="ER466" s="91"/>
      <c r="ES466" s="91"/>
      <c r="ET466" s="91"/>
      <c r="EU466" s="91"/>
      <c r="EV466" s="91"/>
      <c r="EW466" s="91"/>
      <c r="EX466" s="91"/>
      <c r="EY466" s="91"/>
      <c r="EZ466" s="91"/>
      <c r="FA466" s="91"/>
      <c r="FB466" s="91"/>
      <c r="FC466" s="91"/>
      <c r="FD466" s="91"/>
      <c r="FE466" s="91"/>
      <c r="FF466" s="91"/>
      <c r="FG466" s="91"/>
      <c r="FH466" s="91"/>
      <c r="FI466" s="91"/>
      <c r="FJ466" s="91"/>
      <c r="FK466" s="91"/>
      <c r="FL466" s="91"/>
      <c r="FM466" s="91"/>
      <c r="FN466" s="91"/>
      <c r="FO466" s="91"/>
      <c r="FP466" s="91"/>
      <c r="FQ466" s="91"/>
      <c r="FR466" s="91"/>
      <c r="FS466" s="91"/>
      <c r="FT466" s="91"/>
      <c r="FU466" s="91"/>
      <c r="FV466" s="91"/>
      <c r="FW466" s="91"/>
      <c r="FX466" s="91"/>
      <c r="FY466" s="91"/>
      <c r="FZ466" s="91"/>
      <c r="GA466" s="91"/>
      <c r="GB466" s="91"/>
      <c r="GC466" s="91"/>
      <c r="GD466" s="91"/>
      <c r="GE466" s="91"/>
      <c r="GF466" s="91"/>
      <c r="GG466" s="91"/>
      <c r="GH466" s="91"/>
      <c r="GI466" s="91"/>
      <c r="GJ466" s="91"/>
      <c r="GK466" s="91"/>
      <c r="GL466" s="91"/>
      <c r="GM466" s="91"/>
      <c r="GN466" s="91"/>
      <c r="GO466" s="91"/>
      <c r="GP466" s="91"/>
      <c r="GQ466" s="91"/>
      <c r="GR466" s="91"/>
      <c r="GS466" s="91"/>
      <c r="GT466" s="91"/>
      <c r="GU466" s="91"/>
      <c r="GV466" s="91"/>
      <c r="GW466" s="91"/>
      <c r="GX466" s="91"/>
      <c r="GY466" s="91"/>
      <c r="GZ466" s="91"/>
      <c r="HA466" s="91"/>
      <c r="HB466" s="91"/>
      <c r="HC466" s="91"/>
      <c r="HD466" s="91"/>
      <c r="HE466" s="91"/>
      <c r="HF466" s="91"/>
      <c r="HG466" s="91"/>
      <c r="HH466" s="91"/>
      <c r="HI466" s="91"/>
      <c r="HJ466" s="91"/>
      <c r="HK466" s="91"/>
      <c r="HL466" s="91"/>
      <c r="HM466" s="91"/>
      <c r="HN466" s="91"/>
      <c r="HO466" s="91"/>
      <c r="HP466" s="91"/>
      <c r="HQ466" s="91"/>
      <c r="HR466" s="91"/>
      <c r="HS466" s="91"/>
      <c r="HT466" s="91"/>
      <c r="HU466" s="91"/>
      <c r="HV466" s="91"/>
      <c r="HW466" s="91"/>
      <c r="HX466" s="91"/>
      <c r="HY466" s="91"/>
      <c r="HZ466" s="91"/>
      <c r="IA466" s="91"/>
    </row>
    <row r="467" spans="1:16" ht="11.25">
      <c r="A467" s="43" t="s">
        <v>5</v>
      </c>
      <c r="B467" s="31"/>
      <c r="C467" s="31"/>
      <c r="D467" s="134"/>
      <c r="E467" s="134"/>
      <c r="F467" s="35"/>
      <c r="G467" s="134"/>
      <c r="H467" s="134"/>
      <c r="I467" s="134"/>
      <c r="J467" s="35"/>
      <c r="K467" s="35"/>
      <c r="L467" s="134"/>
      <c r="M467" s="134"/>
      <c r="N467" s="134"/>
      <c r="O467" s="134"/>
      <c r="P467" s="35"/>
    </row>
    <row r="468" spans="1:16" ht="27.75" customHeight="1">
      <c r="A468" s="44" t="s">
        <v>208</v>
      </c>
      <c r="B468" s="33"/>
      <c r="C468" s="33"/>
      <c r="D468" s="36"/>
      <c r="E468" s="36">
        <v>236</v>
      </c>
      <c r="F468" s="36">
        <f>E468</f>
        <v>236</v>
      </c>
      <c r="G468" s="36"/>
      <c r="H468" s="36">
        <v>236</v>
      </c>
      <c r="I468" s="36"/>
      <c r="J468" s="36">
        <f>H468</f>
        <v>236</v>
      </c>
      <c r="K468" s="36" t="e">
        <f>G468/D468*100</f>
        <v>#DIV/0!</v>
      </c>
      <c r="L468" s="36"/>
      <c r="M468" s="36"/>
      <c r="N468" s="36"/>
      <c r="O468" s="36">
        <v>236</v>
      </c>
      <c r="P468" s="36">
        <f>O468</f>
        <v>236</v>
      </c>
    </row>
    <row r="469" spans="1:16" ht="11.25">
      <c r="A469" s="43" t="s">
        <v>7</v>
      </c>
      <c r="B469" s="31"/>
      <c r="C469" s="31"/>
      <c r="D469" s="141"/>
      <c r="E469" s="141"/>
      <c r="F469" s="80"/>
      <c r="G469" s="141"/>
      <c r="H469" s="141"/>
      <c r="I469" s="141"/>
      <c r="J469" s="80"/>
      <c r="K469" s="80"/>
      <c r="L469" s="141"/>
      <c r="M469" s="141"/>
      <c r="N469" s="141"/>
      <c r="O469" s="141"/>
      <c r="P469" s="80"/>
    </row>
    <row r="470" spans="1:16" ht="24" customHeight="1">
      <c r="A470" s="46" t="s">
        <v>209</v>
      </c>
      <c r="B470" s="47"/>
      <c r="C470" s="76"/>
      <c r="D470" s="75"/>
      <c r="E470" s="75">
        <v>162140</v>
      </c>
      <c r="F470" s="75">
        <f>E470</f>
        <v>162140</v>
      </c>
      <c r="G470" s="75"/>
      <c r="H470" s="75">
        <v>257570</v>
      </c>
      <c r="I470" s="75"/>
      <c r="J470" s="75">
        <f>H470</f>
        <v>257570</v>
      </c>
      <c r="K470" s="75" t="e">
        <f>G470/D470*100</f>
        <v>#DIV/0!</v>
      </c>
      <c r="L470" s="75"/>
      <c r="M470" s="75"/>
      <c r="N470" s="75"/>
      <c r="O470" s="75">
        <v>257570</v>
      </c>
      <c r="P470" s="75">
        <f>O470</f>
        <v>257570</v>
      </c>
    </row>
    <row r="471" spans="1:235" s="92" customFormat="1" ht="33.75">
      <c r="A471" s="96" t="s">
        <v>391</v>
      </c>
      <c r="B471" s="96"/>
      <c r="C471" s="97"/>
      <c r="D471" s="105"/>
      <c r="E471" s="105">
        <v>191250</v>
      </c>
      <c r="F471" s="105">
        <f>E471</f>
        <v>191250</v>
      </c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  <c r="CO471" s="91"/>
      <c r="CP471" s="91"/>
      <c r="CQ471" s="91"/>
      <c r="CR471" s="91"/>
      <c r="CS471" s="91"/>
      <c r="CT471" s="91"/>
      <c r="CU471" s="91"/>
      <c r="CV471" s="91"/>
      <c r="CW471" s="91"/>
      <c r="CX471" s="91"/>
      <c r="CY471" s="91"/>
      <c r="CZ471" s="91"/>
      <c r="DA471" s="91"/>
      <c r="DB471" s="91"/>
      <c r="DC471" s="91"/>
      <c r="DD471" s="91"/>
      <c r="DE471" s="91"/>
      <c r="DF471" s="91"/>
      <c r="DG471" s="91"/>
      <c r="DH471" s="91"/>
      <c r="DI471" s="91"/>
      <c r="DJ471" s="91"/>
      <c r="DK471" s="91"/>
      <c r="DL471" s="91"/>
      <c r="DM471" s="91"/>
      <c r="DN471" s="91"/>
      <c r="DO471" s="91"/>
      <c r="DP471" s="91"/>
      <c r="DQ471" s="91"/>
      <c r="DR471" s="91"/>
      <c r="DS471" s="91"/>
      <c r="DT471" s="91"/>
      <c r="DU471" s="91"/>
      <c r="DV471" s="91"/>
      <c r="DW471" s="91"/>
      <c r="DX471" s="91"/>
      <c r="DY471" s="91"/>
      <c r="DZ471" s="91"/>
      <c r="EA471" s="91"/>
      <c r="EB471" s="91"/>
      <c r="EC471" s="91"/>
      <c r="ED471" s="91"/>
      <c r="EE471" s="91"/>
      <c r="EF471" s="91"/>
      <c r="EG471" s="91"/>
      <c r="EH471" s="91"/>
      <c r="EI471" s="91"/>
      <c r="EJ471" s="91"/>
      <c r="EK471" s="91"/>
      <c r="EL471" s="91"/>
      <c r="EM471" s="91"/>
      <c r="EN471" s="91"/>
      <c r="EO471" s="91"/>
      <c r="EP471" s="91"/>
      <c r="EQ471" s="91"/>
      <c r="ER471" s="91"/>
      <c r="ES471" s="91"/>
      <c r="ET471" s="91"/>
      <c r="EU471" s="91"/>
      <c r="EV471" s="91"/>
      <c r="EW471" s="91"/>
      <c r="EX471" s="91"/>
      <c r="EY471" s="91"/>
      <c r="EZ471" s="91"/>
      <c r="FA471" s="91"/>
      <c r="FB471" s="91"/>
      <c r="FC471" s="91"/>
      <c r="FD471" s="91"/>
      <c r="FE471" s="91"/>
      <c r="FF471" s="91"/>
      <c r="FG471" s="91"/>
      <c r="FH471" s="91"/>
      <c r="FI471" s="91"/>
      <c r="FJ471" s="91"/>
      <c r="FK471" s="91"/>
      <c r="FL471" s="91"/>
      <c r="FM471" s="91"/>
      <c r="FN471" s="91"/>
      <c r="FO471" s="91"/>
      <c r="FP471" s="91"/>
      <c r="FQ471" s="91"/>
      <c r="FR471" s="91"/>
      <c r="FS471" s="91"/>
      <c r="FT471" s="91"/>
      <c r="FU471" s="91"/>
      <c r="FV471" s="91"/>
      <c r="FW471" s="91"/>
      <c r="FX471" s="91"/>
      <c r="FY471" s="91"/>
      <c r="FZ471" s="91"/>
      <c r="GA471" s="91"/>
      <c r="GB471" s="91"/>
      <c r="GC471" s="91"/>
      <c r="GD471" s="91"/>
      <c r="GE471" s="91"/>
      <c r="GF471" s="91"/>
      <c r="GG471" s="91"/>
      <c r="GH471" s="91"/>
      <c r="GI471" s="91"/>
      <c r="GJ471" s="91"/>
      <c r="GK471" s="91"/>
      <c r="GL471" s="91"/>
      <c r="GM471" s="91"/>
      <c r="GN471" s="91"/>
      <c r="GO471" s="91"/>
      <c r="GP471" s="91"/>
      <c r="GQ471" s="91"/>
      <c r="GR471" s="91"/>
      <c r="GS471" s="91"/>
      <c r="GT471" s="91"/>
      <c r="GU471" s="91"/>
      <c r="GV471" s="91"/>
      <c r="GW471" s="91"/>
      <c r="GX471" s="91"/>
      <c r="GY471" s="91"/>
      <c r="GZ471" s="91"/>
      <c r="HA471" s="91"/>
      <c r="HB471" s="91"/>
      <c r="HC471" s="91"/>
      <c r="HD471" s="91"/>
      <c r="HE471" s="91"/>
      <c r="HF471" s="91"/>
      <c r="HG471" s="91"/>
      <c r="HH471" s="91"/>
      <c r="HI471" s="91"/>
      <c r="HJ471" s="91"/>
      <c r="HK471" s="91"/>
      <c r="HL471" s="91"/>
      <c r="HM471" s="91"/>
      <c r="HN471" s="91"/>
      <c r="HO471" s="91"/>
      <c r="HP471" s="91"/>
      <c r="HQ471" s="91"/>
      <c r="HR471" s="91"/>
      <c r="HS471" s="91"/>
      <c r="HT471" s="91"/>
      <c r="HU471" s="91"/>
      <c r="HV471" s="91"/>
      <c r="HW471" s="91"/>
      <c r="HX471" s="91"/>
      <c r="HY471" s="91"/>
      <c r="HZ471" s="91"/>
      <c r="IA471" s="91"/>
    </row>
    <row r="472" spans="1:16" ht="11.25">
      <c r="A472" s="43" t="s">
        <v>4</v>
      </c>
      <c r="B472" s="32"/>
      <c r="C472" s="32"/>
      <c r="D472" s="142"/>
      <c r="E472" s="142"/>
      <c r="F472" s="142"/>
      <c r="G472" s="142"/>
      <c r="H472" s="142"/>
      <c r="I472" s="142"/>
      <c r="J472" s="142"/>
      <c r="K472" s="143"/>
      <c r="L472" s="142"/>
      <c r="M472" s="142"/>
      <c r="N472" s="142"/>
      <c r="O472" s="142"/>
      <c r="P472" s="142"/>
    </row>
    <row r="473" spans="1:16" ht="11.25">
      <c r="A473" s="44" t="s">
        <v>65</v>
      </c>
      <c r="B473" s="34"/>
      <c r="C473" s="34"/>
      <c r="D473" s="36"/>
      <c r="E473" s="36">
        <f>E471/E477</f>
        <v>11.417910447761194</v>
      </c>
      <c r="F473" s="36">
        <f>E473</f>
        <v>11.417910447761194</v>
      </c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1:16" ht="11.25">
      <c r="A474" s="43" t="s">
        <v>5</v>
      </c>
      <c r="B474" s="32"/>
      <c r="C474" s="32"/>
      <c r="D474" s="135"/>
      <c r="E474" s="135"/>
      <c r="F474" s="36"/>
      <c r="G474" s="135"/>
      <c r="H474" s="135"/>
      <c r="I474" s="135"/>
      <c r="J474" s="36"/>
      <c r="K474" s="36"/>
      <c r="L474" s="135"/>
      <c r="M474" s="135"/>
      <c r="N474" s="135"/>
      <c r="O474" s="135"/>
      <c r="P474" s="36"/>
    </row>
    <row r="475" spans="1:16" ht="24" customHeight="1">
      <c r="A475" s="44" t="s">
        <v>66</v>
      </c>
      <c r="B475" s="34"/>
      <c r="C475" s="34"/>
      <c r="D475" s="36"/>
      <c r="E475" s="36">
        <v>11</v>
      </c>
      <c r="F475" s="36">
        <f>E475</f>
        <v>11</v>
      </c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1:16" ht="11.25">
      <c r="A476" s="43" t="s">
        <v>7</v>
      </c>
      <c r="B476" s="32"/>
      <c r="C476" s="32"/>
      <c r="D476" s="134"/>
      <c r="E476" s="134"/>
      <c r="F476" s="35"/>
      <c r="G476" s="134"/>
      <c r="H476" s="134"/>
      <c r="I476" s="134"/>
      <c r="J476" s="35"/>
      <c r="K476" s="35"/>
      <c r="L476" s="134"/>
      <c r="M476" s="134"/>
      <c r="N476" s="134"/>
      <c r="O476" s="134"/>
      <c r="P476" s="35"/>
    </row>
    <row r="477" spans="1:16" ht="24" customHeight="1">
      <c r="A477" s="46" t="s">
        <v>67</v>
      </c>
      <c r="B477" s="79"/>
      <c r="C477" s="79"/>
      <c r="D477" s="80"/>
      <c r="E477" s="80">
        <v>16750</v>
      </c>
      <c r="F477" s="80">
        <f>E477</f>
        <v>16750</v>
      </c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235" s="92" customFormat="1" ht="33.75">
      <c r="A478" s="96" t="s">
        <v>392</v>
      </c>
      <c r="B478" s="96"/>
      <c r="C478" s="97"/>
      <c r="D478" s="105"/>
      <c r="E478" s="105"/>
      <c r="F478" s="105"/>
      <c r="G478" s="105"/>
      <c r="H478" s="105">
        <f>H482*H484</f>
        <v>131250</v>
      </c>
      <c r="I478" s="105">
        <f aca="true" t="shared" si="44" ref="I478:Q478">I482*I484</f>
        <v>0</v>
      </c>
      <c r="J478" s="105">
        <f t="shared" si="44"/>
        <v>131250</v>
      </c>
      <c r="K478" s="105">
        <f t="shared" si="44"/>
        <v>0</v>
      </c>
      <c r="L478" s="105">
        <f t="shared" si="44"/>
        <v>0</v>
      </c>
      <c r="M478" s="105">
        <f t="shared" si="44"/>
        <v>0</v>
      </c>
      <c r="N478" s="105">
        <f t="shared" si="44"/>
        <v>0</v>
      </c>
      <c r="O478" s="105">
        <f t="shared" si="44"/>
        <v>131250</v>
      </c>
      <c r="P478" s="105">
        <f t="shared" si="44"/>
        <v>131250</v>
      </c>
      <c r="Q478" s="98">
        <f t="shared" si="44"/>
        <v>0</v>
      </c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  <c r="CO478" s="91"/>
      <c r="CP478" s="91"/>
      <c r="CQ478" s="91"/>
      <c r="CR478" s="91"/>
      <c r="CS478" s="91"/>
      <c r="CT478" s="91"/>
      <c r="CU478" s="91"/>
      <c r="CV478" s="91"/>
      <c r="CW478" s="91"/>
      <c r="CX478" s="91"/>
      <c r="CY478" s="91"/>
      <c r="CZ478" s="91"/>
      <c r="DA478" s="91"/>
      <c r="DB478" s="91"/>
      <c r="DC478" s="91"/>
      <c r="DD478" s="91"/>
      <c r="DE478" s="91"/>
      <c r="DF478" s="91"/>
      <c r="DG478" s="91"/>
      <c r="DH478" s="91"/>
      <c r="DI478" s="91"/>
      <c r="DJ478" s="91"/>
      <c r="DK478" s="91"/>
      <c r="DL478" s="91"/>
      <c r="DM478" s="91"/>
      <c r="DN478" s="91"/>
      <c r="DO478" s="91"/>
      <c r="DP478" s="91"/>
      <c r="DQ478" s="91"/>
      <c r="DR478" s="91"/>
      <c r="DS478" s="91"/>
      <c r="DT478" s="91"/>
      <c r="DU478" s="91"/>
      <c r="DV478" s="91"/>
      <c r="DW478" s="91"/>
      <c r="DX478" s="91"/>
      <c r="DY478" s="91"/>
      <c r="DZ478" s="91"/>
      <c r="EA478" s="91"/>
      <c r="EB478" s="91"/>
      <c r="EC478" s="91"/>
      <c r="ED478" s="91"/>
      <c r="EE478" s="91"/>
      <c r="EF478" s="91"/>
      <c r="EG478" s="91"/>
      <c r="EH478" s="91"/>
      <c r="EI478" s="91"/>
      <c r="EJ478" s="91"/>
      <c r="EK478" s="91"/>
      <c r="EL478" s="91"/>
      <c r="EM478" s="91"/>
      <c r="EN478" s="91"/>
      <c r="EO478" s="91"/>
      <c r="EP478" s="91"/>
      <c r="EQ478" s="91"/>
      <c r="ER478" s="91"/>
      <c r="ES478" s="91"/>
      <c r="ET478" s="91"/>
      <c r="EU478" s="91"/>
      <c r="EV478" s="91"/>
      <c r="EW478" s="91"/>
      <c r="EX478" s="91"/>
      <c r="EY478" s="91"/>
      <c r="EZ478" s="91"/>
      <c r="FA478" s="91"/>
      <c r="FB478" s="91"/>
      <c r="FC478" s="91"/>
      <c r="FD478" s="91"/>
      <c r="FE478" s="91"/>
      <c r="FF478" s="91"/>
      <c r="FG478" s="91"/>
      <c r="FH478" s="91"/>
      <c r="FI478" s="91"/>
      <c r="FJ478" s="91"/>
      <c r="FK478" s="91"/>
      <c r="FL478" s="91"/>
      <c r="FM478" s="91"/>
      <c r="FN478" s="91"/>
      <c r="FO478" s="91"/>
      <c r="FP478" s="91"/>
      <c r="FQ478" s="91"/>
      <c r="FR478" s="91"/>
      <c r="FS478" s="91"/>
      <c r="FT478" s="91"/>
      <c r="FU478" s="91"/>
      <c r="FV478" s="91"/>
      <c r="FW478" s="91"/>
      <c r="FX478" s="91"/>
      <c r="FY478" s="91"/>
      <c r="FZ478" s="91"/>
      <c r="GA478" s="91"/>
      <c r="GB478" s="91"/>
      <c r="GC478" s="91"/>
      <c r="GD478" s="91"/>
      <c r="GE478" s="91"/>
      <c r="GF478" s="91"/>
      <c r="GG478" s="91"/>
      <c r="GH478" s="91"/>
      <c r="GI478" s="91"/>
      <c r="GJ478" s="91"/>
      <c r="GK478" s="91"/>
      <c r="GL478" s="91"/>
      <c r="GM478" s="91"/>
      <c r="GN478" s="91"/>
      <c r="GO478" s="91"/>
      <c r="GP478" s="91"/>
      <c r="GQ478" s="91"/>
      <c r="GR478" s="91"/>
      <c r="GS478" s="91"/>
      <c r="GT478" s="91"/>
      <c r="GU478" s="91"/>
      <c r="GV478" s="91"/>
      <c r="GW478" s="91"/>
      <c r="GX478" s="91"/>
      <c r="GY478" s="91"/>
      <c r="GZ478" s="91"/>
      <c r="HA478" s="91"/>
      <c r="HB478" s="91"/>
      <c r="HC478" s="91"/>
      <c r="HD478" s="91"/>
      <c r="HE478" s="91"/>
      <c r="HF478" s="91"/>
      <c r="HG478" s="91"/>
      <c r="HH478" s="91"/>
      <c r="HI478" s="91"/>
      <c r="HJ478" s="91"/>
      <c r="HK478" s="91"/>
      <c r="HL478" s="91"/>
      <c r="HM478" s="91"/>
      <c r="HN478" s="91"/>
      <c r="HO478" s="91"/>
      <c r="HP478" s="91"/>
      <c r="HQ478" s="91"/>
      <c r="HR478" s="91"/>
      <c r="HS478" s="91"/>
      <c r="HT478" s="91"/>
      <c r="HU478" s="91"/>
      <c r="HV478" s="91"/>
      <c r="HW478" s="91"/>
      <c r="HX478" s="91"/>
      <c r="HY478" s="91"/>
      <c r="HZ478" s="91"/>
      <c r="IA478" s="91"/>
    </row>
    <row r="479" spans="1:16" ht="11.25">
      <c r="A479" s="43" t="s">
        <v>4</v>
      </c>
      <c r="B479" s="32"/>
      <c r="C479" s="32"/>
      <c r="D479" s="142"/>
      <c r="E479" s="142"/>
      <c r="F479" s="142"/>
      <c r="G479" s="142"/>
      <c r="H479" s="142"/>
      <c r="I479" s="142"/>
      <c r="J479" s="142"/>
      <c r="K479" s="143"/>
      <c r="L479" s="142"/>
      <c r="M479" s="142"/>
      <c r="N479" s="142"/>
      <c r="O479" s="142"/>
      <c r="P479" s="142"/>
    </row>
    <row r="480" spans="1:16" ht="11.25">
      <c r="A480" s="44" t="s">
        <v>65</v>
      </c>
      <c r="B480" s="34"/>
      <c r="C480" s="34"/>
      <c r="D480" s="36"/>
      <c r="E480" s="36"/>
      <c r="F480" s="36"/>
      <c r="G480" s="36"/>
      <c r="H480" s="36">
        <v>8</v>
      </c>
      <c r="I480" s="36"/>
      <c r="J480" s="36">
        <v>8</v>
      </c>
      <c r="K480" s="36"/>
      <c r="L480" s="36"/>
      <c r="M480" s="36"/>
      <c r="N480" s="36"/>
      <c r="O480" s="36">
        <v>8</v>
      </c>
      <c r="P480" s="36">
        <v>8</v>
      </c>
    </row>
    <row r="481" spans="1:16" ht="11.25">
      <c r="A481" s="43" t="s">
        <v>5</v>
      </c>
      <c r="B481" s="32"/>
      <c r="C481" s="32"/>
      <c r="D481" s="135"/>
      <c r="E481" s="135"/>
      <c r="F481" s="36"/>
      <c r="G481" s="135"/>
      <c r="H481" s="135"/>
      <c r="I481" s="135"/>
      <c r="J481" s="36"/>
      <c r="K481" s="36"/>
      <c r="L481" s="135"/>
      <c r="M481" s="135"/>
      <c r="N481" s="135"/>
      <c r="O481" s="135"/>
      <c r="P481" s="36"/>
    </row>
    <row r="482" spans="1:16" ht="24" customHeight="1">
      <c r="A482" s="44" t="s">
        <v>66</v>
      </c>
      <c r="B482" s="34"/>
      <c r="C482" s="34"/>
      <c r="D482" s="36"/>
      <c r="E482" s="36"/>
      <c r="F482" s="36"/>
      <c r="G482" s="36"/>
      <c r="H482" s="36">
        <v>8</v>
      </c>
      <c r="I482" s="36"/>
      <c r="J482" s="36">
        <v>8</v>
      </c>
      <c r="K482" s="36"/>
      <c r="L482" s="36"/>
      <c r="M482" s="36"/>
      <c r="N482" s="36"/>
      <c r="O482" s="36">
        <v>8</v>
      </c>
      <c r="P482" s="36">
        <v>8</v>
      </c>
    </row>
    <row r="483" spans="1:16" ht="11.25">
      <c r="A483" s="43" t="s">
        <v>7</v>
      </c>
      <c r="B483" s="32"/>
      <c r="C483" s="32"/>
      <c r="D483" s="134"/>
      <c r="E483" s="134"/>
      <c r="F483" s="35"/>
      <c r="G483" s="134"/>
      <c r="H483" s="134"/>
      <c r="I483" s="134"/>
      <c r="J483" s="35"/>
      <c r="K483" s="35"/>
      <c r="L483" s="134"/>
      <c r="M483" s="134"/>
      <c r="N483" s="134"/>
      <c r="O483" s="134"/>
      <c r="P483" s="35"/>
    </row>
    <row r="484" spans="1:16" ht="24" customHeight="1">
      <c r="A484" s="46" t="s">
        <v>67</v>
      </c>
      <c r="B484" s="79"/>
      <c r="C484" s="79"/>
      <c r="D484" s="80"/>
      <c r="E484" s="80"/>
      <c r="F484" s="80"/>
      <c r="G484" s="80"/>
      <c r="H484" s="80">
        <v>16406.25</v>
      </c>
      <c r="I484" s="80"/>
      <c r="J484" s="80">
        <v>16406.25</v>
      </c>
      <c r="K484" s="80"/>
      <c r="L484" s="80"/>
      <c r="M484" s="80"/>
      <c r="N484" s="80"/>
      <c r="O484" s="80">
        <v>16406.25</v>
      </c>
      <c r="P484" s="80">
        <v>16406.25</v>
      </c>
    </row>
    <row r="485" spans="1:235" s="92" customFormat="1" ht="35.25" customHeight="1">
      <c r="A485" s="96" t="s">
        <v>393</v>
      </c>
      <c r="B485" s="104"/>
      <c r="C485" s="104"/>
      <c r="D485" s="105"/>
      <c r="E485" s="105"/>
      <c r="F485" s="105"/>
      <c r="G485" s="105"/>
      <c r="H485" s="105">
        <f>H489*H491</f>
        <v>110000</v>
      </c>
      <c r="I485" s="105"/>
      <c r="J485" s="105">
        <f>H485</f>
        <v>110000</v>
      </c>
      <c r="K485" s="105"/>
      <c r="L485" s="105"/>
      <c r="M485" s="105"/>
      <c r="N485" s="105"/>
      <c r="O485" s="105"/>
      <c r="P485" s="105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  <c r="CP485" s="91"/>
      <c r="CQ485" s="91"/>
      <c r="CR485" s="91"/>
      <c r="CS485" s="91"/>
      <c r="CT485" s="91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91"/>
      <c r="DQ485" s="91"/>
      <c r="DR485" s="91"/>
      <c r="DS485" s="91"/>
      <c r="DT485" s="91"/>
      <c r="DU485" s="91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91"/>
      <c r="EK485" s="91"/>
      <c r="EL485" s="91"/>
      <c r="EM485" s="91"/>
      <c r="EN485" s="91"/>
      <c r="EO485" s="91"/>
      <c r="EP485" s="91"/>
      <c r="EQ485" s="91"/>
      <c r="ER485" s="91"/>
      <c r="ES485" s="91"/>
      <c r="ET485" s="91"/>
      <c r="EU485" s="91"/>
      <c r="EV485" s="91"/>
      <c r="EW485" s="91"/>
      <c r="EX485" s="91"/>
      <c r="EY485" s="91"/>
      <c r="EZ485" s="91"/>
      <c r="FA485" s="91"/>
      <c r="FB485" s="91"/>
      <c r="FC485" s="91"/>
      <c r="FD485" s="91"/>
      <c r="FE485" s="91"/>
      <c r="FF485" s="91"/>
      <c r="FG485" s="91"/>
      <c r="FH485" s="91"/>
      <c r="FI485" s="91"/>
      <c r="FJ485" s="91"/>
      <c r="FK485" s="91"/>
      <c r="FL485" s="91"/>
      <c r="FM485" s="91"/>
      <c r="FN485" s="91"/>
      <c r="FO485" s="91"/>
      <c r="FP485" s="91"/>
      <c r="FQ485" s="91"/>
      <c r="FR485" s="91"/>
      <c r="FS485" s="91"/>
      <c r="FT485" s="91"/>
      <c r="FU485" s="91"/>
      <c r="FV485" s="91"/>
      <c r="FW485" s="91"/>
      <c r="FX485" s="91"/>
      <c r="FY485" s="91"/>
      <c r="FZ485" s="91"/>
      <c r="GA485" s="91"/>
      <c r="GB485" s="91"/>
      <c r="GC485" s="91"/>
      <c r="GD485" s="91"/>
      <c r="GE485" s="91"/>
      <c r="GF485" s="91"/>
      <c r="GG485" s="91"/>
      <c r="GH485" s="91"/>
      <c r="GI485" s="91"/>
      <c r="GJ485" s="91"/>
      <c r="GK485" s="91"/>
      <c r="GL485" s="91"/>
      <c r="GM485" s="91"/>
      <c r="GN485" s="91"/>
      <c r="GO485" s="91"/>
      <c r="GP485" s="91"/>
      <c r="GQ485" s="91"/>
      <c r="GR485" s="91"/>
      <c r="GS485" s="91"/>
      <c r="GT485" s="91"/>
      <c r="GU485" s="91"/>
      <c r="GV485" s="91"/>
      <c r="GW485" s="91"/>
      <c r="GX485" s="91"/>
      <c r="GY485" s="91"/>
      <c r="GZ485" s="91"/>
      <c r="HA485" s="91"/>
      <c r="HB485" s="91"/>
      <c r="HC485" s="91"/>
      <c r="HD485" s="91"/>
      <c r="HE485" s="91"/>
      <c r="HF485" s="91"/>
      <c r="HG485" s="91"/>
      <c r="HH485" s="91"/>
      <c r="HI485" s="91"/>
      <c r="HJ485" s="91"/>
      <c r="HK485" s="91"/>
      <c r="HL485" s="91"/>
      <c r="HM485" s="91"/>
      <c r="HN485" s="91"/>
      <c r="HO485" s="91"/>
      <c r="HP485" s="91"/>
      <c r="HQ485" s="91"/>
      <c r="HR485" s="91"/>
      <c r="HS485" s="91"/>
      <c r="HT485" s="91"/>
      <c r="HU485" s="91"/>
      <c r="HV485" s="91"/>
      <c r="HW485" s="91"/>
      <c r="HX485" s="91"/>
      <c r="HY485" s="91"/>
      <c r="HZ485" s="91"/>
      <c r="IA485" s="91"/>
    </row>
    <row r="486" spans="1:16" ht="11.25">
      <c r="A486" s="43" t="s">
        <v>4</v>
      </c>
      <c r="B486" s="81"/>
      <c r="C486" s="81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</row>
    <row r="487" spans="1:16" ht="33.75">
      <c r="A487" s="44" t="s">
        <v>311</v>
      </c>
      <c r="B487" s="81"/>
      <c r="C487" s="81"/>
      <c r="D487" s="75"/>
      <c r="E487" s="75"/>
      <c r="F487" s="75"/>
      <c r="G487" s="75"/>
      <c r="H487" s="75">
        <v>110000</v>
      </c>
      <c r="I487" s="75"/>
      <c r="J487" s="75">
        <f>H487</f>
        <v>110000</v>
      </c>
      <c r="K487" s="75"/>
      <c r="L487" s="75"/>
      <c r="M487" s="75"/>
      <c r="N487" s="75"/>
      <c r="O487" s="75"/>
      <c r="P487" s="75"/>
    </row>
    <row r="488" spans="1:16" ht="11.25">
      <c r="A488" s="43" t="s">
        <v>5</v>
      </c>
      <c r="B488" s="81"/>
      <c r="C488" s="81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</row>
    <row r="489" spans="1:16" ht="45">
      <c r="A489" s="107" t="s">
        <v>329</v>
      </c>
      <c r="B489" s="81"/>
      <c r="C489" s="81"/>
      <c r="D489" s="75"/>
      <c r="E489" s="75"/>
      <c r="F489" s="75"/>
      <c r="G489" s="75"/>
      <c r="H489" s="75">
        <v>1</v>
      </c>
      <c r="I489" s="75"/>
      <c r="J489" s="75">
        <v>1</v>
      </c>
      <c r="K489" s="75"/>
      <c r="L489" s="75"/>
      <c r="M489" s="75"/>
      <c r="N489" s="75"/>
      <c r="O489" s="75"/>
      <c r="P489" s="75"/>
    </row>
    <row r="490" spans="1:16" ht="11.25">
      <c r="A490" s="43" t="s">
        <v>7</v>
      </c>
      <c r="B490" s="81"/>
      <c r="C490" s="81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</row>
    <row r="491" spans="1:16" ht="39" customHeight="1">
      <c r="A491" s="46" t="s">
        <v>312</v>
      </c>
      <c r="B491" s="81"/>
      <c r="C491" s="81"/>
      <c r="D491" s="75"/>
      <c r="E491" s="75"/>
      <c r="F491" s="75"/>
      <c r="G491" s="75"/>
      <c r="H491" s="75">
        <v>110000</v>
      </c>
      <c r="I491" s="75"/>
      <c r="J491" s="75">
        <f>J487/H489</f>
        <v>110000</v>
      </c>
      <c r="K491" s="75"/>
      <c r="L491" s="75"/>
      <c r="M491" s="75"/>
      <c r="N491" s="75"/>
      <c r="O491" s="75"/>
      <c r="P491" s="75"/>
    </row>
    <row r="492" spans="1:235" s="92" customFormat="1" ht="39" customHeight="1">
      <c r="A492" s="99" t="s">
        <v>394</v>
      </c>
      <c r="B492" s="104"/>
      <c r="C492" s="104"/>
      <c r="D492" s="105"/>
      <c r="E492" s="105"/>
      <c r="F492" s="105"/>
      <c r="G492" s="105"/>
      <c r="H492" s="105">
        <f>H494*H498</f>
        <v>199000</v>
      </c>
      <c r="I492" s="105"/>
      <c r="J492" s="105">
        <f>G492+H492</f>
        <v>199000</v>
      </c>
      <c r="K492" s="105"/>
      <c r="L492" s="105"/>
      <c r="M492" s="105"/>
      <c r="N492" s="105"/>
      <c r="O492" s="105"/>
      <c r="P492" s="105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  <c r="CO492" s="91"/>
      <c r="CP492" s="91"/>
      <c r="CQ492" s="91"/>
      <c r="CR492" s="91"/>
      <c r="CS492" s="91"/>
      <c r="CT492" s="91"/>
      <c r="CU492" s="91"/>
      <c r="CV492" s="91"/>
      <c r="CW492" s="91"/>
      <c r="CX492" s="91"/>
      <c r="CY492" s="91"/>
      <c r="CZ492" s="91"/>
      <c r="DA492" s="91"/>
      <c r="DB492" s="91"/>
      <c r="DC492" s="91"/>
      <c r="DD492" s="91"/>
      <c r="DE492" s="91"/>
      <c r="DF492" s="91"/>
      <c r="DG492" s="91"/>
      <c r="DH492" s="91"/>
      <c r="DI492" s="91"/>
      <c r="DJ492" s="91"/>
      <c r="DK492" s="91"/>
      <c r="DL492" s="91"/>
      <c r="DM492" s="91"/>
      <c r="DN492" s="91"/>
      <c r="DO492" s="91"/>
      <c r="DP492" s="91"/>
      <c r="DQ492" s="91"/>
      <c r="DR492" s="91"/>
      <c r="DS492" s="91"/>
      <c r="DT492" s="91"/>
      <c r="DU492" s="91"/>
      <c r="DV492" s="91"/>
      <c r="DW492" s="91"/>
      <c r="DX492" s="91"/>
      <c r="DY492" s="91"/>
      <c r="DZ492" s="91"/>
      <c r="EA492" s="91"/>
      <c r="EB492" s="91"/>
      <c r="EC492" s="91"/>
      <c r="ED492" s="91"/>
      <c r="EE492" s="91"/>
      <c r="EF492" s="91"/>
      <c r="EG492" s="91"/>
      <c r="EH492" s="91"/>
      <c r="EI492" s="91"/>
      <c r="EJ492" s="91"/>
      <c r="EK492" s="91"/>
      <c r="EL492" s="91"/>
      <c r="EM492" s="91"/>
      <c r="EN492" s="91"/>
      <c r="EO492" s="91"/>
      <c r="EP492" s="91"/>
      <c r="EQ492" s="91"/>
      <c r="ER492" s="91"/>
      <c r="ES492" s="91"/>
      <c r="ET492" s="91"/>
      <c r="EU492" s="91"/>
      <c r="EV492" s="91"/>
      <c r="EW492" s="91"/>
      <c r="EX492" s="91"/>
      <c r="EY492" s="91"/>
      <c r="EZ492" s="91"/>
      <c r="FA492" s="91"/>
      <c r="FB492" s="91"/>
      <c r="FC492" s="91"/>
      <c r="FD492" s="91"/>
      <c r="FE492" s="91"/>
      <c r="FF492" s="91"/>
      <c r="FG492" s="91"/>
      <c r="FH492" s="91"/>
      <c r="FI492" s="91"/>
      <c r="FJ492" s="91"/>
      <c r="FK492" s="91"/>
      <c r="FL492" s="91"/>
      <c r="FM492" s="91"/>
      <c r="FN492" s="91"/>
      <c r="FO492" s="91"/>
      <c r="FP492" s="91"/>
      <c r="FQ492" s="91"/>
      <c r="FR492" s="91"/>
      <c r="FS492" s="91"/>
      <c r="FT492" s="91"/>
      <c r="FU492" s="91"/>
      <c r="FV492" s="91"/>
      <c r="FW492" s="91"/>
      <c r="FX492" s="91"/>
      <c r="FY492" s="91"/>
      <c r="FZ492" s="91"/>
      <c r="GA492" s="91"/>
      <c r="GB492" s="91"/>
      <c r="GC492" s="91"/>
      <c r="GD492" s="91"/>
      <c r="GE492" s="91"/>
      <c r="GF492" s="91"/>
      <c r="GG492" s="91"/>
      <c r="GH492" s="91"/>
      <c r="GI492" s="91"/>
      <c r="GJ492" s="91"/>
      <c r="GK492" s="91"/>
      <c r="GL492" s="91"/>
      <c r="GM492" s="91"/>
      <c r="GN492" s="91"/>
      <c r="GO492" s="91"/>
      <c r="GP492" s="91"/>
      <c r="GQ492" s="91"/>
      <c r="GR492" s="91"/>
      <c r="GS492" s="91"/>
      <c r="GT492" s="91"/>
      <c r="GU492" s="91"/>
      <c r="GV492" s="91"/>
      <c r="GW492" s="91"/>
      <c r="GX492" s="91"/>
      <c r="GY492" s="91"/>
      <c r="GZ492" s="91"/>
      <c r="HA492" s="91"/>
      <c r="HB492" s="91"/>
      <c r="HC492" s="91"/>
      <c r="HD492" s="91"/>
      <c r="HE492" s="91"/>
      <c r="HF492" s="91"/>
      <c r="HG492" s="91"/>
      <c r="HH492" s="91"/>
      <c r="HI492" s="91"/>
      <c r="HJ492" s="91"/>
      <c r="HK492" s="91"/>
      <c r="HL492" s="91"/>
      <c r="HM492" s="91"/>
      <c r="HN492" s="91"/>
      <c r="HO492" s="91"/>
      <c r="HP492" s="91"/>
      <c r="HQ492" s="91"/>
      <c r="HR492" s="91"/>
      <c r="HS492" s="91"/>
      <c r="HT492" s="91"/>
      <c r="HU492" s="91"/>
      <c r="HV492" s="91"/>
      <c r="HW492" s="91"/>
      <c r="HX492" s="91"/>
      <c r="HY492" s="91"/>
      <c r="HZ492" s="91"/>
      <c r="IA492" s="91"/>
    </row>
    <row r="493" spans="1:16" ht="11.25">
      <c r="A493" s="87" t="s">
        <v>319</v>
      </c>
      <c r="B493" s="81"/>
      <c r="C493" s="81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</row>
    <row r="494" spans="1:16" ht="33.75">
      <c r="A494" s="86" t="s">
        <v>320</v>
      </c>
      <c r="B494" s="81"/>
      <c r="C494" s="81"/>
      <c r="D494" s="75"/>
      <c r="E494" s="75"/>
      <c r="F494" s="75"/>
      <c r="G494" s="75"/>
      <c r="H494" s="75">
        <v>1</v>
      </c>
      <c r="I494" s="75"/>
      <c r="J494" s="75">
        <f>H494+G494</f>
        <v>1</v>
      </c>
      <c r="K494" s="75"/>
      <c r="L494" s="75"/>
      <c r="M494" s="75"/>
      <c r="N494" s="75"/>
      <c r="O494" s="75"/>
      <c r="P494" s="75"/>
    </row>
    <row r="495" spans="1:16" ht="11.25">
      <c r="A495" s="87" t="s">
        <v>321</v>
      </c>
      <c r="B495" s="81"/>
      <c r="C495" s="81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 spans="1:16" ht="33.75">
      <c r="A496" s="86" t="s">
        <v>322</v>
      </c>
      <c r="B496" s="81"/>
      <c r="C496" s="81"/>
      <c r="D496" s="75"/>
      <c r="E496" s="75"/>
      <c r="F496" s="75"/>
      <c r="G496" s="75"/>
      <c r="H496" s="75">
        <v>199000</v>
      </c>
      <c r="I496" s="75"/>
      <c r="J496" s="75">
        <f>G496+H496</f>
        <v>199000</v>
      </c>
      <c r="K496" s="75"/>
      <c r="L496" s="75"/>
      <c r="M496" s="75"/>
      <c r="N496" s="75"/>
      <c r="O496" s="75"/>
      <c r="P496" s="75"/>
    </row>
    <row r="497" spans="1:16" ht="11.25">
      <c r="A497" s="87" t="s">
        <v>323</v>
      </c>
      <c r="B497" s="81"/>
      <c r="C497" s="81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 spans="1:16" ht="37.5" customHeight="1">
      <c r="A498" s="86" t="s">
        <v>324</v>
      </c>
      <c r="B498" s="81"/>
      <c r="C498" s="81"/>
      <c r="D498" s="75"/>
      <c r="E498" s="75"/>
      <c r="F498" s="75"/>
      <c r="G498" s="75"/>
      <c r="H498" s="75">
        <v>199000</v>
      </c>
      <c r="I498" s="75"/>
      <c r="J498" s="75">
        <f>G498+H498</f>
        <v>199000</v>
      </c>
      <c r="K498" s="75"/>
      <c r="L498" s="75"/>
      <c r="M498" s="75"/>
      <c r="N498" s="75"/>
      <c r="O498" s="75"/>
      <c r="P498" s="75"/>
    </row>
    <row r="499" spans="1:235" s="85" customFormat="1" ht="16.5" customHeight="1">
      <c r="A499" s="108">
        <v>100302</v>
      </c>
      <c r="B499" s="108"/>
      <c r="C499" s="108"/>
      <c r="D499" s="119">
        <f>D500</f>
        <v>2172800</v>
      </c>
      <c r="E499" s="119">
        <f>E508</f>
        <v>13000</v>
      </c>
      <c r="F499" s="119">
        <f>D499+E499</f>
        <v>2185800</v>
      </c>
      <c r="G499" s="119">
        <f>G500</f>
        <v>221340</v>
      </c>
      <c r="H499" s="119"/>
      <c r="I499" s="119">
        <f>I500</f>
        <v>0</v>
      </c>
      <c r="J499" s="119">
        <f>G499</f>
        <v>221340</v>
      </c>
      <c r="K499" s="119" t="e">
        <f>#REF!+K500</f>
        <v>#REF!</v>
      </c>
      <c r="L499" s="119" t="e">
        <f>#REF!+L500</f>
        <v>#REF!</v>
      </c>
      <c r="M499" s="119" t="e">
        <f>#REF!+M500</f>
        <v>#REF!</v>
      </c>
      <c r="N499" s="119">
        <f>N500</f>
        <v>94700</v>
      </c>
      <c r="O499" s="119">
        <f>O500</f>
        <v>0</v>
      </c>
      <c r="P499" s="119">
        <f>N499</f>
        <v>94700</v>
      </c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21"/>
      <c r="BS499" s="121"/>
      <c r="BT499" s="121"/>
      <c r="BU499" s="121"/>
      <c r="BV499" s="121"/>
      <c r="BW499" s="121"/>
      <c r="BX499" s="121"/>
      <c r="BY499" s="121"/>
      <c r="BZ499" s="121"/>
      <c r="CA499" s="121"/>
      <c r="CB499" s="121"/>
      <c r="CC499" s="121"/>
      <c r="CD499" s="121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21"/>
      <c r="CQ499" s="121"/>
      <c r="CR499" s="121"/>
      <c r="CS499" s="121"/>
      <c r="CT499" s="121"/>
      <c r="CU499" s="121"/>
      <c r="CV499" s="121"/>
      <c r="CW499" s="121"/>
      <c r="CX499" s="121"/>
      <c r="CY499" s="121"/>
      <c r="CZ499" s="121"/>
      <c r="DA499" s="121"/>
      <c r="DB499" s="121"/>
      <c r="DC499" s="121"/>
      <c r="DD499" s="121"/>
      <c r="DE499" s="121"/>
      <c r="DF499" s="121"/>
      <c r="DG499" s="121"/>
      <c r="DH499" s="121"/>
      <c r="DI499" s="121"/>
      <c r="DJ499" s="121"/>
      <c r="DK499" s="121"/>
      <c r="DL499" s="121"/>
      <c r="DM499" s="121"/>
      <c r="DN499" s="121"/>
      <c r="DO499" s="121"/>
      <c r="DP499" s="121"/>
      <c r="DQ499" s="121"/>
      <c r="DR499" s="121"/>
      <c r="DS499" s="121"/>
      <c r="DT499" s="121"/>
      <c r="DU499" s="121"/>
      <c r="DV499" s="121"/>
      <c r="DW499" s="121"/>
      <c r="DX499" s="121"/>
      <c r="DY499" s="121"/>
      <c r="DZ499" s="121"/>
      <c r="EA499" s="121"/>
      <c r="EB499" s="121"/>
      <c r="EC499" s="121"/>
      <c r="ED499" s="121"/>
      <c r="EE499" s="121"/>
      <c r="EF499" s="121"/>
      <c r="EG499" s="121"/>
      <c r="EH499" s="121"/>
      <c r="EI499" s="121"/>
      <c r="EJ499" s="121"/>
      <c r="EK499" s="121"/>
      <c r="EL499" s="121"/>
      <c r="EM499" s="121"/>
      <c r="EN499" s="121"/>
      <c r="EO499" s="121"/>
      <c r="EP499" s="121"/>
      <c r="EQ499" s="121"/>
      <c r="ER499" s="121"/>
      <c r="ES499" s="121"/>
      <c r="ET499" s="121"/>
      <c r="EU499" s="121"/>
      <c r="EV499" s="121"/>
      <c r="EW499" s="121"/>
      <c r="EX499" s="121"/>
      <c r="EY499" s="121"/>
      <c r="EZ499" s="121"/>
      <c r="FA499" s="121"/>
      <c r="FB499" s="121"/>
      <c r="FC499" s="121"/>
      <c r="FD499" s="121"/>
      <c r="FE499" s="121"/>
      <c r="FF499" s="121"/>
      <c r="FG499" s="121"/>
      <c r="FH499" s="121"/>
      <c r="FI499" s="121"/>
      <c r="FJ499" s="121"/>
      <c r="FK499" s="121"/>
      <c r="FL499" s="121"/>
      <c r="FM499" s="121"/>
      <c r="FN499" s="121"/>
      <c r="FO499" s="121"/>
      <c r="FP499" s="121"/>
      <c r="FQ499" s="121"/>
      <c r="FR499" s="121"/>
      <c r="FS499" s="121"/>
      <c r="FT499" s="121"/>
      <c r="FU499" s="121"/>
      <c r="FV499" s="121"/>
      <c r="FW499" s="121"/>
      <c r="FX499" s="121"/>
      <c r="FY499" s="121"/>
      <c r="FZ499" s="121"/>
      <c r="GA499" s="121"/>
      <c r="GB499" s="121"/>
      <c r="GC499" s="121"/>
      <c r="GD499" s="121"/>
      <c r="GE499" s="121"/>
      <c r="GF499" s="121"/>
      <c r="GG499" s="121"/>
      <c r="GH499" s="121"/>
      <c r="GI499" s="121"/>
      <c r="GJ499" s="121"/>
      <c r="GK499" s="121"/>
      <c r="GL499" s="121"/>
      <c r="GM499" s="121"/>
      <c r="GN499" s="121"/>
      <c r="GO499" s="121"/>
      <c r="GP499" s="121"/>
      <c r="GQ499" s="121"/>
      <c r="GR499" s="121"/>
      <c r="GS499" s="121"/>
      <c r="GT499" s="121"/>
      <c r="GU499" s="121"/>
      <c r="GV499" s="121"/>
      <c r="GW499" s="121"/>
      <c r="GX499" s="121"/>
      <c r="GY499" s="121"/>
      <c r="GZ499" s="121"/>
      <c r="HA499" s="121"/>
      <c r="HB499" s="121"/>
      <c r="HC499" s="121"/>
      <c r="HD499" s="121"/>
      <c r="HE499" s="121"/>
      <c r="HF499" s="121"/>
      <c r="HG499" s="121"/>
      <c r="HH499" s="121"/>
      <c r="HI499" s="121"/>
      <c r="HJ499" s="121"/>
      <c r="HK499" s="121"/>
      <c r="HL499" s="121"/>
      <c r="HM499" s="121"/>
      <c r="HN499" s="121"/>
      <c r="HO499" s="121"/>
      <c r="HP499" s="121"/>
      <c r="HQ499" s="121"/>
      <c r="HR499" s="121"/>
      <c r="HS499" s="121"/>
      <c r="HT499" s="121"/>
      <c r="HU499" s="121"/>
      <c r="HV499" s="121"/>
      <c r="HW499" s="121"/>
      <c r="HX499" s="121"/>
      <c r="HY499" s="121"/>
      <c r="HZ499" s="121"/>
      <c r="IA499" s="121"/>
    </row>
    <row r="500" spans="1:235" s="92" customFormat="1" ht="29.25" customHeight="1">
      <c r="A500" s="82" t="s">
        <v>395</v>
      </c>
      <c r="B500" s="88"/>
      <c r="C500" s="88"/>
      <c r="D500" s="89">
        <f>D503</f>
        <v>2172800</v>
      </c>
      <c r="E500" s="89"/>
      <c r="F500" s="89">
        <f>D500</f>
        <v>2172800</v>
      </c>
      <c r="G500" s="89">
        <f>G503</f>
        <v>221340</v>
      </c>
      <c r="H500" s="89"/>
      <c r="I500" s="89">
        <f>I503</f>
        <v>0</v>
      </c>
      <c r="J500" s="89">
        <f>G500</f>
        <v>221340</v>
      </c>
      <c r="K500" s="89"/>
      <c r="L500" s="89"/>
      <c r="M500" s="89"/>
      <c r="N500" s="89">
        <f>N503</f>
        <v>94700</v>
      </c>
      <c r="O500" s="89">
        <f>O503</f>
        <v>0</v>
      </c>
      <c r="P500" s="89">
        <f>N500</f>
        <v>94700</v>
      </c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  <c r="CO500" s="91"/>
      <c r="CP500" s="91"/>
      <c r="CQ500" s="91"/>
      <c r="CR500" s="91"/>
      <c r="CS500" s="91"/>
      <c r="CT500" s="91"/>
      <c r="CU500" s="91"/>
      <c r="CV500" s="91"/>
      <c r="CW500" s="91"/>
      <c r="CX500" s="91"/>
      <c r="CY500" s="91"/>
      <c r="CZ500" s="91"/>
      <c r="DA500" s="91"/>
      <c r="DB500" s="91"/>
      <c r="DC500" s="91"/>
      <c r="DD500" s="91"/>
      <c r="DE500" s="91"/>
      <c r="DF500" s="91"/>
      <c r="DG500" s="91"/>
      <c r="DH500" s="91"/>
      <c r="DI500" s="91"/>
      <c r="DJ500" s="91"/>
      <c r="DK500" s="91"/>
      <c r="DL500" s="91"/>
      <c r="DM500" s="91"/>
      <c r="DN500" s="91"/>
      <c r="DO500" s="91"/>
      <c r="DP500" s="91"/>
      <c r="DQ500" s="91"/>
      <c r="DR500" s="91"/>
      <c r="DS500" s="91"/>
      <c r="DT500" s="91"/>
      <c r="DU500" s="91"/>
      <c r="DV500" s="91"/>
      <c r="DW500" s="91"/>
      <c r="DX500" s="91"/>
      <c r="DY500" s="91"/>
      <c r="DZ500" s="91"/>
      <c r="EA500" s="91"/>
      <c r="EB500" s="91"/>
      <c r="EC500" s="91"/>
      <c r="ED500" s="91"/>
      <c r="EE500" s="91"/>
      <c r="EF500" s="91"/>
      <c r="EG500" s="91"/>
      <c r="EH500" s="91"/>
      <c r="EI500" s="91"/>
      <c r="EJ500" s="91"/>
      <c r="EK500" s="91"/>
      <c r="EL500" s="91"/>
      <c r="EM500" s="91"/>
      <c r="EN500" s="91"/>
      <c r="EO500" s="91"/>
      <c r="EP500" s="91"/>
      <c r="EQ500" s="91"/>
      <c r="ER500" s="91"/>
      <c r="ES500" s="91"/>
      <c r="ET500" s="91"/>
      <c r="EU500" s="91"/>
      <c r="EV500" s="91"/>
      <c r="EW500" s="91"/>
      <c r="EX500" s="91"/>
      <c r="EY500" s="91"/>
      <c r="EZ500" s="91"/>
      <c r="FA500" s="91"/>
      <c r="FB500" s="91"/>
      <c r="FC500" s="91"/>
      <c r="FD500" s="91"/>
      <c r="FE500" s="91"/>
      <c r="FF500" s="91"/>
      <c r="FG500" s="91"/>
      <c r="FH500" s="91"/>
      <c r="FI500" s="91"/>
      <c r="FJ500" s="91"/>
      <c r="FK500" s="91"/>
      <c r="FL500" s="91"/>
      <c r="FM500" s="91"/>
      <c r="FN500" s="91"/>
      <c r="FO500" s="91"/>
      <c r="FP500" s="91"/>
      <c r="FQ500" s="91"/>
      <c r="FR500" s="91"/>
      <c r="FS500" s="91"/>
      <c r="FT500" s="91"/>
      <c r="FU500" s="91"/>
      <c r="FV500" s="91"/>
      <c r="FW500" s="91"/>
      <c r="FX500" s="91"/>
      <c r="FY500" s="91"/>
      <c r="FZ500" s="91"/>
      <c r="GA500" s="91"/>
      <c r="GB500" s="91"/>
      <c r="GC500" s="91"/>
      <c r="GD500" s="91"/>
      <c r="GE500" s="91"/>
      <c r="GF500" s="91"/>
      <c r="GG500" s="91"/>
      <c r="GH500" s="91"/>
      <c r="GI500" s="91"/>
      <c r="GJ500" s="91"/>
      <c r="GK500" s="91"/>
      <c r="GL500" s="91"/>
      <c r="GM500" s="91"/>
      <c r="GN500" s="91"/>
      <c r="GO500" s="91"/>
      <c r="GP500" s="91"/>
      <c r="GQ500" s="91"/>
      <c r="GR500" s="91"/>
      <c r="GS500" s="91"/>
      <c r="GT500" s="91"/>
      <c r="GU500" s="91"/>
      <c r="GV500" s="91"/>
      <c r="GW500" s="91"/>
      <c r="GX500" s="91"/>
      <c r="GY500" s="91"/>
      <c r="GZ500" s="91"/>
      <c r="HA500" s="91"/>
      <c r="HB500" s="91"/>
      <c r="HC500" s="91"/>
      <c r="HD500" s="91"/>
      <c r="HE500" s="91"/>
      <c r="HF500" s="91"/>
      <c r="HG500" s="91"/>
      <c r="HH500" s="91"/>
      <c r="HI500" s="91"/>
      <c r="HJ500" s="91"/>
      <c r="HK500" s="91"/>
      <c r="HL500" s="91"/>
      <c r="HM500" s="91"/>
      <c r="HN500" s="91"/>
      <c r="HO500" s="91"/>
      <c r="HP500" s="91"/>
      <c r="HQ500" s="91"/>
      <c r="HR500" s="91"/>
      <c r="HS500" s="91"/>
      <c r="HT500" s="91"/>
      <c r="HU500" s="91"/>
      <c r="HV500" s="91"/>
      <c r="HW500" s="91"/>
      <c r="HX500" s="91"/>
      <c r="HY500" s="91"/>
      <c r="HZ500" s="91"/>
      <c r="IA500" s="91"/>
    </row>
    <row r="501" spans="1:16" ht="26.25" customHeight="1">
      <c r="A501" s="45" t="s">
        <v>210</v>
      </c>
      <c r="B501" s="7"/>
      <c r="C501" s="7"/>
      <c r="D501" s="130"/>
      <c r="E501" s="130"/>
      <c r="F501" s="130"/>
      <c r="G501" s="130"/>
      <c r="H501" s="130"/>
      <c r="I501" s="130"/>
      <c r="J501" s="130"/>
      <c r="K501" s="14"/>
      <c r="L501" s="14"/>
      <c r="M501" s="14"/>
      <c r="N501" s="130"/>
      <c r="O501" s="130"/>
      <c r="P501" s="130"/>
    </row>
    <row r="502" spans="1:16" ht="11.25">
      <c r="A502" s="20" t="s">
        <v>4</v>
      </c>
      <c r="B502" s="7"/>
      <c r="C502" s="7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ht="35.25" customHeight="1">
      <c r="A503" s="55" t="s">
        <v>266</v>
      </c>
      <c r="B503" s="59"/>
      <c r="C503" s="59"/>
      <c r="D503" s="62">
        <f>458700+125100+1589000</f>
        <v>2172800</v>
      </c>
      <c r="E503" s="62"/>
      <c r="F503" s="62">
        <f>D503</f>
        <v>2172800</v>
      </c>
      <c r="G503" s="14">
        <f>G505*G507</f>
        <v>221340</v>
      </c>
      <c r="H503" s="14"/>
      <c r="I503" s="14"/>
      <c r="J503" s="14">
        <f>G503</f>
        <v>221340</v>
      </c>
      <c r="K503" s="14"/>
      <c r="L503" s="14"/>
      <c r="M503" s="14"/>
      <c r="N503" s="14">
        <f>N505*N507</f>
        <v>94700</v>
      </c>
      <c r="O503" s="14"/>
      <c r="P503" s="14">
        <f>N503</f>
        <v>94700</v>
      </c>
    </row>
    <row r="504" spans="1:16" ht="11.25">
      <c r="A504" s="54" t="s">
        <v>5</v>
      </c>
      <c r="B504" s="59"/>
      <c r="C504" s="59"/>
      <c r="D504" s="62"/>
      <c r="E504" s="62"/>
      <c r="F504" s="62"/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ht="27" customHeight="1">
      <c r="A505" s="55" t="s">
        <v>240</v>
      </c>
      <c r="B505" s="59"/>
      <c r="C505" s="59"/>
      <c r="D505" s="62">
        <v>3</v>
      </c>
      <c r="E505" s="62"/>
      <c r="F505" s="62">
        <f>D505</f>
        <v>3</v>
      </c>
      <c r="G505" s="14">
        <v>2</v>
      </c>
      <c r="H505" s="14"/>
      <c r="I505" s="14"/>
      <c r="J505" s="14">
        <f>G505</f>
        <v>2</v>
      </c>
      <c r="K505" s="14"/>
      <c r="L505" s="14"/>
      <c r="M505" s="14"/>
      <c r="N505" s="14">
        <v>1</v>
      </c>
      <c r="O505" s="14"/>
      <c r="P505" s="14">
        <f>N505</f>
        <v>1</v>
      </c>
    </row>
    <row r="506" spans="1:16" ht="11.25">
      <c r="A506" s="54" t="s">
        <v>7</v>
      </c>
      <c r="B506" s="59"/>
      <c r="C506" s="59"/>
      <c r="D506" s="62"/>
      <c r="E506" s="62"/>
      <c r="F506" s="62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ht="24.75" customHeight="1">
      <c r="A507" s="21" t="s">
        <v>213</v>
      </c>
      <c r="B507" s="7"/>
      <c r="C507" s="7"/>
      <c r="D507" s="62">
        <f>D503/D505</f>
        <v>724266.6666666666</v>
      </c>
      <c r="E507" s="62"/>
      <c r="F507" s="62">
        <f>F503/F505</f>
        <v>724266.6666666666</v>
      </c>
      <c r="G507" s="14">
        <v>110670</v>
      </c>
      <c r="H507" s="14"/>
      <c r="I507" s="14"/>
      <c r="J507" s="14">
        <f>J503/J505</f>
        <v>110670</v>
      </c>
      <c r="K507" s="14"/>
      <c r="L507" s="14"/>
      <c r="M507" s="14"/>
      <c r="N507" s="14">
        <v>94700</v>
      </c>
      <c r="O507" s="14"/>
      <c r="P507" s="14">
        <f>P503/P505</f>
        <v>94700</v>
      </c>
    </row>
    <row r="508" spans="1:235" s="92" customFormat="1" ht="33.75">
      <c r="A508" s="82" t="s">
        <v>396</v>
      </c>
      <c r="B508" s="88"/>
      <c r="C508" s="88"/>
      <c r="D508" s="89" t="str">
        <f>D510</f>
        <v> </v>
      </c>
      <c r="E508" s="89">
        <f>E510</f>
        <v>13000</v>
      </c>
      <c r="F508" s="89">
        <f>E508</f>
        <v>13000</v>
      </c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  <c r="CO508" s="91"/>
      <c r="CP508" s="91"/>
      <c r="CQ508" s="91"/>
      <c r="CR508" s="91"/>
      <c r="CS508" s="91"/>
      <c r="CT508" s="91"/>
      <c r="CU508" s="91"/>
      <c r="CV508" s="91"/>
      <c r="CW508" s="91"/>
      <c r="CX508" s="91"/>
      <c r="CY508" s="91"/>
      <c r="CZ508" s="91"/>
      <c r="DA508" s="91"/>
      <c r="DB508" s="91"/>
      <c r="DC508" s="91"/>
      <c r="DD508" s="91"/>
      <c r="DE508" s="91"/>
      <c r="DF508" s="91"/>
      <c r="DG508" s="91"/>
      <c r="DH508" s="91"/>
      <c r="DI508" s="91"/>
      <c r="DJ508" s="91"/>
      <c r="DK508" s="91"/>
      <c r="DL508" s="91"/>
      <c r="DM508" s="91"/>
      <c r="DN508" s="91"/>
      <c r="DO508" s="91"/>
      <c r="DP508" s="91"/>
      <c r="DQ508" s="91"/>
      <c r="DR508" s="91"/>
      <c r="DS508" s="91"/>
      <c r="DT508" s="91"/>
      <c r="DU508" s="91"/>
      <c r="DV508" s="91"/>
      <c r="DW508" s="91"/>
      <c r="DX508" s="91"/>
      <c r="DY508" s="91"/>
      <c r="DZ508" s="91"/>
      <c r="EA508" s="91"/>
      <c r="EB508" s="91"/>
      <c r="EC508" s="91"/>
      <c r="ED508" s="91"/>
      <c r="EE508" s="91"/>
      <c r="EF508" s="91"/>
      <c r="EG508" s="91"/>
      <c r="EH508" s="91"/>
      <c r="EI508" s="91"/>
      <c r="EJ508" s="91"/>
      <c r="EK508" s="91"/>
      <c r="EL508" s="91"/>
      <c r="EM508" s="91"/>
      <c r="EN508" s="91"/>
      <c r="EO508" s="91"/>
      <c r="EP508" s="91"/>
      <c r="EQ508" s="91"/>
      <c r="ER508" s="91"/>
      <c r="ES508" s="91"/>
      <c r="ET508" s="91"/>
      <c r="EU508" s="91"/>
      <c r="EV508" s="91"/>
      <c r="EW508" s="91"/>
      <c r="EX508" s="91"/>
      <c r="EY508" s="91"/>
      <c r="EZ508" s="91"/>
      <c r="FA508" s="91"/>
      <c r="FB508" s="91"/>
      <c r="FC508" s="91"/>
      <c r="FD508" s="91"/>
      <c r="FE508" s="91"/>
      <c r="FF508" s="91"/>
      <c r="FG508" s="91"/>
      <c r="FH508" s="91"/>
      <c r="FI508" s="91"/>
      <c r="FJ508" s="91"/>
      <c r="FK508" s="91"/>
      <c r="FL508" s="91"/>
      <c r="FM508" s="91"/>
      <c r="FN508" s="91"/>
      <c r="FO508" s="91"/>
      <c r="FP508" s="91"/>
      <c r="FQ508" s="91"/>
      <c r="FR508" s="91"/>
      <c r="FS508" s="91"/>
      <c r="FT508" s="91"/>
      <c r="FU508" s="91"/>
      <c r="FV508" s="91"/>
      <c r="FW508" s="91"/>
      <c r="FX508" s="91"/>
      <c r="FY508" s="91"/>
      <c r="FZ508" s="91"/>
      <c r="GA508" s="91"/>
      <c r="GB508" s="91"/>
      <c r="GC508" s="91"/>
      <c r="GD508" s="91"/>
      <c r="GE508" s="91"/>
      <c r="GF508" s="91"/>
      <c r="GG508" s="91"/>
      <c r="GH508" s="91"/>
      <c r="GI508" s="91"/>
      <c r="GJ508" s="91"/>
      <c r="GK508" s="91"/>
      <c r="GL508" s="91"/>
      <c r="GM508" s="91"/>
      <c r="GN508" s="91"/>
      <c r="GO508" s="91"/>
      <c r="GP508" s="91"/>
      <c r="GQ508" s="91"/>
      <c r="GR508" s="91"/>
      <c r="GS508" s="91"/>
      <c r="GT508" s="91"/>
      <c r="GU508" s="91"/>
      <c r="GV508" s="91"/>
      <c r="GW508" s="91"/>
      <c r="GX508" s="91"/>
      <c r="GY508" s="91"/>
      <c r="GZ508" s="91"/>
      <c r="HA508" s="91"/>
      <c r="HB508" s="91"/>
      <c r="HC508" s="91"/>
      <c r="HD508" s="91"/>
      <c r="HE508" s="91"/>
      <c r="HF508" s="91"/>
      <c r="HG508" s="91"/>
      <c r="HH508" s="91"/>
      <c r="HI508" s="91"/>
      <c r="HJ508" s="91"/>
      <c r="HK508" s="91"/>
      <c r="HL508" s="91"/>
      <c r="HM508" s="91"/>
      <c r="HN508" s="91"/>
      <c r="HO508" s="91"/>
      <c r="HP508" s="91"/>
      <c r="HQ508" s="91"/>
      <c r="HR508" s="91"/>
      <c r="HS508" s="91"/>
      <c r="HT508" s="91"/>
      <c r="HU508" s="91"/>
      <c r="HV508" s="91"/>
      <c r="HW508" s="91"/>
      <c r="HX508" s="91"/>
      <c r="HY508" s="91"/>
      <c r="HZ508" s="91"/>
      <c r="IA508" s="91"/>
    </row>
    <row r="509" spans="1:16" ht="11.25">
      <c r="A509" s="54" t="s">
        <v>4</v>
      </c>
      <c r="B509" s="7"/>
      <c r="C509" s="7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ht="15" customHeight="1">
      <c r="A510" s="55" t="s">
        <v>63</v>
      </c>
      <c r="B510" s="7"/>
      <c r="C510" s="7"/>
      <c r="D510" s="14" t="s">
        <v>267</v>
      </c>
      <c r="E510" s="14">
        <v>13000</v>
      </c>
      <c r="F510" s="14">
        <f>E510</f>
        <v>13000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1.25">
      <c r="A511" s="54" t="s">
        <v>5</v>
      </c>
      <c r="B511" s="7"/>
      <c r="C511" s="7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41.25" customHeight="1">
      <c r="A512" s="55" t="s">
        <v>256</v>
      </c>
      <c r="B512" s="7"/>
      <c r="C512" s="7"/>
      <c r="D512" s="14" t="s">
        <v>267</v>
      </c>
      <c r="E512" s="14">
        <v>1</v>
      </c>
      <c r="F512" s="14">
        <f>E512</f>
        <v>1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ht="11.25">
      <c r="A513" s="54" t="s">
        <v>7</v>
      </c>
      <c r="B513" s="7"/>
      <c r="C513" s="7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35.25" customHeight="1">
      <c r="A514" s="55" t="s">
        <v>257</v>
      </c>
      <c r="B514" s="7"/>
      <c r="C514" s="7"/>
      <c r="D514" s="14" t="s">
        <v>267</v>
      </c>
      <c r="E514" s="14">
        <v>13000</v>
      </c>
      <c r="F514" s="14">
        <f>E514</f>
        <v>13000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235" s="85" customFormat="1" ht="15" customHeight="1">
      <c r="A515" s="108">
        <v>100202</v>
      </c>
      <c r="B515" s="77"/>
      <c r="C515" s="77"/>
      <c r="D515" s="89">
        <f>D517+D524+D531+D540+D547</f>
        <v>2702500</v>
      </c>
      <c r="E515" s="89"/>
      <c r="F515" s="89">
        <f>D515</f>
        <v>2702500</v>
      </c>
      <c r="G515" s="89">
        <f>G517+G524+G540+G554+G561+G531+G547+G568</f>
        <v>5199200</v>
      </c>
      <c r="H515" s="89">
        <f aca="true" t="shared" si="45" ref="H515:O515">H517+H524+H540+H554+H561+H531+H547+H568</f>
        <v>4469999.99994</v>
      </c>
      <c r="I515" s="89">
        <f t="shared" si="45"/>
        <v>0</v>
      </c>
      <c r="J515" s="89">
        <f>G515+H515</f>
        <v>9669199.99994</v>
      </c>
      <c r="K515" s="89">
        <f t="shared" si="45"/>
        <v>0</v>
      </c>
      <c r="L515" s="89">
        <f t="shared" si="45"/>
        <v>0</v>
      </c>
      <c r="M515" s="89">
        <f t="shared" si="45"/>
        <v>0</v>
      </c>
      <c r="N515" s="89">
        <f t="shared" si="45"/>
        <v>6169560</v>
      </c>
      <c r="O515" s="89">
        <f t="shared" si="45"/>
        <v>0</v>
      </c>
      <c r="P515" s="89">
        <f>N515+O515</f>
        <v>6169560</v>
      </c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21"/>
      <c r="BS515" s="121"/>
      <c r="BT515" s="121"/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1"/>
      <c r="CF515" s="121"/>
      <c r="CG515" s="121"/>
      <c r="CH515" s="121"/>
      <c r="CI515" s="121"/>
      <c r="CJ515" s="121"/>
      <c r="CK515" s="121"/>
      <c r="CL515" s="121"/>
      <c r="CM515" s="121"/>
      <c r="CN515" s="121"/>
      <c r="CO515" s="121"/>
      <c r="CP515" s="121"/>
      <c r="CQ515" s="121"/>
      <c r="CR515" s="121"/>
      <c r="CS515" s="121"/>
      <c r="CT515" s="121"/>
      <c r="CU515" s="121"/>
      <c r="CV515" s="121"/>
      <c r="CW515" s="121"/>
      <c r="CX515" s="121"/>
      <c r="CY515" s="121"/>
      <c r="CZ515" s="121"/>
      <c r="DA515" s="121"/>
      <c r="DB515" s="121"/>
      <c r="DC515" s="121"/>
      <c r="DD515" s="121"/>
      <c r="DE515" s="121"/>
      <c r="DF515" s="121"/>
      <c r="DG515" s="121"/>
      <c r="DH515" s="121"/>
      <c r="DI515" s="121"/>
      <c r="DJ515" s="121"/>
      <c r="DK515" s="121"/>
      <c r="DL515" s="121"/>
      <c r="DM515" s="121"/>
      <c r="DN515" s="121"/>
      <c r="DO515" s="121"/>
      <c r="DP515" s="121"/>
      <c r="DQ515" s="121"/>
      <c r="DR515" s="121"/>
      <c r="DS515" s="121"/>
      <c r="DT515" s="121"/>
      <c r="DU515" s="121"/>
      <c r="DV515" s="121"/>
      <c r="DW515" s="121"/>
      <c r="DX515" s="121"/>
      <c r="DY515" s="121"/>
      <c r="DZ515" s="121"/>
      <c r="EA515" s="121"/>
      <c r="EB515" s="121"/>
      <c r="EC515" s="121"/>
      <c r="ED515" s="121"/>
      <c r="EE515" s="121"/>
      <c r="EF515" s="121"/>
      <c r="EG515" s="121"/>
      <c r="EH515" s="121"/>
      <c r="EI515" s="121"/>
      <c r="EJ515" s="121"/>
      <c r="EK515" s="121"/>
      <c r="EL515" s="121"/>
      <c r="EM515" s="121"/>
      <c r="EN515" s="121"/>
      <c r="EO515" s="121"/>
      <c r="EP515" s="121"/>
      <c r="EQ515" s="121"/>
      <c r="ER515" s="121"/>
      <c r="ES515" s="121"/>
      <c r="ET515" s="121"/>
      <c r="EU515" s="121"/>
      <c r="EV515" s="121"/>
      <c r="EW515" s="121"/>
      <c r="EX515" s="121"/>
      <c r="EY515" s="121"/>
      <c r="EZ515" s="121"/>
      <c r="FA515" s="121"/>
      <c r="FB515" s="121"/>
      <c r="FC515" s="121"/>
      <c r="FD515" s="121"/>
      <c r="FE515" s="121"/>
      <c r="FF515" s="121"/>
      <c r="FG515" s="121"/>
      <c r="FH515" s="121"/>
      <c r="FI515" s="121"/>
      <c r="FJ515" s="121"/>
      <c r="FK515" s="121"/>
      <c r="FL515" s="121"/>
      <c r="FM515" s="121"/>
      <c r="FN515" s="121"/>
      <c r="FO515" s="121"/>
      <c r="FP515" s="121"/>
      <c r="FQ515" s="121"/>
      <c r="FR515" s="121"/>
      <c r="FS515" s="121"/>
      <c r="FT515" s="121"/>
      <c r="FU515" s="121"/>
      <c r="FV515" s="121"/>
      <c r="FW515" s="121"/>
      <c r="FX515" s="121"/>
      <c r="FY515" s="121"/>
      <c r="FZ515" s="121"/>
      <c r="GA515" s="121"/>
      <c r="GB515" s="121"/>
      <c r="GC515" s="121"/>
      <c r="GD515" s="121"/>
      <c r="GE515" s="121"/>
      <c r="GF515" s="121"/>
      <c r="GG515" s="121"/>
      <c r="GH515" s="121"/>
      <c r="GI515" s="121"/>
      <c r="GJ515" s="121"/>
      <c r="GK515" s="121"/>
      <c r="GL515" s="121"/>
      <c r="GM515" s="121"/>
      <c r="GN515" s="121"/>
      <c r="GO515" s="121"/>
      <c r="GP515" s="121"/>
      <c r="GQ515" s="121"/>
      <c r="GR515" s="121"/>
      <c r="GS515" s="121"/>
      <c r="GT515" s="121"/>
      <c r="GU515" s="121"/>
      <c r="GV515" s="121"/>
      <c r="GW515" s="121"/>
      <c r="GX515" s="121"/>
      <c r="GY515" s="121"/>
      <c r="GZ515" s="121"/>
      <c r="HA515" s="121"/>
      <c r="HB515" s="121"/>
      <c r="HC515" s="121"/>
      <c r="HD515" s="121"/>
      <c r="HE515" s="121"/>
      <c r="HF515" s="121"/>
      <c r="HG515" s="121"/>
      <c r="HH515" s="121"/>
      <c r="HI515" s="121"/>
      <c r="HJ515" s="121"/>
      <c r="HK515" s="121"/>
      <c r="HL515" s="121"/>
      <c r="HM515" s="121"/>
      <c r="HN515" s="121"/>
      <c r="HO515" s="121"/>
      <c r="HP515" s="121"/>
      <c r="HQ515" s="121"/>
      <c r="HR515" s="121"/>
      <c r="HS515" s="121"/>
      <c r="HT515" s="121"/>
      <c r="HU515" s="121"/>
      <c r="HV515" s="121"/>
      <c r="HW515" s="121"/>
      <c r="HX515" s="121"/>
      <c r="HY515" s="121"/>
      <c r="HZ515" s="121"/>
      <c r="IA515" s="121"/>
    </row>
    <row r="516" spans="1:16" ht="23.25" customHeight="1">
      <c r="A516" s="21" t="s">
        <v>211</v>
      </c>
      <c r="B516" s="7"/>
      <c r="C516" s="7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235" s="92" customFormat="1" ht="27.75" customHeight="1">
      <c r="A517" s="82" t="s">
        <v>397</v>
      </c>
      <c r="B517" s="88"/>
      <c r="C517" s="88"/>
      <c r="D517" s="89">
        <f>D519</f>
        <v>2200000</v>
      </c>
      <c r="E517" s="89"/>
      <c r="F517" s="89">
        <f>D517</f>
        <v>2200000</v>
      </c>
      <c r="G517" s="89">
        <f>G521*G523</f>
        <v>4829000</v>
      </c>
      <c r="H517" s="89"/>
      <c r="I517" s="89"/>
      <c r="J517" s="89">
        <f>G517</f>
        <v>4829000</v>
      </c>
      <c r="K517" s="89"/>
      <c r="L517" s="89"/>
      <c r="M517" s="89"/>
      <c r="N517" s="89">
        <f>N521*N523</f>
        <v>6169560</v>
      </c>
      <c r="O517" s="89">
        <f>O521*O523</f>
        <v>0</v>
      </c>
      <c r="P517" s="89">
        <f>N517</f>
        <v>6169560</v>
      </c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  <c r="CP517" s="91"/>
      <c r="CQ517" s="91"/>
      <c r="CR517" s="91"/>
      <c r="CS517" s="91"/>
      <c r="CT517" s="91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91"/>
      <c r="DQ517" s="91"/>
      <c r="DR517" s="91"/>
      <c r="DS517" s="91"/>
      <c r="DT517" s="91"/>
      <c r="DU517" s="91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91"/>
      <c r="EK517" s="91"/>
      <c r="EL517" s="91"/>
      <c r="EM517" s="91"/>
      <c r="EN517" s="91"/>
      <c r="EO517" s="91"/>
      <c r="EP517" s="91"/>
      <c r="EQ517" s="91"/>
      <c r="ER517" s="91"/>
      <c r="ES517" s="91"/>
      <c r="ET517" s="91"/>
      <c r="EU517" s="91"/>
      <c r="EV517" s="91"/>
      <c r="EW517" s="91"/>
      <c r="EX517" s="91"/>
      <c r="EY517" s="91"/>
      <c r="EZ517" s="91"/>
      <c r="FA517" s="91"/>
      <c r="FB517" s="91"/>
      <c r="FC517" s="91"/>
      <c r="FD517" s="91"/>
      <c r="FE517" s="91"/>
      <c r="FF517" s="91"/>
      <c r="FG517" s="91"/>
      <c r="FH517" s="91"/>
      <c r="FI517" s="91"/>
      <c r="FJ517" s="91"/>
      <c r="FK517" s="91"/>
      <c r="FL517" s="91"/>
      <c r="FM517" s="91"/>
      <c r="FN517" s="91"/>
      <c r="FO517" s="91"/>
      <c r="FP517" s="91"/>
      <c r="FQ517" s="91"/>
      <c r="FR517" s="91"/>
      <c r="FS517" s="91"/>
      <c r="FT517" s="91"/>
      <c r="FU517" s="91"/>
      <c r="FV517" s="91"/>
      <c r="FW517" s="91"/>
      <c r="FX517" s="91"/>
      <c r="FY517" s="91"/>
      <c r="FZ517" s="91"/>
      <c r="GA517" s="91"/>
      <c r="GB517" s="91"/>
      <c r="GC517" s="91"/>
      <c r="GD517" s="91"/>
      <c r="GE517" s="91"/>
      <c r="GF517" s="91"/>
      <c r="GG517" s="91"/>
      <c r="GH517" s="91"/>
      <c r="GI517" s="91"/>
      <c r="GJ517" s="91"/>
      <c r="GK517" s="91"/>
      <c r="GL517" s="91"/>
      <c r="GM517" s="91"/>
      <c r="GN517" s="91"/>
      <c r="GO517" s="91"/>
      <c r="GP517" s="91"/>
      <c r="GQ517" s="91"/>
      <c r="GR517" s="91"/>
      <c r="GS517" s="91"/>
      <c r="GT517" s="91"/>
      <c r="GU517" s="91"/>
      <c r="GV517" s="91"/>
      <c r="GW517" s="91"/>
      <c r="GX517" s="91"/>
      <c r="GY517" s="91"/>
      <c r="GZ517" s="91"/>
      <c r="HA517" s="91"/>
      <c r="HB517" s="91"/>
      <c r="HC517" s="91"/>
      <c r="HD517" s="91"/>
      <c r="HE517" s="91"/>
      <c r="HF517" s="91"/>
      <c r="HG517" s="91"/>
      <c r="HH517" s="91"/>
      <c r="HI517" s="91"/>
      <c r="HJ517" s="91"/>
      <c r="HK517" s="91"/>
      <c r="HL517" s="91"/>
      <c r="HM517" s="91"/>
      <c r="HN517" s="91"/>
      <c r="HO517" s="91"/>
      <c r="HP517" s="91"/>
      <c r="HQ517" s="91"/>
      <c r="HR517" s="91"/>
      <c r="HS517" s="91"/>
      <c r="HT517" s="91"/>
      <c r="HU517" s="91"/>
      <c r="HV517" s="91"/>
      <c r="HW517" s="91"/>
      <c r="HX517" s="91"/>
      <c r="HY517" s="91"/>
      <c r="HZ517" s="91"/>
      <c r="IA517" s="91"/>
    </row>
    <row r="518" spans="1:16" ht="12" customHeight="1">
      <c r="A518" s="20" t="s">
        <v>4</v>
      </c>
      <c r="B518" s="7"/>
      <c r="C518" s="7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ht="13.5" customHeight="1">
      <c r="A519" s="21" t="s">
        <v>63</v>
      </c>
      <c r="B519" s="7"/>
      <c r="C519" s="7"/>
      <c r="D519" s="14">
        <v>2200000</v>
      </c>
      <c r="E519" s="14"/>
      <c r="F519" s="14">
        <f>D519</f>
        <v>2200000</v>
      </c>
      <c r="G519" s="14">
        <f>G521*G523</f>
        <v>4829000</v>
      </c>
      <c r="H519" s="14"/>
      <c r="I519" s="14"/>
      <c r="J519" s="14">
        <f>G519</f>
        <v>4829000</v>
      </c>
      <c r="K519" s="14"/>
      <c r="L519" s="14"/>
      <c r="M519" s="14"/>
      <c r="N519" s="14">
        <f>N521*N523</f>
        <v>6169560</v>
      </c>
      <c r="O519" s="14"/>
      <c r="P519" s="14">
        <f>N519</f>
        <v>6169560</v>
      </c>
    </row>
    <row r="520" spans="1:16" ht="12" customHeight="1">
      <c r="A520" s="20" t="s">
        <v>5</v>
      </c>
      <c r="B520" s="7"/>
      <c r="C520" s="7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ht="33" customHeight="1">
      <c r="A521" s="21" t="s">
        <v>64</v>
      </c>
      <c r="B521" s="7"/>
      <c r="C521" s="7"/>
      <c r="D521" s="14">
        <v>1</v>
      </c>
      <c r="E521" s="14"/>
      <c r="F521" s="14">
        <v>1</v>
      </c>
      <c r="G521" s="14">
        <v>1</v>
      </c>
      <c r="H521" s="14"/>
      <c r="I521" s="14"/>
      <c r="J521" s="14">
        <v>1</v>
      </c>
      <c r="K521" s="14"/>
      <c r="L521" s="14"/>
      <c r="M521" s="14"/>
      <c r="N521" s="14">
        <v>1</v>
      </c>
      <c r="O521" s="14"/>
      <c r="P521" s="14">
        <f>N521</f>
        <v>1</v>
      </c>
    </row>
    <row r="522" spans="1:16" ht="11.25">
      <c r="A522" s="20" t="s">
        <v>7</v>
      </c>
      <c r="B522" s="7"/>
      <c r="C522" s="7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ht="21" customHeight="1">
      <c r="A523" s="21" t="s">
        <v>213</v>
      </c>
      <c r="B523" s="7"/>
      <c r="C523" s="7"/>
      <c r="D523" s="14">
        <f>D519/D521</f>
        <v>2200000</v>
      </c>
      <c r="E523" s="14"/>
      <c r="F523" s="14">
        <f>D523</f>
        <v>2200000</v>
      </c>
      <c r="G523" s="14">
        <v>4829000</v>
      </c>
      <c r="H523" s="14"/>
      <c r="I523" s="14"/>
      <c r="J523" s="14">
        <f>G523</f>
        <v>4829000</v>
      </c>
      <c r="K523" s="14"/>
      <c r="L523" s="14"/>
      <c r="M523" s="14"/>
      <c r="N523" s="14">
        <v>6169560</v>
      </c>
      <c r="O523" s="14"/>
      <c r="P523" s="14">
        <f>N523</f>
        <v>6169560</v>
      </c>
    </row>
    <row r="524" spans="1:235" s="92" customFormat="1" ht="25.5" customHeight="1">
      <c r="A524" s="82" t="s">
        <v>398</v>
      </c>
      <c r="B524" s="88"/>
      <c r="C524" s="88"/>
      <c r="D524" s="89"/>
      <c r="E524" s="89"/>
      <c r="F524" s="89"/>
      <c r="G524" s="89">
        <f>G528*G530</f>
        <v>120000</v>
      </c>
      <c r="H524" s="89"/>
      <c r="I524" s="89"/>
      <c r="J524" s="89">
        <f>G524</f>
        <v>120000</v>
      </c>
      <c r="K524" s="89"/>
      <c r="L524" s="89"/>
      <c r="M524" s="89"/>
      <c r="N524" s="89"/>
      <c r="O524" s="89"/>
      <c r="P524" s="89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  <c r="CO524" s="91"/>
      <c r="CP524" s="91"/>
      <c r="CQ524" s="91"/>
      <c r="CR524" s="91"/>
      <c r="CS524" s="91"/>
      <c r="CT524" s="91"/>
      <c r="CU524" s="91"/>
      <c r="CV524" s="91"/>
      <c r="CW524" s="91"/>
      <c r="CX524" s="91"/>
      <c r="CY524" s="91"/>
      <c r="CZ524" s="91"/>
      <c r="DA524" s="91"/>
      <c r="DB524" s="91"/>
      <c r="DC524" s="91"/>
      <c r="DD524" s="91"/>
      <c r="DE524" s="91"/>
      <c r="DF524" s="91"/>
      <c r="DG524" s="91"/>
      <c r="DH524" s="91"/>
      <c r="DI524" s="91"/>
      <c r="DJ524" s="91"/>
      <c r="DK524" s="91"/>
      <c r="DL524" s="91"/>
      <c r="DM524" s="91"/>
      <c r="DN524" s="91"/>
      <c r="DO524" s="91"/>
      <c r="DP524" s="91"/>
      <c r="DQ524" s="91"/>
      <c r="DR524" s="91"/>
      <c r="DS524" s="91"/>
      <c r="DT524" s="91"/>
      <c r="DU524" s="91"/>
      <c r="DV524" s="91"/>
      <c r="DW524" s="91"/>
      <c r="DX524" s="91"/>
      <c r="DY524" s="91"/>
      <c r="DZ524" s="91"/>
      <c r="EA524" s="91"/>
      <c r="EB524" s="91"/>
      <c r="EC524" s="91"/>
      <c r="ED524" s="91"/>
      <c r="EE524" s="91"/>
      <c r="EF524" s="91"/>
      <c r="EG524" s="91"/>
      <c r="EH524" s="91"/>
      <c r="EI524" s="91"/>
      <c r="EJ524" s="91"/>
      <c r="EK524" s="91"/>
      <c r="EL524" s="91"/>
      <c r="EM524" s="91"/>
      <c r="EN524" s="91"/>
      <c r="EO524" s="91"/>
      <c r="EP524" s="91"/>
      <c r="EQ524" s="91"/>
      <c r="ER524" s="91"/>
      <c r="ES524" s="91"/>
      <c r="ET524" s="91"/>
      <c r="EU524" s="91"/>
      <c r="EV524" s="91"/>
      <c r="EW524" s="91"/>
      <c r="EX524" s="91"/>
      <c r="EY524" s="91"/>
      <c r="EZ524" s="91"/>
      <c r="FA524" s="91"/>
      <c r="FB524" s="91"/>
      <c r="FC524" s="91"/>
      <c r="FD524" s="91"/>
      <c r="FE524" s="91"/>
      <c r="FF524" s="91"/>
      <c r="FG524" s="91"/>
      <c r="FH524" s="91"/>
      <c r="FI524" s="91"/>
      <c r="FJ524" s="91"/>
      <c r="FK524" s="91"/>
      <c r="FL524" s="91"/>
      <c r="FM524" s="91"/>
      <c r="FN524" s="91"/>
      <c r="FO524" s="91"/>
      <c r="FP524" s="91"/>
      <c r="FQ524" s="91"/>
      <c r="FR524" s="91"/>
      <c r="FS524" s="91"/>
      <c r="FT524" s="91"/>
      <c r="FU524" s="91"/>
      <c r="FV524" s="91"/>
      <c r="FW524" s="91"/>
      <c r="FX524" s="91"/>
      <c r="FY524" s="91"/>
      <c r="FZ524" s="91"/>
      <c r="GA524" s="91"/>
      <c r="GB524" s="91"/>
      <c r="GC524" s="91"/>
      <c r="GD524" s="91"/>
      <c r="GE524" s="91"/>
      <c r="GF524" s="91"/>
      <c r="GG524" s="91"/>
      <c r="GH524" s="91"/>
      <c r="GI524" s="91"/>
      <c r="GJ524" s="91"/>
      <c r="GK524" s="91"/>
      <c r="GL524" s="91"/>
      <c r="GM524" s="91"/>
      <c r="GN524" s="91"/>
      <c r="GO524" s="91"/>
      <c r="GP524" s="91"/>
      <c r="GQ524" s="91"/>
      <c r="GR524" s="91"/>
      <c r="GS524" s="91"/>
      <c r="GT524" s="91"/>
      <c r="GU524" s="91"/>
      <c r="GV524" s="91"/>
      <c r="GW524" s="91"/>
      <c r="GX524" s="91"/>
      <c r="GY524" s="91"/>
      <c r="GZ524" s="91"/>
      <c r="HA524" s="91"/>
      <c r="HB524" s="91"/>
      <c r="HC524" s="91"/>
      <c r="HD524" s="91"/>
      <c r="HE524" s="91"/>
      <c r="HF524" s="91"/>
      <c r="HG524" s="91"/>
      <c r="HH524" s="91"/>
      <c r="HI524" s="91"/>
      <c r="HJ524" s="91"/>
      <c r="HK524" s="91"/>
      <c r="HL524" s="91"/>
      <c r="HM524" s="91"/>
      <c r="HN524" s="91"/>
      <c r="HO524" s="91"/>
      <c r="HP524" s="91"/>
      <c r="HQ524" s="91"/>
      <c r="HR524" s="91"/>
      <c r="HS524" s="91"/>
      <c r="HT524" s="91"/>
      <c r="HU524" s="91"/>
      <c r="HV524" s="91"/>
      <c r="HW524" s="91"/>
      <c r="HX524" s="91"/>
      <c r="HY524" s="91"/>
      <c r="HZ524" s="91"/>
      <c r="IA524" s="91"/>
    </row>
    <row r="525" spans="1:16" ht="11.25">
      <c r="A525" s="20" t="s">
        <v>4</v>
      </c>
      <c r="B525" s="7"/>
      <c r="C525" s="7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6" ht="14.25" customHeight="1">
      <c r="A526" s="21" t="s">
        <v>63</v>
      </c>
      <c r="B526" s="7"/>
      <c r="C526" s="7"/>
      <c r="D526" s="14"/>
      <c r="E526" s="14"/>
      <c r="F526" s="14"/>
      <c r="G526" s="14">
        <v>120000</v>
      </c>
      <c r="H526" s="14"/>
      <c r="I526" s="14"/>
      <c r="J526" s="14">
        <f>G526</f>
        <v>120000</v>
      </c>
      <c r="K526" s="14"/>
      <c r="L526" s="14"/>
      <c r="M526" s="14"/>
      <c r="N526" s="14"/>
      <c r="O526" s="14"/>
      <c r="P526" s="14"/>
    </row>
    <row r="527" spans="1:16" ht="11.25">
      <c r="A527" s="20" t="s">
        <v>5</v>
      </c>
      <c r="B527" s="7"/>
      <c r="C527" s="7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23.25" customHeight="1">
      <c r="A528" s="21" t="s">
        <v>212</v>
      </c>
      <c r="B528" s="7"/>
      <c r="C528" s="7"/>
      <c r="D528" s="14"/>
      <c r="E528" s="14"/>
      <c r="F528" s="14"/>
      <c r="G528" s="14">
        <v>2</v>
      </c>
      <c r="H528" s="14"/>
      <c r="I528" s="14"/>
      <c r="J528" s="14">
        <v>2</v>
      </c>
      <c r="K528" s="14"/>
      <c r="L528" s="14"/>
      <c r="M528" s="14"/>
      <c r="N528" s="14"/>
      <c r="O528" s="14"/>
      <c r="P528" s="14"/>
    </row>
    <row r="529" spans="1:16" ht="11.25">
      <c r="A529" s="20" t="s">
        <v>7</v>
      </c>
      <c r="B529" s="7"/>
      <c r="C529" s="7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ht="24.75" customHeight="1">
      <c r="A530" s="21" t="s">
        <v>214</v>
      </c>
      <c r="B530" s="7"/>
      <c r="C530" s="7"/>
      <c r="D530" s="14"/>
      <c r="E530" s="14"/>
      <c r="F530" s="14"/>
      <c r="G530" s="14">
        <v>60000</v>
      </c>
      <c r="H530" s="14"/>
      <c r="I530" s="14"/>
      <c r="J530" s="14">
        <f>G530</f>
        <v>60000</v>
      </c>
      <c r="K530" s="14"/>
      <c r="L530" s="14"/>
      <c r="M530" s="14"/>
      <c r="N530" s="14"/>
      <c r="O530" s="14"/>
      <c r="P530" s="14"/>
    </row>
    <row r="531" spans="1:235" s="92" customFormat="1" ht="15" customHeight="1">
      <c r="A531" s="82" t="s">
        <v>399</v>
      </c>
      <c r="B531" s="88"/>
      <c r="C531" s="88"/>
      <c r="D531" s="89">
        <f>D533</f>
        <v>150400</v>
      </c>
      <c r="E531" s="89"/>
      <c r="F531" s="89">
        <f>D531</f>
        <v>150400</v>
      </c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  <c r="CO531" s="91"/>
      <c r="CP531" s="91"/>
      <c r="CQ531" s="91"/>
      <c r="CR531" s="91"/>
      <c r="CS531" s="91"/>
      <c r="CT531" s="91"/>
      <c r="CU531" s="91"/>
      <c r="CV531" s="91"/>
      <c r="CW531" s="91"/>
      <c r="CX531" s="91"/>
      <c r="CY531" s="91"/>
      <c r="CZ531" s="91"/>
      <c r="DA531" s="91"/>
      <c r="DB531" s="91"/>
      <c r="DC531" s="91"/>
      <c r="DD531" s="91"/>
      <c r="DE531" s="91"/>
      <c r="DF531" s="91"/>
      <c r="DG531" s="91"/>
      <c r="DH531" s="91"/>
      <c r="DI531" s="91"/>
      <c r="DJ531" s="91"/>
      <c r="DK531" s="91"/>
      <c r="DL531" s="91"/>
      <c r="DM531" s="91"/>
      <c r="DN531" s="91"/>
      <c r="DO531" s="91"/>
      <c r="DP531" s="91"/>
      <c r="DQ531" s="91"/>
      <c r="DR531" s="91"/>
      <c r="DS531" s="91"/>
      <c r="DT531" s="91"/>
      <c r="DU531" s="91"/>
      <c r="DV531" s="91"/>
      <c r="DW531" s="91"/>
      <c r="DX531" s="91"/>
      <c r="DY531" s="91"/>
      <c r="DZ531" s="91"/>
      <c r="EA531" s="91"/>
      <c r="EB531" s="91"/>
      <c r="EC531" s="91"/>
      <c r="ED531" s="91"/>
      <c r="EE531" s="91"/>
      <c r="EF531" s="91"/>
      <c r="EG531" s="91"/>
      <c r="EH531" s="91"/>
      <c r="EI531" s="91"/>
      <c r="EJ531" s="91"/>
      <c r="EK531" s="91"/>
      <c r="EL531" s="91"/>
      <c r="EM531" s="91"/>
      <c r="EN531" s="91"/>
      <c r="EO531" s="91"/>
      <c r="EP531" s="91"/>
      <c r="EQ531" s="91"/>
      <c r="ER531" s="91"/>
      <c r="ES531" s="91"/>
      <c r="ET531" s="91"/>
      <c r="EU531" s="91"/>
      <c r="EV531" s="91"/>
      <c r="EW531" s="91"/>
      <c r="EX531" s="91"/>
      <c r="EY531" s="91"/>
      <c r="EZ531" s="91"/>
      <c r="FA531" s="91"/>
      <c r="FB531" s="91"/>
      <c r="FC531" s="91"/>
      <c r="FD531" s="91"/>
      <c r="FE531" s="91"/>
      <c r="FF531" s="91"/>
      <c r="FG531" s="91"/>
      <c r="FH531" s="91"/>
      <c r="FI531" s="91"/>
      <c r="FJ531" s="91"/>
      <c r="FK531" s="91"/>
      <c r="FL531" s="91"/>
      <c r="FM531" s="91"/>
      <c r="FN531" s="91"/>
      <c r="FO531" s="91"/>
      <c r="FP531" s="91"/>
      <c r="FQ531" s="91"/>
      <c r="FR531" s="91"/>
      <c r="FS531" s="91"/>
      <c r="FT531" s="91"/>
      <c r="FU531" s="91"/>
      <c r="FV531" s="91"/>
      <c r="FW531" s="91"/>
      <c r="FX531" s="91"/>
      <c r="FY531" s="91"/>
      <c r="FZ531" s="91"/>
      <c r="GA531" s="91"/>
      <c r="GB531" s="91"/>
      <c r="GC531" s="91"/>
      <c r="GD531" s="91"/>
      <c r="GE531" s="91"/>
      <c r="GF531" s="91"/>
      <c r="GG531" s="91"/>
      <c r="GH531" s="91"/>
      <c r="GI531" s="91"/>
      <c r="GJ531" s="91"/>
      <c r="GK531" s="91"/>
      <c r="GL531" s="91"/>
      <c r="GM531" s="91"/>
      <c r="GN531" s="91"/>
      <c r="GO531" s="91"/>
      <c r="GP531" s="91"/>
      <c r="GQ531" s="91"/>
      <c r="GR531" s="91"/>
      <c r="GS531" s="91"/>
      <c r="GT531" s="91"/>
      <c r="GU531" s="91"/>
      <c r="GV531" s="91"/>
      <c r="GW531" s="91"/>
      <c r="GX531" s="91"/>
      <c r="GY531" s="91"/>
      <c r="GZ531" s="91"/>
      <c r="HA531" s="91"/>
      <c r="HB531" s="91"/>
      <c r="HC531" s="91"/>
      <c r="HD531" s="91"/>
      <c r="HE531" s="91"/>
      <c r="HF531" s="91"/>
      <c r="HG531" s="91"/>
      <c r="HH531" s="91"/>
      <c r="HI531" s="91"/>
      <c r="HJ531" s="91"/>
      <c r="HK531" s="91"/>
      <c r="HL531" s="91"/>
      <c r="HM531" s="91"/>
      <c r="HN531" s="91"/>
      <c r="HO531" s="91"/>
      <c r="HP531" s="91"/>
      <c r="HQ531" s="91"/>
      <c r="HR531" s="91"/>
      <c r="HS531" s="91"/>
      <c r="HT531" s="91"/>
      <c r="HU531" s="91"/>
      <c r="HV531" s="91"/>
      <c r="HW531" s="91"/>
      <c r="HX531" s="91"/>
      <c r="HY531" s="91"/>
      <c r="HZ531" s="91"/>
      <c r="IA531" s="91"/>
    </row>
    <row r="532" spans="1:16" ht="12" customHeight="1">
      <c r="A532" s="20" t="s">
        <v>4</v>
      </c>
      <c r="B532" s="7"/>
      <c r="C532" s="7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ht="12" customHeight="1">
      <c r="A533" s="21" t="s">
        <v>63</v>
      </c>
      <c r="B533" s="7"/>
      <c r="C533" s="7"/>
      <c r="D533" s="14">
        <f>(D535*D538)+(D536*D539)-0.03</f>
        <v>150400</v>
      </c>
      <c r="E533" s="14"/>
      <c r="F533" s="14">
        <f>D533</f>
        <v>150400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ht="12" customHeight="1">
      <c r="A534" s="20" t="s">
        <v>5</v>
      </c>
      <c r="B534" s="7"/>
      <c r="C534" s="7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ht="24.75" customHeight="1">
      <c r="A535" s="21" t="s">
        <v>243</v>
      </c>
      <c r="B535" s="7"/>
      <c r="C535" s="7"/>
      <c r="D535" s="14">
        <v>57</v>
      </c>
      <c r="E535" s="14"/>
      <c r="F535" s="14">
        <v>57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6" ht="15.75" customHeight="1">
      <c r="A536" s="21" t="s">
        <v>241</v>
      </c>
      <c r="B536" s="7"/>
      <c r="C536" s="7"/>
      <c r="D536" s="14">
        <v>145</v>
      </c>
      <c r="E536" s="14"/>
      <c r="F536" s="14">
        <f>D536</f>
        <v>145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ht="12.75" customHeight="1">
      <c r="A537" s="20" t="s">
        <v>7</v>
      </c>
      <c r="B537" s="7"/>
      <c r="C537" s="7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1:16" ht="24.75" customHeight="1">
      <c r="A538" s="21" t="s">
        <v>242</v>
      </c>
      <c r="B538" s="7"/>
      <c r="C538" s="7"/>
      <c r="D538" s="14">
        <v>1950.89</v>
      </c>
      <c r="E538" s="14"/>
      <c r="F538" s="14">
        <f>D538</f>
        <v>1950.89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ht="24.75" customHeight="1">
      <c r="A539" s="21" t="s">
        <v>244</v>
      </c>
      <c r="B539" s="7"/>
      <c r="C539" s="7"/>
      <c r="D539" s="14">
        <v>270.34</v>
      </c>
      <c r="E539" s="14"/>
      <c r="F539" s="14">
        <f>D539</f>
        <v>270.34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235" s="92" customFormat="1" ht="41.25" customHeight="1">
      <c r="A540" s="82" t="s">
        <v>400</v>
      </c>
      <c r="B540" s="88"/>
      <c r="C540" s="88"/>
      <c r="D540" s="89">
        <v>127900</v>
      </c>
      <c r="E540" s="89"/>
      <c r="F540" s="89">
        <f>D540</f>
        <v>127900</v>
      </c>
      <c r="G540" s="89">
        <f>G544*G546</f>
        <v>130000</v>
      </c>
      <c r="H540" s="89"/>
      <c r="I540" s="89"/>
      <c r="J540" s="89">
        <f>G540</f>
        <v>130000</v>
      </c>
      <c r="K540" s="89"/>
      <c r="L540" s="89"/>
      <c r="M540" s="89"/>
      <c r="N540" s="89"/>
      <c r="O540" s="89"/>
      <c r="P540" s="89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  <c r="EP540" s="91"/>
      <c r="EQ540" s="91"/>
      <c r="ER540" s="91"/>
      <c r="ES540" s="91"/>
      <c r="ET540" s="91"/>
      <c r="EU540" s="91"/>
      <c r="EV540" s="91"/>
      <c r="EW540" s="91"/>
      <c r="EX540" s="91"/>
      <c r="EY540" s="91"/>
      <c r="EZ540" s="91"/>
      <c r="FA540" s="91"/>
      <c r="FB540" s="91"/>
      <c r="FC540" s="91"/>
      <c r="FD540" s="91"/>
      <c r="FE540" s="91"/>
      <c r="FF540" s="91"/>
      <c r="FG540" s="91"/>
      <c r="FH540" s="91"/>
      <c r="FI540" s="91"/>
      <c r="FJ540" s="91"/>
      <c r="FK540" s="91"/>
      <c r="FL540" s="91"/>
      <c r="FM540" s="91"/>
      <c r="FN540" s="91"/>
      <c r="FO540" s="91"/>
      <c r="FP540" s="91"/>
      <c r="FQ540" s="91"/>
      <c r="FR540" s="91"/>
      <c r="FS540" s="91"/>
      <c r="FT540" s="91"/>
      <c r="FU540" s="91"/>
      <c r="FV540" s="91"/>
      <c r="FW540" s="91"/>
      <c r="FX540" s="91"/>
      <c r="FY540" s="91"/>
      <c r="FZ540" s="91"/>
      <c r="GA540" s="91"/>
      <c r="GB540" s="91"/>
      <c r="GC540" s="91"/>
      <c r="GD540" s="91"/>
      <c r="GE540" s="91"/>
      <c r="GF540" s="91"/>
      <c r="GG540" s="91"/>
      <c r="GH540" s="91"/>
      <c r="GI540" s="91"/>
      <c r="GJ540" s="91"/>
      <c r="GK540" s="91"/>
      <c r="GL540" s="91"/>
      <c r="GM540" s="91"/>
      <c r="GN540" s="91"/>
      <c r="GO540" s="91"/>
      <c r="GP540" s="91"/>
      <c r="GQ540" s="91"/>
      <c r="GR540" s="91"/>
      <c r="GS540" s="91"/>
      <c r="GT540" s="91"/>
      <c r="GU540" s="91"/>
      <c r="GV540" s="91"/>
      <c r="GW540" s="91"/>
      <c r="GX540" s="91"/>
      <c r="GY540" s="91"/>
      <c r="GZ540" s="91"/>
      <c r="HA540" s="91"/>
      <c r="HB540" s="91"/>
      <c r="HC540" s="91"/>
      <c r="HD540" s="91"/>
      <c r="HE540" s="91"/>
      <c r="HF540" s="91"/>
      <c r="HG540" s="91"/>
      <c r="HH540" s="91"/>
      <c r="HI540" s="91"/>
      <c r="HJ540" s="91"/>
      <c r="HK540" s="91"/>
      <c r="HL540" s="91"/>
      <c r="HM540" s="91"/>
      <c r="HN540" s="91"/>
      <c r="HO540" s="91"/>
      <c r="HP540" s="91"/>
      <c r="HQ540" s="91"/>
      <c r="HR540" s="91"/>
      <c r="HS540" s="91"/>
      <c r="HT540" s="91"/>
      <c r="HU540" s="91"/>
      <c r="HV540" s="91"/>
      <c r="HW540" s="91"/>
      <c r="HX540" s="91"/>
      <c r="HY540" s="91"/>
      <c r="HZ540" s="91"/>
      <c r="IA540" s="91"/>
    </row>
    <row r="541" spans="1:16" ht="11.25" customHeight="1">
      <c r="A541" s="20" t="s">
        <v>4</v>
      </c>
      <c r="B541" s="7"/>
      <c r="C541" s="7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ht="14.25" customHeight="1">
      <c r="A542" s="21" t="s">
        <v>63</v>
      </c>
      <c r="B542" s="7"/>
      <c r="C542" s="7"/>
      <c r="D542" s="62">
        <f>D540</f>
        <v>127900</v>
      </c>
      <c r="E542" s="14"/>
      <c r="F542" s="14">
        <f>D542</f>
        <v>127900</v>
      </c>
      <c r="G542" s="14">
        <v>130000</v>
      </c>
      <c r="H542" s="14"/>
      <c r="I542" s="14"/>
      <c r="J542" s="14">
        <f>G542</f>
        <v>130000</v>
      </c>
      <c r="K542" s="14"/>
      <c r="L542" s="14"/>
      <c r="M542" s="14"/>
      <c r="N542" s="14"/>
      <c r="O542" s="14"/>
      <c r="P542" s="14"/>
    </row>
    <row r="543" spans="1:16" ht="10.5" customHeight="1">
      <c r="A543" s="20" t="s">
        <v>5</v>
      </c>
      <c r="B543" s="7"/>
      <c r="C543" s="7"/>
      <c r="D543" s="62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24.75" customHeight="1">
      <c r="A544" s="21" t="s">
        <v>248</v>
      </c>
      <c r="B544" s="7"/>
      <c r="C544" s="7"/>
      <c r="D544" s="62">
        <v>4</v>
      </c>
      <c r="E544" s="14"/>
      <c r="F544" s="14">
        <f>D544</f>
        <v>4</v>
      </c>
      <c r="G544" s="14">
        <v>4</v>
      </c>
      <c r="H544" s="14"/>
      <c r="I544" s="14"/>
      <c r="J544" s="14">
        <v>4</v>
      </c>
      <c r="K544" s="14"/>
      <c r="L544" s="14"/>
      <c r="M544" s="14"/>
      <c r="N544" s="14"/>
      <c r="O544" s="14"/>
      <c r="P544" s="14"/>
    </row>
    <row r="545" spans="1:16" ht="11.25">
      <c r="A545" s="20" t="s">
        <v>7</v>
      </c>
      <c r="B545" s="7"/>
      <c r="C545" s="7"/>
      <c r="D545" s="62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ht="24.75" customHeight="1">
      <c r="A546" s="21" t="s">
        <v>247</v>
      </c>
      <c r="B546" s="7"/>
      <c r="C546" s="7"/>
      <c r="D546" s="62">
        <f>D540/D544</f>
        <v>31975</v>
      </c>
      <c r="E546" s="14"/>
      <c r="F546" s="14">
        <f>D546</f>
        <v>31975</v>
      </c>
      <c r="G546" s="14">
        <v>32500</v>
      </c>
      <c r="H546" s="14"/>
      <c r="I546" s="14"/>
      <c r="J546" s="14">
        <f>G546</f>
        <v>32500</v>
      </c>
      <c r="K546" s="14"/>
      <c r="L546" s="14"/>
      <c r="M546" s="14"/>
      <c r="N546" s="14"/>
      <c r="O546" s="14"/>
      <c r="P546" s="14"/>
    </row>
    <row r="547" spans="1:235" s="92" customFormat="1" ht="25.5" customHeight="1">
      <c r="A547" s="82" t="s">
        <v>401</v>
      </c>
      <c r="B547" s="88"/>
      <c r="C547" s="88"/>
      <c r="D547" s="89">
        <v>224200</v>
      </c>
      <c r="E547" s="89"/>
      <c r="F547" s="89">
        <f>D547</f>
        <v>224200</v>
      </c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  <c r="DZ547" s="91"/>
      <c r="EA547" s="91"/>
      <c r="EB547" s="91"/>
      <c r="EC547" s="91"/>
      <c r="ED547" s="91"/>
      <c r="EE547" s="91"/>
      <c r="EF547" s="91"/>
      <c r="EG547" s="91"/>
      <c r="EH547" s="91"/>
      <c r="EI547" s="91"/>
      <c r="EJ547" s="91"/>
      <c r="EK547" s="91"/>
      <c r="EL547" s="91"/>
      <c r="EM547" s="91"/>
      <c r="EN547" s="91"/>
      <c r="EO547" s="91"/>
      <c r="EP547" s="91"/>
      <c r="EQ547" s="91"/>
      <c r="ER547" s="91"/>
      <c r="ES547" s="91"/>
      <c r="ET547" s="91"/>
      <c r="EU547" s="91"/>
      <c r="EV547" s="91"/>
      <c r="EW547" s="91"/>
      <c r="EX547" s="91"/>
      <c r="EY547" s="91"/>
      <c r="EZ547" s="91"/>
      <c r="FA547" s="91"/>
      <c r="FB547" s="91"/>
      <c r="FC547" s="91"/>
      <c r="FD547" s="91"/>
      <c r="FE547" s="91"/>
      <c r="FF547" s="91"/>
      <c r="FG547" s="91"/>
      <c r="FH547" s="91"/>
      <c r="FI547" s="91"/>
      <c r="FJ547" s="91"/>
      <c r="FK547" s="91"/>
      <c r="FL547" s="91"/>
      <c r="FM547" s="91"/>
      <c r="FN547" s="91"/>
      <c r="FO547" s="91"/>
      <c r="FP547" s="91"/>
      <c r="FQ547" s="91"/>
      <c r="FR547" s="91"/>
      <c r="FS547" s="91"/>
      <c r="FT547" s="91"/>
      <c r="FU547" s="91"/>
      <c r="FV547" s="91"/>
      <c r="FW547" s="91"/>
      <c r="FX547" s="91"/>
      <c r="FY547" s="91"/>
      <c r="FZ547" s="91"/>
      <c r="GA547" s="91"/>
      <c r="GB547" s="91"/>
      <c r="GC547" s="91"/>
      <c r="GD547" s="91"/>
      <c r="GE547" s="91"/>
      <c r="GF547" s="91"/>
      <c r="GG547" s="91"/>
      <c r="GH547" s="91"/>
      <c r="GI547" s="91"/>
      <c r="GJ547" s="91"/>
      <c r="GK547" s="91"/>
      <c r="GL547" s="91"/>
      <c r="GM547" s="91"/>
      <c r="GN547" s="91"/>
      <c r="GO547" s="91"/>
      <c r="GP547" s="91"/>
      <c r="GQ547" s="91"/>
      <c r="GR547" s="91"/>
      <c r="GS547" s="91"/>
      <c r="GT547" s="91"/>
      <c r="GU547" s="91"/>
      <c r="GV547" s="91"/>
      <c r="GW547" s="91"/>
      <c r="GX547" s="91"/>
      <c r="GY547" s="91"/>
      <c r="GZ547" s="91"/>
      <c r="HA547" s="91"/>
      <c r="HB547" s="91"/>
      <c r="HC547" s="91"/>
      <c r="HD547" s="91"/>
      <c r="HE547" s="91"/>
      <c r="HF547" s="91"/>
      <c r="HG547" s="91"/>
      <c r="HH547" s="91"/>
      <c r="HI547" s="91"/>
      <c r="HJ547" s="91"/>
      <c r="HK547" s="91"/>
      <c r="HL547" s="91"/>
      <c r="HM547" s="91"/>
      <c r="HN547" s="91"/>
      <c r="HO547" s="91"/>
      <c r="HP547" s="91"/>
      <c r="HQ547" s="91"/>
      <c r="HR547" s="91"/>
      <c r="HS547" s="91"/>
      <c r="HT547" s="91"/>
      <c r="HU547" s="91"/>
      <c r="HV547" s="91"/>
      <c r="HW547" s="91"/>
      <c r="HX547" s="91"/>
      <c r="HY547" s="91"/>
      <c r="HZ547" s="91"/>
      <c r="IA547" s="91"/>
    </row>
    <row r="548" spans="1:16" ht="11.25" customHeight="1">
      <c r="A548" s="20" t="s">
        <v>4</v>
      </c>
      <c r="B548" s="7"/>
      <c r="C548" s="7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ht="14.25" customHeight="1">
      <c r="A549" s="21" t="s">
        <v>63</v>
      </c>
      <c r="B549" s="7"/>
      <c r="C549" s="7"/>
      <c r="D549" s="62">
        <f>D547</f>
        <v>224200</v>
      </c>
      <c r="E549" s="14"/>
      <c r="F549" s="14">
        <v>224200</v>
      </c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ht="10.5" customHeight="1">
      <c r="A550" s="20" t="s">
        <v>5</v>
      </c>
      <c r="B550" s="7"/>
      <c r="C550" s="7"/>
      <c r="D550" s="62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ht="24.75" customHeight="1">
      <c r="A551" s="21" t="s">
        <v>261</v>
      </c>
      <c r="B551" s="7"/>
      <c r="C551" s="7"/>
      <c r="D551" s="62">
        <v>398</v>
      </c>
      <c r="E551" s="14"/>
      <c r="F551" s="14">
        <f>D551</f>
        <v>398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ht="11.25">
      <c r="A552" s="20" t="s">
        <v>7</v>
      </c>
      <c r="B552" s="7"/>
      <c r="C552" s="7"/>
      <c r="D552" s="62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ht="24.75" customHeight="1">
      <c r="A553" s="21" t="s">
        <v>262</v>
      </c>
      <c r="B553" s="7"/>
      <c r="C553" s="7"/>
      <c r="D553" s="62">
        <f>D547/D551</f>
        <v>563.3165829145729</v>
      </c>
      <c r="E553" s="14"/>
      <c r="F553" s="14">
        <f>D553</f>
        <v>563.3165829145729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235" s="92" customFormat="1" ht="45.75" customHeight="1">
      <c r="A554" s="82" t="s">
        <v>402</v>
      </c>
      <c r="B554" s="88"/>
      <c r="C554" s="88"/>
      <c r="D554" s="89"/>
      <c r="E554" s="89"/>
      <c r="F554" s="89"/>
      <c r="G554" s="89">
        <f>G558*G560</f>
        <v>70100</v>
      </c>
      <c r="H554" s="89"/>
      <c r="I554" s="89"/>
      <c r="J554" s="89">
        <f>G554</f>
        <v>70100</v>
      </c>
      <c r="K554" s="89"/>
      <c r="L554" s="89"/>
      <c r="M554" s="89"/>
      <c r="N554" s="89"/>
      <c r="O554" s="89"/>
      <c r="P554" s="89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  <c r="CP554" s="91"/>
      <c r="CQ554" s="91"/>
      <c r="CR554" s="91"/>
      <c r="CS554" s="91"/>
      <c r="CT554" s="91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91"/>
      <c r="DQ554" s="91"/>
      <c r="DR554" s="91"/>
      <c r="DS554" s="91"/>
      <c r="DT554" s="91"/>
      <c r="DU554" s="91"/>
      <c r="DV554" s="91"/>
      <c r="DW554" s="91"/>
      <c r="DX554" s="91"/>
      <c r="DY554" s="91"/>
      <c r="DZ554" s="91"/>
      <c r="EA554" s="91"/>
      <c r="EB554" s="91"/>
      <c r="EC554" s="91"/>
      <c r="ED554" s="91"/>
      <c r="EE554" s="91"/>
      <c r="EF554" s="91"/>
      <c r="EG554" s="91"/>
      <c r="EH554" s="91"/>
      <c r="EI554" s="91"/>
      <c r="EJ554" s="91"/>
      <c r="EK554" s="91"/>
      <c r="EL554" s="91"/>
      <c r="EM554" s="91"/>
      <c r="EN554" s="91"/>
      <c r="EO554" s="91"/>
      <c r="EP554" s="91"/>
      <c r="EQ554" s="91"/>
      <c r="ER554" s="91"/>
      <c r="ES554" s="91"/>
      <c r="ET554" s="91"/>
      <c r="EU554" s="91"/>
      <c r="EV554" s="91"/>
      <c r="EW554" s="91"/>
      <c r="EX554" s="91"/>
      <c r="EY554" s="91"/>
      <c r="EZ554" s="91"/>
      <c r="FA554" s="91"/>
      <c r="FB554" s="91"/>
      <c r="FC554" s="91"/>
      <c r="FD554" s="91"/>
      <c r="FE554" s="91"/>
      <c r="FF554" s="91"/>
      <c r="FG554" s="91"/>
      <c r="FH554" s="91"/>
      <c r="FI554" s="91"/>
      <c r="FJ554" s="91"/>
      <c r="FK554" s="91"/>
      <c r="FL554" s="91"/>
      <c r="FM554" s="91"/>
      <c r="FN554" s="91"/>
      <c r="FO554" s="91"/>
      <c r="FP554" s="91"/>
      <c r="FQ554" s="91"/>
      <c r="FR554" s="91"/>
      <c r="FS554" s="91"/>
      <c r="FT554" s="91"/>
      <c r="FU554" s="91"/>
      <c r="FV554" s="91"/>
      <c r="FW554" s="91"/>
      <c r="FX554" s="91"/>
      <c r="FY554" s="91"/>
      <c r="FZ554" s="91"/>
      <c r="GA554" s="91"/>
      <c r="GB554" s="91"/>
      <c r="GC554" s="91"/>
      <c r="GD554" s="91"/>
      <c r="GE554" s="91"/>
      <c r="GF554" s="91"/>
      <c r="GG554" s="91"/>
      <c r="GH554" s="91"/>
      <c r="GI554" s="91"/>
      <c r="GJ554" s="91"/>
      <c r="GK554" s="91"/>
      <c r="GL554" s="91"/>
      <c r="GM554" s="91"/>
      <c r="GN554" s="91"/>
      <c r="GO554" s="91"/>
      <c r="GP554" s="91"/>
      <c r="GQ554" s="91"/>
      <c r="GR554" s="91"/>
      <c r="GS554" s="91"/>
      <c r="GT554" s="91"/>
      <c r="GU554" s="91"/>
      <c r="GV554" s="91"/>
      <c r="GW554" s="91"/>
      <c r="GX554" s="91"/>
      <c r="GY554" s="91"/>
      <c r="GZ554" s="91"/>
      <c r="HA554" s="91"/>
      <c r="HB554" s="91"/>
      <c r="HC554" s="91"/>
      <c r="HD554" s="91"/>
      <c r="HE554" s="91"/>
      <c r="HF554" s="91"/>
      <c r="HG554" s="91"/>
      <c r="HH554" s="91"/>
      <c r="HI554" s="91"/>
      <c r="HJ554" s="91"/>
      <c r="HK554" s="91"/>
      <c r="HL554" s="91"/>
      <c r="HM554" s="91"/>
      <c r="HN554" s="91"/>
      <c r="HO554" s="91"/>
      <c r="HP554" s="91"/>
      <c r="HQ554" s="91"/>
      <c r="HR554" s="91"/>
      <c r="HS554" s="91"/>
      <c r="HT554" s="91"/>
      <c r="HU554" s="91"/>
      <c r="HV554" s="91"/>
      <c r="HW554" s="91"/>
      <c r="HX554" s="91"/>
      <c r="HY554" s="91"/>
      <c r="HZ554" s="91"/>
      <c r="IA554" s="91"/>
    </row>
    <row r="555" spans="1:16" ht="12.75" customHeight="1">
      <c r="A555" s="20" t="s">
        <v>4</v>
      </c>
      <c r="B555" s="7"/>
      <c r="C555" s="7"/>
      <c r="D555" s="62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ht="11.25">
      <c r="A556" s="21" t="s">
        <v>63</v>
      </c>
      <c r="B556" s="7"/>
      <c r="C556" s="7"/>
      <c r="D556" s="62"/>
      <c r="E556" s="14"/>
      <c r="F556" s="14"/>
      <c r="G556" s="14">
        <v>70100</v>
      </c>
      <c r="H556" s="14"/>
      <c r="I556" s="14"/>
      <c r="J556" s="14">
        <f>G556</f>
        <v>70100</v>
      </c>
      <c r="K556" s="14"/>
      <c r="L556" s="14"/>
      <c r="M556" s="14"/>
      <c r="N556" s="14"/>
      <c r="O556" s="14"/>
      <c r="P556" s="14"/>
    </row>
    <row r="557" spans="1:16" ht="11.25">
      <c r="A557" s="20" t="s">
        <v>5</v>
      </c>
      <c r="B557" s="7"/>
      <c r="C557" s="7"/>
      <c r="D557" s="62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ht="15" customHeight="1">
      <c r="A558" s="21" t="s">
        <v>300</v>
      </c>
      <c r="B558" s="7"/>
      <c r="C558" s="7"/>
      <c r="D558" s="62"/>
      <c r="E558" s="14"/>
      <c r="F558" s="14"/>
      <c r="G558" s="14">
        <v>1</v>
      </c>
      <c r="H558" s="14"/>
      <c r="I558" s="14"/>
      <c r="J558" s="14">
        <v>1</v>
      </c>
      <c r="K558" s="14"/>
      <c r="L558" s="14"/>
      <c r="M558" s="14"/>
      <c r="N558" s="14"/>
      <c r="O558" s="14"/>
      <c r="P558" s="14"/>
    </row>
    <row r="559" spans="1:16" ht="11.25">
      <c r="A559" s="20" t="s">
        <v>7</v>
      </c>
      <c r="B559" s="7"/>
      <c r="C559" s="7"/>
      <c r="D559" s="62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ht="22.5">
      <c r="A560" s="21" t="s">
        <v>301</v>
      </c>
      <c r="B560" s="7"/>
      <c r="C560" s="7"/>
      <c r="D560" s="62"/>
      <c r="E560" s="14"/>
      <c r="F560" s="14"/>
      <c r="G560" s="14">
        <v>70100</v>
      </c>
      <c r="H560" s="14"/>
      <c r="I560" s="14"/>
      <c r="J560" s="14">
        <f>G560</f>
        <v>70100</v>
      </c>
      <c r="K560" s="14"/>
      <c r="L560" s="14"/>
      <c r="M560" s="14"/>
      <c r="N560" s="14"/>
      <c r="O560" s="14"/>
      <c r="P560" s="14"/>
    </row>
    <row r="561" spans="1:235" s="92" customFormat="1" ht="24.75" customHeight="1">
      <c r="A561" s="82" t="s">
        <v>403</v>
      </c>
      <c r="B561" s="88"/>
      <c r="C561" s="88"/>
      <c r="D561" s="89"/>
      <c r="E561" s="89"/>
      <c r="F561" s="89"/>
      <c r="G561" s="89">
        <f>G565*G567</f>
        <v>50100</v>
      </c>
      <c r="H561" s="89"/>
      <c r="I561" s="89"/>
      <c r="J561" s="89">
        <f>G561</f>
        <v>50100</v>
      </c>
      <c r="K561" s="89"/>
      <c r="L561" s="89"/>
      <c r="M561" s="89"/>
      <c r="N561" s="89"/>
      <c r="O561" s="89"/>
      <c r="P561" s="89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  <c r="CP561" s="91"/>
      <c r="CQ561" s="91"/>
      <c r="CR561" s="91"/>
      <c r="CS561" s="91"/>
      <c r="CT561" s="91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91"/>
      <c r="DL561" s="91"/>
      <c r="DM561" s="91"/>
      <c r="DN561" s="91"/>
      <c r="DO561" s="91"/>
      <c r="DP561" s="91"/>
      <c r="DQ561" s="91"/>
      <c r="DR561" s="91"/>
      <c r="DS561" s="91"/>
      <c r="DT561" s="91"/>
      <c r="DU561" s="91"/>
      <c r="DV561" s="91"/>
      <c r="DW561" s="91"/>
      <c r="DX561" s="91"/>
      <c r="DY561" s="91"/>
      <c r="DZ561" s="91"/>
      <c r="EA561" s="91"/>
      <c r="EB561" s="91"/>
      <c r="EC561" s="91"/>
      <c r="ED561" s="91"/>
      <c r="EE561" s="91"/>
      <c r="EF561" s="91"/>
      <c r="EG561" s="91"/>
      <c r="EH561" s="91"/>
      <c r="EI561" s="91"/>
      <c r="EJ561" s="91"/>
      <c r="EK561" s="91"/>
      <c r="EL561" s="91"/>
      <c r="EM561" s="91"/>
      <c r="EN561" s="91"/>
      <c r="EO561" s="91"/>
      <c r="EP561" s="91"/>
      <c r="EQ561" s="91"/>
      <c r="ER561" s="91"/>
      <c r="ES561" s="91"/>
      <c r="ET561" s="91"/>
      <c r="EU561" s="91"/>
      <c r="EV561" s="91"/>
      <c r="EW561" s="91"/>
      <c r="EX561" s="91"/>
      <c r="EY561" s="91"/>
      <c r="EZ561" s="91"/>
      <c r="FA561" s="91"/>
      <c r="FB561" s="91"/>
      <c r="FC561" s="91"/>
      <c r="FD561" s="91"/>
      <c r="FE561" s="91"/>
      <c r="FF561" s="91"/>
      <c r="FG561" s="91"/>
      <c r="FH561" s="91"/>
      <c r="FI561" s="91"/>
      <c r="FJ561" s="91"/>
      <c r="FK561" s="91"/>
      <c r="FL561" s="91"/>
      <c r="FM561" s="91"/>
      <c r="FN561" s="91"/>
      <c r="FO561" s="91"/>
      <c r="FP561" s="91"/>
      <c r="FQ561" s="91"/>
      <c r="FR561" s="91"/>
      <c r="FS561" s="91"/>
      <c r="FT561" s="91"/>
      <c r="FU561" s="91"/>
      <c r="FV561" s="91"/>
      <c r="FW561" s="91"/>
      <c r="FX561" s="91"/>
      <c r="FY561" s="91"/>
      <c r="FZ561" s="91"/>
      <c r="GA561" s="91"/>
      <c r="GB561" s="91"/>
      <c r="GC561" s="91"/>
      <c r="GD561" s="91"/>
      <c r="GE561" s="91"/>
      <c r="GF561" s="91"/>
      <c r="GG561" s="91"/>
      <c r="GH561" s="91"/>
      <c r="GI561" s="91"/>
      <c r="GJ561" s="91"/>
      <c r="GK561" s="91"/>
      <c r="GL561" s="91"/>
      <c r="GM561" s="91"/>
      <c r="GN561" s="91"/>
      <c r="GO561" s="91"/>
      <c r="GP561" s="91"/>
      <c r="GQ561" s="91"/>
      <c r="GR561" s="91"/>
      <c r="GS561" s="91"/>
      <c r="GT561" s="91"/>
      <c r="GU561" s="91"/>
      <c r="GV561" s="91"/>
      <c r="GW561" s="91"/>
      <c r="GX561" s="91"/>
      <c r="GY561" s="91"/>
      <c r="GZ561" s="91"/>
      <c r="HA561" s="91"/>
      <c r="HB561" s="91"/>
      <c r="HC561" s="91"/>
      <c r="HD561" s="91"/>
      <c r="HE561" s="91"/>
      <c r="HF561" s="91"/>
      <c r="HG561" s="91"/>
      <c r="HH561" s="91"/>
      <c r="HI561" s="91"/>
      <c r="HJ561" s="91"/>
      <c r="HK561" s="91"/>
      <c r="HL561" s="91"/>
      <c r="HM561" s="91"/>
      <c r="HN561" s="91"/>
      <c r="HO561" s="91"/>
      <c r="HP561" s="91"/>
      <c r="HQ561" s="91"/>
      <c r="HR561" s="91"/>
      <c r="HS561" s="91"/>
      <c r="HT561" s="91"/>
      <c r="HU561" s="91"/>
      <c r="HV561" s="91"/>
      <c r="HW561" s="91"/>
      <c r="HX561" s="91"/>
      <c r="HY561" s="91"/>
      <c r="HZ561" s="91"/>
      <c r="IA561" s="91"/>
    </row>
    <row r="562" spans="1:16" ht="11.25">
      <c r="A562" s="20" t="s">
        <v>4</v>
      </c>
      <c r="B562" s="7"/>
      <c r="C562" s="7"/>
      <c r="D562" s="62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ht="11.25">
      <c r="A563" s="21" t="s">
        <v>63</v>
      </c>
      <c r="B563" s="7"/>
      <c r="C563" s="7"/>
      <c r="D563" s="62"/>
      <c r="E563" s="14"/>
      <c r="F563" s="14"/>
      <c r="G563" s="14">
        <v>50100</v>
      </c>
      <c r="H563" s="14"/>
      <c r="I563" s="14"/>
      <c r="J563" s="14">
        <f>G563</f>
        <v>50100</v>
      </c>
      <c r="K563" s="14"/>
      <c r="L563" s="14"/>
      <c r="M563" s="14"/>
      <c r="N563" s="14"/>
      <c r="O563" s="14"/>
      <c r="P563" s="14"/>
    </row>
    <row r="564" spans="1:16" ht="11.25">
      <c r="A564" s="20" t="s">
        <v>5</v>
      </c>
      <c r="B564" s="7"/>
      <c r="C564" s="7"/>
      <c r="D564" s="62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ht="14.25" customHeight="1">
      <c r="A565" s="21" t="s">
        <v>300</v>
      </c>
      <c r="B565" s="7"/>
      <c r="C565" s="7"/>
      <c r="D565" s="62"/>
      <c r="E565" s="14"/>
      <c r="F565" s="14"/>
      <c r="G565" s="14">
        <v>1</v>
      </c>
      <c r="H565" s="14"/>
      <c r="I565" s="14"/>
      <c r="J565" s="14">
        <v>1</v>
      </c>
      <c r="K565" s="14"/>
      <c r="L565" s="14"/>
      <c r="M565" s="14"/>
      <c r="N565" s="14"/>
      <c r="O565" s="14"/>
      <c r="P565" s="14"/>
    </row>
    <row r="566" spans="1:16" ht="12" customHeight="1">
      <c r="A566" s="20" t="s">
        <v>7</v>
      </c>
      <c r="B566" s="7"/>
      <c r="C566" s="7"/>
      <c r="D566" s="62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ht="24.75" customHeight="1">
      <c r="A567" s="21" t="s">
        <v>301</v>
      </c>
      <c r="B567" s="7"/>
      <c r="C567" s="7"/>
      <c r="D567" s="62"/>
      <c r="E567" s="14"/>
      <c r="F567" s="14"/>
      <c r="G567" s="14">
        <v>50100</v>
      </c>
      <c r="H567" s="14"/>
      <c r="I567" s="14"/>
      <c r="J567" s="14">
        <f>G567</f>
        <v>50100</v>
      </c>
      <c r="K567" s="14"/>
      <c r="L567" s="14"/>
      <c r="M567" s="14"/>
      <c r="N567" s="14"/>
      <c r="O567" s="14"/>
      <c r="P567" s="14"/>
    </row>
    <row r="568" spans="1:235" s="92" customFormat="1" ht="24.75" customHeight="1">
      <c r="A568" s="82" t="s">
        <v>404</v>
      </c>
      <c r="B568" s="88"/>
      <c r="C568" s="88"/>
      <c r="D568" s="89"/>
      <c r="E568" s="89"/>
      <c r="F568" s="89"/>
      <c r="G568" s="89"/>
      <c r="H568" s="89">
        <f>H572*H574</f>
        <v>4469999.99994</v>
      </c>
      <c r="I568" s="89"/>
      <c r="J568" s="89">
        <f>G568+H568</f>
        <v>4469999.99994</v>
      </c>
      <c r="K568" s="89"/>
      <c r="L568" s="89"/>
      <c r="M568" s="89"/>
      <c r="N568" s="89"/>
      <c r="O568" s="89">
        <f>O572*O574</f>
        <v>0</v>
      </c>
      <c r="P568" s="89">
        <f>O568</f>
        <v>0</v>
      </c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  <c r="CO568" s="91"/>
      <c r="CP568" s="91"/>
      <c r="CQ568" s="91"/>
      <c r="CR568" s="91"/>
      <c r="CS568" s="91"/>
      <c r="CT568" s="91"/>
      <c r="CU568" s="91"/>
      <c r="CV568" s="91"/>
      <c r="CW568" s="91"/>
      <c r="CX568" s="91"/>
      <c r="CY568" s="91"/>
      <c r="CZ568" s="91"/>
      <c r="DA568" s="91"/>
      <c r="DB568" s="91"/>
      <c r="DC568" s="91"/>
      <c r="DD568" s="91"/>
      <c r="DE568" s="91"/>
      <c r="DF568" s="91"/>
      <c r="DG568" s="91"/>
      <c r="DH568" s="91"/>
      <c r="DI568" s="91"/>
      <c r="DJ568" s="91"/>
      <c r="DK568" s="91"/>
      <c r="DL568" s="91"/>
      <c r="DM568" s="91"/>
      <c r="DN568" s="91"/>
      <c r="DO568" s="91"/>
      <c r="DP568" s="91"/>
      <c r="DQ568" s="91"/>
      <c r="DR568" s="91"/>
      <c r="DS568" s="91"/>
      <c r="DT568" s="91"/>
      <c r="DU568" s="91"/>
      <c r="DV568" s="91"/>
      <c r="DW568" s="91"/>
      <c r="DX568" s="91"/>
      <c r="DY568" s="91"/>
      <c r="DZ568" s="91"/>
      <c r="EA568" s="91"/>
      <c r="EB568" s="91"/>
      <c r="EC568" s="91"/>
      <c r="ED568" s="91"/>
      <c r="EE568" s="91"/>
      <c r="EF568" s="91"/>
      <c r="EG568" s="91"/>
      <c r="EH568" s="91"/>
      <c r="EI568" s="91"/>
      <c r="EJ568" s="91"/>
      <c r="EK568" s="91"/>
      <c r="EL568" s="91"/>
      <c r="EM568" s="91"/>
      <c r="EN568" s="91"/>
      <c r="EO568" s="91"/>
      <c r="EP568" s="91"/>
      <c r="EQ568" s="91"/>
      <c r="ER568" s="91"/>
      <c r="ES568" s="91"/>
      <c r="ET568" s="91"/>
      <c r="EU568" s="91"/>
      <c r="EV568" s="91"/>
      <c r="EW568" s="91"/>
      <c r="EX568" s="91"/>
      <c r="EY568" s="91"/>
      <c r="EZ568" s="91"/>
      <c r="FA568" s="91"/>
      <c r="FB568" s="91"/>
      <c r="FC568" s="91"/>
      <c r="FD568" s="91"/>
      <c r="FE568" s="91"/>
      <c r="FF568" s="91"/>
      <c r="FG568" s="91"/>
      <c r="FH568" s="91"/>
      <c r="FI568" s="91"/>
      <c r="FJ568" s="91"/>
      <c r="FK568" s="91"/>
      <c r="FL568" s="91"/>
      <c r="FM568" s="91"/>
      <c r="FN568" s="91"/>
      <c r="FO568" s="91"/>
      <c r="FP568" s="91"/>
      <c r="FQ568" s="91"/>
      <c r="FR568" s="91"/>
      <c r="FS568" s="91"/>
      <c r="FT568" s="91"/>
      <c r="FU568" s="91"/>
      <c r="FV568" s="91"/>
      <c r="FW568" s="91"/>
      <c r="FX568" s="91"/>
      <c r="FY568" s="91"/>
      <c r="FZ568" s="91"/>
      <c r="GA568" s="91"/>
      <c r="GB568" s="91"/>
      <c r="GC568" s="91"/>
      <c r="GD568" s="91"/>
      <c r="GE568" s="91"/>
      <c r="GF568" s="91"/>
      <c r="GG568" s="91"/>
      <c r="GH568" s="91"/>
      <c r="GI568" s="91"/>
      <c r="GJ568" s="91"/>
      <c r="GK568" s="91"/>
      <c r="GL568" s="91"/>
      <c r="GM568" s="91"/>
      <c r="GN568" s="91"/>
      <c r="GO568" s="91"/>
      <c r="GP568" s="91"/>
      <c r="GQ568" s="91"/>
      <c r="GR568" s="91"/>
      <c r="GS568" s="91"/>
      <c r="GT568" s="91"/>
      <c r="GU568" s="91"/>
      <c r="GV568" s="91"/>
      <c r="GW568" s="91"/>
      <c r="GX568" s="91"/>
      <c r="GY568" s="91"/>
      <c r="GZ568" s="91"/>
      <c r="HA568" s="91"/>
      <c r="HB568" s="91"/>
      <c r="HC568" s="91"/>
      <c r="HD568" s="91"/>
      <c r="HE568" s="91"/>
      <c r="HF568" s="91"/>
      <c r="HG568" s="91"/>
      <c r="HH568" s="91"/>
      <c r="HI568" s="91"/>
      <c r="HJ568" s="91"/>
      <c r="HK568" s="91"/>
      <c r="HL568" s="91"/>
      <c r="HM568" s="91"/>
      <c r="HN568" s="91"/>
      <c r="HO568" s="91"/>
      <c r="HP568" s="91"/>
      <c r="HQ568" s="91"/>
      <c r="HR568" s="91"/>
      <c r="HS568" s="91"/>
      <c r="HT568" s="91"/>
      <c r="HU568" s="91"/>
      <c r="HV568" s="91"/>
      <c r="HW568" s="91"/>
      <c r="HX568" s="91"/>
      <c r="HY568" s="91"/>
      <c r="HZ568" s="91"/>
      <c r="IA568" s="91"/>
    </row>
    <row r="569" spans="1:16" ht="11.25">
      <c r="A569" s="20" t="s">
        <v>4</v>
      </c>
      <c r="B569" s="7"/>
      <c r="C569" s="7"/>
      <c r="D569" s="62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ht="11.25">
      <c r="A570" s="21" t="s">
        <v>63</v>
      </c>
      <c r="B570" s="7"/>
      <c r="C570" s="7"/>
      <c r="D570" s="62"/>
      <c r="E570" s="14"/>
      <c r="F570" s="14"/>
      <c r="G570" s="14"/>
      <c r="H570" s="14">
        <f>3129500+300702+664532+174600+200666</f>
        <v>4470000</v>
      </c>
      <c r="I570" s="14"/>
      <c r="J570" s="14">
        <f>G570+H570</f>
        <v>4470000</v>
      </c>
      <c r="K570" s="14"/>
      <c r="L570" s="14"/>
      <c r="M570" s="14"/>
      <c r="N570" s="14"/>
      <c r="O570" s="14">
        <f>O572*O574</f>
        <v>0</v>
      </c>
      <c r="P570" s="14">
        <f>O570</f>
        <v>0</v>
      </c>
    </row>
    <row r="571" spans="1:16" ht="11.25">
      <c r="A571" s="20" t="s">
        <v>5</v>
      </c>
      <c r="B571" s="7"/>
      <c r="C571" s="7"/>
      <c r="D571" s="62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ht="22.5">
      <c r="A572" s="93" t="s">
        <v>325</v>
      </c>
      <c r="B572" s="7"/>
      <c r="C572" s="7"/>
      <c r="D572" s="62"/>
      <c r="E572" s="14"/>
      <c r="F572" s="14"/>
      <c r="G572" s="14"/>
      <c r="H572" s="14">
        <v>9</v>
      </c>
      <c r="I572" s="14"/>
      <c r="J572" s="14">
        <f>G572+H572</f>
        <v>9</v>
      </c>
      <c r="K572" s="14"/>
      <c r="L572" s="14"/>
      <c r="M572" s="14"/>
      <c r="N572" s="14"/>
      <c r="O572" s="14">
        <v>10</v>
      </c>
      <c r="P572" s="14">
        <f>O572</f>
        <v>10</v>
      </c>
    </row>
    <row r="573" spans="1:16" ht="11.25">
      <c r="A573" s="20" t="s">
        <v>7</v>
      </c>
      <c r="B573" s="7"/>
      <c r="C573" s="7"/>
      <c r="D573" s="62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22.5">
      <c r="A574" s="55" t="s">
        <v>174</v>
      </c>
      <c r="B574" s="7"/>
      <c r="C574" s="7"/>
      <c r="D574" s="62"/>
      <c r="E574" s="14"/>
      <c r="F574" s="14"/>
      <c r="G574" s="14"/>
      <c r="H574" s="14">
        <v>496666.66666</v>
      </c>
      <c r="I574" s="14"/>
      <c r="J574" s="14">
        <f>G574+H574</f>
        <v>496666.66666</v>
      </c>
      <c r="K574" s="14"/>
      <c r="L574" s="14"/>
      <c r="M574" s="14"/>
      <c r="N574" s="14"/>
      <c r="O574" s="14"/>
      <c r="P574" s="14">
        <f>O574</f>
        <v>0</v>
      </c>
    </row>
    <row r="575" spans="1:235" s="85" customFormat="1" ht="13.5" customHeight="1">
      <c r="A575" s="108">
        <v>160101</v>
      </c>
      <c r="B575" s="77"/>
      <c r="C575" s="77"/>
      <c r="D575" s="89">
        <f>D578</f>
        <v>6000</v>
      </c>
      <c r="E575" s="89">
        <v>0</v>
      </c>
      <c r="F575" s="89">
        <f>D575</f>
        <v>6000</v>
      </c>
      <c r="G575" s="89">
        <f>G578</f>
        <v>495500</v>
      </c>
      <c r="H575" s="89">
        <f>H578</f>
        <v>0</v>
      </c>
      <c r="I575" s="89">
        <f>I578</f>
        <v>0</v>
      </c>
      <c r="J575" s="89">
        <f>J578</f>
        <v>495500</v>
      </c>
      <c r="K575" s="89"/>
      <c r="L575" s="89"/>
      <c r="M575" s="89"/>
      <c r="N575" s="89">
        <f>N578</f>
        <v>7799999.99999441</v>
      </c>
      <c r="O575" s="89">
        <f>O578</f>
        <v>0</v>
      </c>
      <c r="P575" s="89">
        <f>P578</f>
        <v>7799999.99999441</v>
      </c>
      <c r="Q575" s="89">
        <v>5500</v>
      </c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  <c r="BD575" s="121"/>
      <c r="BE575" s="121"/>
      <c r="BF575" s="121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21"/>
      <c r="BS575" s="121"/>
      <c r="BT575" s="121"/>
      <c r="BU575" s="121"/>
      <c r="BV575" s="121"/>
      <c r="BW575" s="121"/>
      <c r="BX575" s="121"/>
      <c r="BY575" s="121"/>
      <c r="BZ575" s="121"/>
      <c r="CA575" s="121"/>
      <c r="CB575" s="121"/>
      <c r="CC575" s="121"/>
      <c r="CD575" s="121"/>
      <c r="CE575" s="121"/>
      <c r="CF575" s="121"/>
      <c r="CG575" s="121"/>
      <c r="CH575" s="121"/>
      <c r="CI575" s="121"/>
      <c r="CJ575" s="121"/>
      <c r="CK575" s="121"/>
      <c r="CL575" s="121"/>
      <c r="CM575" s="121"/>
      <c r="CN575" s="121"/>
      <c r="CO575" s="121"/>
      <c r="CP575" s="121"/>
      <c r="CQ575" s="121"/>
      <c r="CR575" s="121"/>
      <c r="CS575" s="121"/>
      <c r="CT575" s="121"/>
      <c r="CU575" s="121"/>
      <c r="CV575" s="121"/>
      <c r="CW575" s="121"/>
      <c r="CX575" s="121"/>
      <c r="CY575" s="121"/>
      <c r="CZ575" s="121"/>
      <c r="DA575" s="121"/>
      <c r="DB575" s="121"/>
      <c r="DC575" s="121"/>
      <c r="DD575" s="121"/>
      <c r="DE575" s="121"/>
      <c r="DF575" s="121"/>
      <c r="DG575" s="121"/>
      <c r="DH575" s="121"/>
      <c r="DI575" s="121"/>
      <c r="DJ575" s="121"/>
      <c r="DK575" s="121"/>
      <c r="DL575" s="121"/>
      <c r="DM575" s="121"/>
      <c r="DN575" s="121"/>
      <c r="DO575" s="121"/>
      <c r="DP575" s="121"/>
      <c r="DQ575" s="121"/>
      <c r="DR575" s="121"/>
      <c r="DS575" s="121"/>
      <c r="DT575" s="121"/>
      <c r="DU575" s="121"/>
      <c r="DV575" s="121"/>
      <c r="DW575" s="121"/>
      <c r="DX575" s="121"/>
      <c r="DY575" s="121"/>
      <c r="DZ575" s="121"/>
      <c r="EA575" s="121"/>
      <c r="EB575" s="121"/>
      <c r="EC575" s="121"/>
      <c r="ED575" s="121"/>
      <c r="EE575" s="121"/>
      <c r="EF575" s="121"/>
      <c r="EG575" s="121"/>
      <c r="EH575" s="121"/>
      <c r="EI575" s="121"/>
      <c r="EJ575" s="121"/>
      <c r="EK575" s="121"/>
      <c r="EL575" s="121"/>
      <c r="EM575" s="121"/>
      <c r="EN575" s="121"/>
      <c r="EO575" s="121"/>
      <c r="EP575" s="121"/>
      <c r="EQ575" s="121"/>
      <c r="ER575" s="121"/>
      <c r="ES575" s="121"/>
      <c r="ET575" s="121"/>
      <c r="EU575" s="121"/>
      <c r="EV575" s="121"/>
      <c r="EW575" s="121"/>
      <c r="EX575" s="121"/>
      <c r="EY575" s="121"/>
      <c r="EZ575" s="121"/>
      <c r="FA575" s="121"/>
      <c r="FB575" s="121"/>
      <c r="FC575" s="121"/>
      <c r="FD575" s="121"/>
      <c r="FE575" s="121"/>
      <c r="FF575" s="121"/>
      <c r="FG575" s="121"/>
      <c r="FH575" s="121"/>
      <c r="FI575" s="121"/>
      <c r="FJ575" s="121"/>
      <c r="FK575" s="121"/>
      <c r="FL575" s="121"/>
      <c r="FM575" s="121"/>
      <c r="FN575" s="121"/>
      <c r="FO575" s="121"/>
      <c r="FP575" s="121"/>
      <c r="FQ575" s="121"/>
      <c r="FR575" s="121"/>
      <c r="FS575" s="121"/>
      <c r="FT575" s="121"/>
      <c r="FU575" s="121"/>
      <c r="FV575" s="121"/>
      <c r="FW575" s="121"/>
      <c r="FX575" s="121"/>
      <c r="FY575" s="121"/>
      <c r="FZ575" s="121"/>
      <c r="GA575" s="121"/>
      <c r="GB575" s="121"/>
      <c r="GC575" s="121"/>
      <c r="GD575" s="121"/>
      <c r="GE575" s="121"/>
      <c r="GF575" s="121"/>
      <c r="GG575" s="121"/>
      <c r="GH575" s="121"/>
      <c r="GI575" s="121"/>
      <c r="GJ575" s="121"/>
      <c r="GK575" s="121"/>
      <c r="GL575" s="121"/>
      <c r="GM575" s="121"/>
      <c r="GN575" s="121"/>
      <c r="GO575" s="121"/>
      <c r="GP575" s="121"/>
      <c r="GQ575" s="121"/>
      <c r="GR575" s="121"/>
      <c r="GS575" s="121"/>
      <c r="GT575" s="121"/>
      <c r="GU575" s="121"/>
      <c r="GV575" s="121"/>
      <c r="GW575" s="121"/>
      <c r="GX575" s="121"/>
      <c r="GY575" s="121"/>
      <c r="GZ575" s="121"/>
      <c r="HA575" s="121"/>
      <c r="HB575" s="121"/>
      <c r="HC575" s="121"/>
      <c r="HD575" s="121"/>
      <c r="HE575" s="121"/>
      <c r="HF575" s="121"/>
      <c r="HG575" s="121"/>
      <c r="HH575" s="121"/>
      <c r="HI575" s="121"/>
      <c r="HJ575" s="121"/>
      <c r="HK575" s="121"/>
      <c r="HL575" s="121"/>
      <c r="HM575" s="121"/>
      <c r="HN575" s="121"/>
      <c r="HO575" s="121"/>
      <c r="HP575" s="121"/>
      <c r="HQ575" s="121"/>
      <c r="HR575" s="121"/>
      <c r="HS575" s="121"/>
      <c r="HT575" s="121"/>
      <c r="HU575" s="121"/>
      <c r="HV575" s="121"/>
      <c r="HW575" s="121"/>
      <c r="HX575" s="121"/>
      <c r="HY575" s="121"/>
      <c r="HZ575" s="121"/>
      <c r="IA575" s="121"/>
    </row>
    <row r="576" spans="1:17" ht="35.25" customHeight="1">
      <c r="A576" s="22" t="s">
        <v>249</v>
      </c>
      <c r="B576" s="7"/>
      <c r="C576" s="7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6"/>
    </row>
    <row r="577" spans="1:17" ht="24.75" customHeight="1">
      <c r="A577" s="21" t="s">
        <v>246</v>
      </c>
      <c r="B577" s="7"/>
      <c r="C577" s="7"/>
      <c r="D577" s="62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6"/>
    </row>
    <row r="578" spans="1:235" s="92" customFormat="1" ht="15" customHeight="1">
      <c r="A578" s="82" t="s">
        <v>405</v>
      </c>
      <c r="B578" s="88"/>
      <c r="C578" s="88"/>
      <c r="D578" s="144">
        <f>D580</f>
        <v>6000</v>
      </c>
      <c r="E578" s="144"/>
      <c r="F578" s="144">
        <f>D578</f>
        <v>6000</v>
      </c>
      <c r="G578" s="89">
        <f>G580</f>
        <v>495500</v>
      </c>
      <c r="H578" s="89">
        <v>0</v>
      </c>
      <c r="I578" s="89">
        <f>I580</f>
        <v>0</v>
      </c>
      <c r="J578" s="89">
        <f>J580</f>
        <v>495500</v>
      </c>
      <c r="K578" s="89"/>
      <c r="L578" s="89"/>
      <c r="M578" s="89"/>
      <c r="N578" s="89">
        <f>N584*N588</f>
        <v>7799999.99999441</v>
      </c>
      <c r="O578" s="89"/>
      <c r="P578" s="89">
        <f>N578</f>
        <v>7799999.99999441</v>
      </c>
      <c r="Q578" s="90">
        <v>5500</v>
      </c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  <c r="CO578" s="91"/>
      <c r="CP578" s="91"/>
      <c r="CQ578" s="91"/>
      <c r="CR578" s="91"/>
      <c r="CS578" s="91"/>
      <c r="CT578" s="91"/>
      <c r="CU578" s="91"/>
      <c r="CV578" s="91"/>
      <c r="CW578" s="91"/>
      <c r="CX578" s="91"/>
      <c r="CY578" s="91"/>
      <c r="CZ578" s="91"/>
      <c r="DA578" s="91"/>
      <c r="DB578" s="91"/>
      <c r="DC578" s="91"/>
      <c r="DD578" s="91"/>
      <c r="DE578" s="91"/>
      <c r="DF578" s="91"/>
      <c r="DG578" s="91"/>
      <c r="DH578" s="91"/>
      <c r="DI578" s="91"/>
      <c r="DJ578" s="91"/>
      <c r="DK578" s="91"/>
      <c r="DL578" s="91"/>
      <c r="DM578" s="91"/>
      <c r="DN578" s="91"/>
      <c r="DO578" s="91"/>
      <c r="DP578" s="91"/>
      <c r="DQ578" s="91"/>
      <c r="DR578" s="91"/>
      <c r="DS578" s="91"/>
      <c r="DT578" s="91"/>
      <c r="DU578" s="91"/>
      <c r="DV578" s="91"/>
      <c r="DW578" s="91"/>
      <c r="DX578" s="91"/>
      <c r="DY578" s="91"/>
      <c r="DZ578" s="91"/>
      <c r="EA578" s="91"/>
      <c r="EB578" s="91"/>
      <c r="EC578" s="91"/>
      <c r="ED578" s="91"/>
      <c r="EE578" s="91"/>
      <c r="EF578" s="91"/>
      <c r="EG578" s="91"/>
      <c r="EH578" s="91"/>
      <c r="EI578" s="91"/>
      <c r="EJ578" s="91"/>
      <c r="EK578" s="91"/>
      <c r="EL578" s="91"/>
      <c r="EM578" s="91"/>
      <c r="EN578" s="91"/>
      <c r="EO578" s="91"/>
      <c r="EP578" s="91"/>
      <c r="EQ578" s="91"/>
      <c r="ER578" s="91"/>
      <c r="ES578" s="91"/>
      <c r="ET578" s="91"/>
      <c r="EU578" s="91"/>
      <c r="EV578" s="91"/>
      <c r="EW578" s="91"/>
      <c r="EX578" s="91"/>
      <c r="EY578" s="91"/>
      <c r="EZ578" s="91"/>
      <c r="FA578" s="91"/>
      <c r="FB578" s="91"/>
      <c r="FC578" s="91"/>
      <c r="FD578" s="91"/>
      <c r="FE578" s="91"/>
      <c r="FF578" s="91"/>
      <c r="FG578" s="91"/>
      <c r="FH578" s="91"/>
      <c r="FI578" s="91"/>
      <c r="FJ578" s="91"/>
      <c r="FK578" s="91"/>
      <c r="FL578" s="91"/>
      <c r="FM578" s="91"/>
      <c r="FN578" s="91"/>
      <c r="FO578" s="91"/>
      <c r="FP578" s="91"/>
      <c r="FQ578" s="91"/>
      <c r="FR578" s="91"/>
      <c r="FS578" s="91"/>
      <c r="FT578" s="91"/>
      <c r="FU578" s="91"/>
      <c r="FV578" s="91"/>
      <c r="FW578" s="91"/>
      <c r="FX578" s="91"/>
      <c r="FY578" s="91"/>
      <c r="FZ578" s="91"/>
      <c r="GA578" s="91"/>
      <c r="GB578" s="91"/>
      <c r="GC578" s="91"/>
      <c r="GD578" s="91"/>
      <c r="GE578" s="91"/>
      <c r="GF578" s="91"/>
      <c r="GG578" s="91"/>
      <c r="GH578" s="91"/>
      <c r="GI578" s="91"/>
      <c r="GJ578" s="91"/>
      <c r="GK578" s="91"/>
      <c r="GL578" s="91"/>
      <c r="GM578" s="91"/>
      <c r="GN578" s="91"/>
      <c r="GO578" s="91"/>
      <c r="GP578" s="91"/>
      <c r="GQ578" s="91"/>
      <c r="GR578" s="91"/>
      <c r="GS578" s="91"/>
      <c r="GT578" s="91"/>
      <c r="GU578" s="91"/>
      <c r="GV578" s="91"/>
      <c r="GW578" s="91"/>
      <c r="GX578" s="91"/>
      <c r="GY578" s="91"/>
      <c r="GZ578" s="91"/>
      <c r="HA578" s="91"/>
      <c r="HB578" s="91"/>
      <c r="HC578" s="91"/>
      <c r="HD578" s="91"/>
      <c r="HE578" s="91"/>
      <c r="HF578" s="91"/>
      <c r="HG578" s="91"/>
      <c r="HH578" s="91"/>
      <c r="HI578" s="91"/>
      <c r="HJ578" s="91"/>
      <c r="HK578" s="91"/>
      <c r="HL578" s="91"/>
      <c r="HM578" s="91"/>
      <c r="HN578" s="91"/>
      <c r="HO578" s="91"/>
      <c r="HP578" s="91"/>
      <c r="HQ578" s="91"/>
      <c r="HR578" s="91"/>
      <c r="HS578" s="91"/>
      <c r="HT578" s="91"/>
      <c r="HU578" s="91"/>
      <c r="HV578" s="91"/>
      <c r="HW578" s="91"/>
      <c r="HX578" s="91"/>
      <c r="HY578" s="91"/>
      <c r="HZ578" s="91"/>
      <c r="IA578" s="91"/>
    </row>
    <row r="579" spans="1:17" ht="12" customHeight="1">
      <c r="A579" s="20" t="s">
        <v>4</v>
      </c>
      <c r="B579" s="7"/>
      <c r="C579" s="7"/>
      <c r="D579" s="145"/>
      <c r="E579" s="146"/>
      <c r="F579" s="146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6"/>
    </row>
    <row r="580" spans="1:17" ht="12" customHeight="1">
      <c r="A580" s="21" t="s">
        <v>63</v>
      </c>
      <c r="B580" s="7"/>
      <c r="C580" s="7"/>
      <c r="D580" s="145">
        <f>(D582*D586)+(D583*D587)</f>
        <v>6000</v>
      </c>
      <c r="E580" s="146"/>
      <c r="F580" s="146">
        <f>D580</f>
        <v>6000</v>
      </c>
      <c r="G580" s="14">
        <v>495500</v>
      </c>
      <c r="H580" s="14"/>
      <c r="I580" s="14"/>
      <c r="J580" s="14">
        <f>J584*J588-1.6</f>
        <v>495500</v>
      </c>
      <c r="K580" s="14"/>
      <c r="L580" s="14"/>
      <c r="M580" s="14"/>
      <c r="N580" s="14">
        <f>N584*N588</f>
        <v>7799999.99999441</v>
      </c>
      <c r="O580" s="14"/>
      <c r="P580" s="14">
        <f>N580</f>
        <v>7799999.99999441</v>
      </c>
      <c r="Q580" s="6">
        <v>5500</v>
      </c>
    </row>
    <row r="581" spans="1:17" ht="12.75" customHeight="1">
      <c r="A581" s="20" t="s">
        <v>5</v>
      </c>
      <c r="B581" s="7"/>
      <c r="C581" s="7"/>
      <c r="D581" s="145"/>
      <c r="E581" s="146"/>
      <c r="F581" s="146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6"/>
    </row>
    <row r="582" spans="1:17" ht="23.25" customHeight="1">
      <c r="A582" s="21" t="s">
        <v>251</v>
      </c>
      <c r="B582" s="7"/>
      <c r="C582" s="7"/>
      <c r="D582" s="145">
        <v>1</v>
      </c>
      <c r="E582" s="146"/>
      <c r="F582" s="146">
        <f>D582</f>
        <v>1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9">
        <v>1</v>
      </c>
    </row>
    <row r="583" spans="1:17" ht="22.5">
      <c r="A583" s="21" t="s">
        <v>264</v>
      </c>
      <c r="B583" s="7"/>
      <c r="C583" s="7"/>
      <c r="D583" s="145">
        <v>1</v>
      </c>
      <c r="E583" s="146"/>
      <c r="F583" s="146">
        <v>1</v>
      </c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9"/>
    </row>
    <row r="584" spans="1:17" ht="22.5">
      <c r="A584" s="21" t="s">
        <v>298</v>
      </c>
      <c r="B584" s="7"/>
      <c r="C584" s="7"/>
      <c r="D584" s="145"/>
      <c r="E584" s="146"/>
      <c r="F584" s="146"/>
      <c r="G584" s="187">
        <v>165</v>
      </c>
      <c r="H584" s="14"/>
      <c r="I584" s="14"/>
      <c r="J584" s="14">
        <v>165</v>
      </c>
      <c r="K584" s="14"/>
      <c r="L584" s="14"/>
      <c r="M584" s="14"/>
      <c r="N584" s="14">
        <v>2437</v>
      </c>
      <c r="O584" s="14"/>
      <c r="P584" s="14">
        <f>N584</f>
        <v>2437</v>
      </c>
      <c r="Q584" s="9"/>
    </row>
    <row r="585" spans="1:17" ht="12.75" customHeight="1">
      <c r="A585" s="20" t="s">
        <v>7</v>
      </c>
      <c r="B585" s="7"/>
      <c r="C585" s="7"/>
      <c r="D585" s="145"/>
      <c r="E585" s="146"/>
      <c r="F585" s="146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6"/>
    </row>
    <row r="586" spans="1:17" ht="24" customHeight="1">
      <c r="A586" s="21" t="s">
        <v>250</v>
      </c>
      <c r="B586" s="7"/>
      <c r="C586" s="7"/>
      <c r="D586" s="145">
        <v>3000</v>
      </c>
      <c r="E586" s="146"/>
      <c r="F586" s="146">
        <f>D586</f>
        <v>3000</v>
      </c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6"/>
    </row>
    <row r="587" spans="1:17" ht="26.25" customHeight="1">
      <c r="A587" s="21" t="s">
        <v>265</v>
      </c>
      <c r="B587" s="7"/>
      <c r="C587" s="7"/>
      <c r="D587" s="147">
        <v>3000</v>
      </c>
      <c r="E587" s="132"/>
      <c r="F587" s="132">
        <f>D587</f>
        <v>3000</v>
      </c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6">
        <v>5500</v>
      </c>
    </row>
    <row r="588" spans="1:17" ht="22.5">
      <c r="A588" s="21" t="s">
        <v>299</v>
      </c>
      <c r="B588" s="7"/>
      <c r="C588" s="7"/>
      <c r="D588" s="147"/>
      <c r="E588" s="132"/>
      <c r="F588" s="132"/>
      <c r="G588" s="14">
        <v>3003.03</v>
      </c>
      <c r="H588" s="14"/>
      <c r="I588" s="14"/>
      <c r="J588" s="14">
        <v>3003.04</v>
      </c>
      <c r="K588" s="14"/>
      <c r="L588" s="14"/>
      <c r="M588" s="14"/>
      <c r="N588" s="14">
        <v>3200.65654493</v>
      </c>
      <c r="O588" s="14"/>
      <c r="P588" s="14">
        <f>N588</f>
        <v>3200.65654493</v>
      </c>
      <c r="Q588" s="73"/>
    </row>
    <row r="589" spans="1:235" s="85" customFormat="1" ht="12">
      <c r="A589" s="108">
        <v>250903</v>
      </c>
      <c r="B589" s="77"/>
      <c r="C589" s="77"/>
      <c r="D589" s="89">
        <f>D592</f>
        <v>1214000</v>
      </c>
      <c r="E589" s="89">
        <v>0</v>
      </c>
      <c r="F589" s="89">
        <f>D589</f>
        <v>1214000</v>
      </c>
      <c r="G589" s="89">
        <f>G592</f>
        <v>8080000</v>
      </c>
      <c r="H589" s="89"/>
      <c r="I589" s="89">
        <f>I592</f>
        <v>0</v>
      </c>
      <c r="J589" s="89">
        <f>J592</f>
        <v>8080000</v>
      </c>
      <c r="K589" s="89"/>
      <c r="L589" s="89"/>
      <c r="M589" s="89"/>
      <c r="N589" s="89"/>
      <c r="O589" s="89"/>
      <c r="P589" s="89"/>
      <c r="Q589" s="84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21"/>
      <c r="BS589" s="121"/>
      <c r="BT589" s="121"/>
      <c r="BU589" s="121"/>
      <c r="BV589" s="121"/>
      <c r="BW589" s="121"/>
      <c r="BX589" s="121"/>
      <c r="BY589" s="121"/>
      <c r="BZ589" s="121"/>
      <c r="CA589" s="121"/>
      <c r="CB589" s="121"/>
      <c r="CC589" s="121"/>
      <c r="CD589" s="121"/>
      <c r="CE589" s="121"/>
      <c r="CF589" s="121"/>
      <c r="CG589" s="121"/>
      <c r="CH589" s="121"/>
      <c r="CI589" s="121"/>
      <c r="CJ589" s="121"/>
      <c r="CK589" s="121"/>
      <c r="CL589" s="121"/>
      <c r="CM589" s="121"/>
      <c r="CN589" s="121"/>
      <c r="CO589" s="121"/>
      <c r="CP589" s="121"/>
      <c r="CQ589" s="121"/>
      <c r="CR589" s="121"/>
      <c r="CS589" s="121"/>
      <c r="CT589" s="121"/>
      <c r="CU589" s="121"/>
      <c r="CV589" s="121"/>
      <c r="CW589" s="121"/>
      <c r="CX589" s="121"/>
      <c r="CY589" s="121"/>
      <c r="CZ589" s="121"/>
      <c r="DA589" s="121"/>
      <c r="DB589" s="121"/>
      <c r="DC589" s="121"/>
      <c r="DD589" s="121"/>
      <c r="DE589" s="121"/>
      <c r="DF589" s="121"/>
      <c r="DG589" s="121"/>
      <c r="DH589" s="121"/>
      <c r="DI589" s="121"/>
      <c r="DJ589" s="121"/>
      <c r="DK589" s="121"/>
      <c r="DL589" s="121"/>
      <c r="DM589" s="121"/>
      <c r="DN589" s="121"/>
      <c r="DO589" s="121"/>
      <c r="DP589" s="121"/>
      <c r="DQ589" s="121"/>
      <c r="DR589" s="121"/>
      <c r="DS589" s="121"/>
      <c r="DT589" s="121"/>
      <c r="DU589" s="121"/>
      <c r="DV589" s="121"/>
      <c r="DW589" s="121"/>
      <c r="DX589" s="121"/>
      <c r="DY589" s="121"/>
      <c r="DZ589" s="121"/>
      <c r="EA589" s="121"/>
      <c r="EB589" s="121"/>
      <c r="EC589" s="121"/>
      <c r="ED589" s="121"/>
      <c r="EE589" s="121"/>
      <c r="EF589" s="121"/>
      <c r="EG589" s="121"/>
      <c r="EH589" s="121"/>
      <c r="EI589" s="121"/>
      <c r="EJ589" s="121"/>
      <c r="EK589" s="121"/>
      <c r="EL589" s="121"/>
      <c r="EM589" s="121"/>
      <c r="EN589" s="121"/>
      <c r="EO589" s="121"/>
      <c r="EP589" s="121"/>
      <c r="EQ589" s="121"/>
      <c r="ER589" s="121"/>
      <c r="ES589" s="121"/>
      <c r="ET589" s="121"/>
      <c r="EU589" s="121"/>
      <c r="EV589" s="121"/>
      <c r="EW589" s="121"/>
      <c r="EX589" s="121"/>
      <c r="EY589" s="121"/>
      <c r="EZ589" s="121"/>
      <c r="FA589" s="121"/>
      <c r="FB589" s="121"/>
      <c r="FC589" s="121"/>
      <c r="FD589" s="121"/>
      <c r="FE589" s="121"/>
      <c r="FF589" s="121"/>
      <c r="FG589" s="121"/>
      <c r="FH589" s="121"/>
      <c r="FI589" s="121"/>
      <c r="FJ589" s="121"/>
      <c r="FK589" s="121"/>
      <c r="FL589" s="121"/>
      <c r="FM589" s="121"/>
      <c r="FN589" s="121"/>
      <c r="FO589" s="121"/>
      <c r="FP589" s="121"/>
      <c r="FQ589" s="121"/>
      <c r="FR589" s="121"/>
      <c r="FS589" s="121"/>
      <c r="FT589" s="121"/>
      <c r="FU589" s="121"/>
      <c r="FV589" s="121"/>
      <c r="FW589" s="121"/>
      <c r="FX589" s="121"/>
      <c r="FY589" s="121"/>
      <c r="FZ589" s="121"/>
      <c r="GA589" s="121"/>
      <c r="GB589" s="121"/>
      <c r="GC589" s="121"/>
      <c r="GD589" s="121"/>
      <c r="GE589" s="121"/>
      <c r="GF589" s="121"/>
      <c r="GG589" s="121"/>
      <c r="GH589" s="121"/>
      <c r="GI589" s="121"/>
      <c r="GJ589" s="121"/>
      <c r="GK589" s="121"/>
      <c r="GL589" s="121"/>
      <c r="GM589" s="121"/>
      <c r="GN589" s="121"/>
      <c r="GO589" s="121"/>
      <c r="GP589" s="121"/>
      <c r="GQ589" s="121"/>
      <c r="GR589" s="121"/>
      <c r="GS589" s="121"/>
      <c r="GT589" s="121"/>
      <c r="GU589" s="121"/>
      <c r="GV589" s="121"/>
      <c r="GW589" s="121"/>
      <c r="GX589" s="121"/>
      <c r="GY589" s="121"/>
      <c r="GZ589" s="121"/>
      <c r="HA589" s="121"/>
      <c r="HB589" s="121"/>
      <c r="HC589" s="121"/>
      <c r="HD589" s="121"/>
      <c r="HE589" s="121"/>
      <c r="HF589" s="121"/>
      <c r="HG589" s="121"/>
      <c r="HH589" s="121"/>
      <c r="HI589" s="121"/>
      <c r="HJ589" s="121"/>
      <c r="HK589" s="121"/>
      <c r="HL589" s="121"/>
      <c r="HM589" s="121"/>
      <c r="HN589" s="121"/>
      <c r="HO589" s="121"/>
      <c r="HP589" s="121"/>
      <c r="HQ589" s="121"/>
      <c r="HR589" s="121"/>
      <c r="HS589" s="121"/>
      <c r="HT589" s="121"/>
      <c r="HU589" s="121"/>
      <c r="HV589" s="121"/>
      <c r="HW589" s="121"/>
      <c r="HX589" s="121"/>
      <c r="HY589" s="121"/>
      <c r="HZ589" s="121"/>
      <c r="IA589" s="121"/>
    </row>
    <row r="590" spans="1:17" ht="33.75">
      <c r="A590" s="22" t="s">
        <v>249</v>
      </c>
      <c r="B590" s="7"/>
      <c r="C590" s="7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73"/>
    </row>
    <row r="591" spans="1:17" ht="67.5">
      <c r="A591" s="21" t="s">
        <v>326</v>
      </c>
      <c r="B591" s="7"/>
      <c r="C591" s="7"/>
      <c r="D591" s="62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73"/>
    </row>
    <row r="592" spans="1:17" ht="102.75" customHeight="1">
      <c r="A592" s="19" t="s">
        <v>406</v>
      </c>
      <c r="B592" s="26"/>
      <c r="C592" s="26"/>
      <c r="D592" s="148">
        <f>D594</f>
        <v>1214000</v>
      </c>
      <c r="E592" s="148"/>
      <c r="F592" s="148">
        <f>D592</f>
        <v>1214000</v>
      </c>
      <c r="G592" s="56">
        <f>G594</f>
        <v>8080000</v>
      </c>
      <c r="H592" s="56"/>
      <c r="I592" s="56"/>
      <c r="J592" s="56">
        <f>J594</f>
        <v>8080000</v>
      </c>
      <c r="K592" s="25"/>
      <c r="L592" s="25"/>
      <c r="M592" s="25"/>
      <c r="N592" s="56"/>
      <c r="O592" s="56"/>
      <c r="P592" s="56"/>
      <c r="Q592" s="73"/>
    </row>
    <row r="593" spans="1:17" ht="11.25">
      <c r="A593" s="20" t="s">
        <v>4</v>
      </c>
      <c r="B593" s="7"/>
      <c r="C593" s="7"/>
      <c r="D593" s="145"/>
      <c r="E593" s="146"/>
      <c r="F593" s="146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73"/>
    </row>
    <row r="594" spans="1:17" ht="11.25">
      <c r="A594" s="21" t="s">
        <v>63</v>
      </c>
      <c r="B594" s="7"/>
      <c r="C594" s="7"/>
      <c r="D594" s="145">
        <f>D599*D596</f>
        <v>1214000</v>
      </c>
      <c r="E594" s="146"/>
      <c r="F594" s="146">
        <f>D594</f>
        <v>1214000</v>
      </c>
      <c r="G594" s="14">
        <f>G599*G596</f>
        <v>8080000</v>
      </c>
      <c r="H594" s="14"/>
      <c r="I594" s="14"/>
      <c r="J594" s="14">
        <f>G594</f>
        <v>8080000</v>
      </c>
      <c r="K594" s="14"/>
      <c r="L594" s="14"/>
      <c r="M594" s="14"/>
      <c r="N594" s="14"/>
      <c r="O594" s="14"/>
      <c r="P594" s="14"/>
      <c r="Q594" s="73"/>
    </row>
    <row r="595" spans="1:17" ht="11.25">
      <c r="A595" s="20" t="s">
        <v>5</v>
      </c>
      <c r="B595" s="7"/>
      <c r="C595" s="7"/>
      <c r="D595" s="145"/>
      <c r="E595" s="146"/>
      <c r="F595" s="146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73"/>
    </row>
    <row r="596" spans="1:17" ht="22.5">
      <c r="A596" s="21" t="s">
        <v>315</v>
      </c>
      <c r="B596" s="7"/>
      <c r="C596" s="7"/>
      <c r="D596" s="145">
        <v>2</v>
      </c>
      <c r="E596" s="146"/>
      <c r="F596" s="146">
        <v>2</v>
      </c>
      <c r="G596" s="14">
        <v>2</v>
      </c>
      <c r="H596" s="14"/>
      <c r="I596" s="14"/>
      <c r="J596" s="14">
        <f>G596</f>
        <v>2</v>
      </c>
      <c r="K596" s="14"/>
      <c r="L596" s="14"/>
      <c r="M596" s="14"/>
      <c r="N596" s="14"/>
      <c r="O596" s="14"/>
      <c r="P596" s="14"/>
      <c r="Q596" s="73"/>
    </row>
    <row r="597" spans="1:17" ht="22.5" hidden="1">
      <c r="A597" s="21" t="s">
        <v>264</v>
      </c>
      <c r="B597" s="7"/>
      <c r="C597" s="7"/>
      <c r="D597" s="145"/>
      <c r="E597" s="146"/>
      <c r="F597" s="146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73"/>
    </row>
    <row r="598" spans="1:17" ht="11.25">
      <c r="A598" s="20" t="s">
        <v>7</v>
      </c>
      <c r="B598" s="7"/>
      <c r="C598" s="7"/>
      <c r="D598" s="145"/>
      <c r="E598" s="146"/>
      <c r="F598" s="146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73"/>
    </row>
    <row r="599" spans="1:17" ht="22.5">
      <c r="A599" s="21" t="s">
        <v>316</v>
      </c>
      <c r="B599" s="7"/>
      <c r="C599" s="7"/>
      <c r="D599" s="145">
        <v>607000</v>
      </c>
      <c r="E599" s="146"/>
      <c r="F599" s="146">
        <f>D599</f>
        <v>607000</v>
      </c>
      <c r="G599" s="14">
        <v>4040000</v>
      </c>
      <c r="H599" s="14"/>
      <c r="I599" s="14"/>
      <c r="J599" s="14">
        <f>G599</f>
        <v>4040000</v>
      </c>
      <c r="K599" s="14"/>
      <c r="L599" s="14"/>
      <c r="M599" s="14"/>
      <c r="N599" s="14"/>
      <c r="O599" s="14"/>
      <c r="P599" s="14"/>
      <c r="Q599" s="73"/>
    </row>
    <row r="600" spans="1:235" ht="33.75" hidden="1">
      <c r="A600" s="21" t="s">
        <v>265</v>
      </c>
      <c r="B600" s="7"/>
      <c r="C600" s="7"/>
      <c r="D600" s="147"/>
      <c r="E600" s="132"/>
      <c r="F600" s="132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73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</row>
    <row r="601" spans="1:17" s="85" customFormat="1" ht="12">
      <c r="A601" s="108">
        <v>180107</v>
      </c>
      <c r="B601" s="77"/>
      <c r="C601" s="77"/>
      <c r="D601" s="89">
        <f>D604</f>
        <v>0</v>
      </c>
      <c r="E601" s="89">
        <v>0</v>
      </c>
      <c r="F601" s="89">
        <f>D601</f>
        <v>0</v>
      </c>
      <c r="G601" s="89">
        <f>G604</f>
        <v>1200000</v>
      </c>
      <c r="H601" s="89"/>
      <c r="I601" s="89">
        <f>I604</f>
        <v>0</v>
      </c>
      <c r="J601" s="89">
        <f>J604</f>
        <v>1200000</v>
      </c>
      <c r="K601" s="89"/>
      <c r="L601" s="89"/>
      <c r="M601" s="89"/>
      <c r="N601" s="89">
        <f>N604</f>
        <v>1000000</v>
      </c>
      <c r="O601" s="89"/>
      <c r="P601" s="89">
        <f>P604</f>
        <v>1000000</v>
      </c>
      <c r="Q601" s="84"/>
    </row>
    <row r="602" spans="1:235" ht="33.75">
      <c r="A602" s="22" t="s">
        <v>249</v>
      </c>
      <c r="B602" s="7"/>
      <c r="C602" s="7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73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</row>
    <row r="603" spans="1:235" ht="67.5">
      <c r="A603" s="21" t="s">
        <v>268</v>
      </c>
      <c r="B603" s="7"/>
      <c r="C603" s="7"/>
      <c r="D603" s="62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7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</row>
    <row r="604" spans="1:17" s="176" customFormat="1" ht="21">
      <c r="A604" s="177" t="s">
        <v>407</v>
      </c>
      <c r="B604" s="173"/>
      <c r="C604" s="173"/>
      <c r="D604" s="174">
        <f>200000-200000</f>
        <v>0</v>
      </c>
      <c r="E604" s="174"/>
      <c r="F604" s="174">
        <f>D604</f>
        <v>0</v>
      </c>
      <c r="G604" s="152">
        <f>G608*G611</f>
        <v>1200000</v>
      </c>
      <c r="H604" s="152"/>
      <c r="I604" s="152"/>
      <c r="J604" s="152">
        <f>G604</f>
        <v>1200000</v>
      </c>
      <c r="K604" s="152"/>
      <c r="L604" s="152"/>
      <c r="M604" s="152"/>
      <c r="N604" s="152">
        <f>N608*N611</f>
        <v>1000000</v>
      </c>
      <c r="O604" s="152"/>
      <c r="P604" s="152">
        <f>N604</f>
        <v>1000000</v>
      </c>
      <c r="Q604" s="175"/>
    </row>
    <row r="605" spans="1:235" ht="11.25">
      <c r="A605" s="20" t="s">
        <v>4</v>
      </c>
      <c r="B605" s="7"/>
      <c r="C605" s="7"/>
      <c r="D605" s="145"/>
      <c r="E605" s="146"/>
      <c r="F605" s="146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73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</row>
    <row r="606" spans="1:235" ht="33.75">
      <c r="A606" s="21" t="s">
        <v>275</v>
      </c>
      <c r="B606" s="7"/>
      <c r="C606" s="7"/>
      <c r="D606" s="145">
        <v>120</v>
      </c>
      <c r="E606" s="146"/>
      <c r="F606" s="146">
        <f>D606</f>
        <v>120</v>
      </c>
      <c r="G606" s="146">
        <v>120</v>
      </c>
      <c r="H606" s="146"/>
      <c r="I606" s="146"/>
      <c r="J606" s="146">
        <f>G606</f>
        <v>120</v>
      </c>
      <c r="K606" s="146">
        <f>H606</f>
        <v>0</v>
      </c>
      <c r="L606" s="146">
        <f>J606</f>
        <v>120</v>
      </c>
      <c r="M606" s="146">
        <f>K606</f>
        <v>0</v>
      </c>
      <c r="N606" s="146">
        <v>100</v>
      </c>
      <c r="O606" s="146"/>
      <c r="P606" s="146">
        <f>N606</f>
        <v>100</v>
      </c>
      <c r="Q606" s="73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</row>
    <row r="607" spans="1:235" ht="11.25">
      <c r="A607" s="20" t="s">
        <v>5</v>
      </c>
      <c r="B607" s="7"/>
      <c r="C607" s="7"/>
      <c r="D607" s="145"/>
      <c r="E607" s="146"/>
      <c r="F607" s="146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73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</row>
    <row r="608" spans="1:235" ht="32.25" customHeight="1">
      <c r="A608" s="21" t="s">
        <v>276</v>
      </c>
      <c r="B608" s="7"/>
      <c r="C608" s="7"/>
      <c r="D608" s="145">
        <v>120</v>
      </c>
      <c r="E608" s="146"/>
      <c r="F608" s="146">
        <v>120</v>
      </c>
      <c r="G608" s="14">
        <v>120</v>
      </c>
      <c r="H608" s="14"/>
      <c r="I608" s="14"/>
      <c r="J608" s="14">
        <f>G608</f>
        <v>120</v>
      </c>
      <c r="K608" s="14"/>
      <c r="L608" s="14"/>
      <c r="M608" s="14"/>
      <c r="N608" s="14">
        <v>100</v>
      </c>
      <c r="O608" s="14"/>
      <c r="P608" s="14">
        <f>N608</f>
        <v>100</v>
      </c>
      <c r="Q608" s="73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</row>
    <row r="609" spans="1:235" ht="22.5" hidden="1">
      <c r="A609" s="21" t="s">
        <v>264</v>
      </c>
      <c r="B609" s="7"/>
      <c r="C609" s="7"/>
      <c r="D609" s="145"/>
      <c r="E609" s="146"/>
      <c r="F609" s="146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73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</row>
    <row r="610" spans="1:235" ht="11.25">
      <c r="A610" s="20" t="s">
        <v>7</v>
      </c>
      <c r="B610" s="7"/>
      <c r="C610" s="7"/>
      <c r="D610" s="145"/>
      <c r="E610" s="146"/>
      <c r="F610" s="146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73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</row>
    <row r="611" spans="1:235" ht="22.5">
      <c r="A611" s="21" t="s">
        <v>277</v>
      </c>
      <c r="B611" s="7"/>
      <c r="C611" s="7"/>
      <c r="D611" s="145">
        <f>D604/D608</f>
        <v>0</v>
      </c>
      <c r="E611" s="146"/>
      <c r="F611" s="146">
        <f>D611</f>
        <v>0</v>
      </c>
      <c r="G611" s="14">
        <v>10000</v>
      </c>
      <c r="H611" s="14"/>
      <c r="I611" s="14"/>
      <c r="J611" s="14">
        <f>G611</f>
        <v>10000</v>
      </c>
      <c r="K611" s="14"/>
      <c r="L611" s="14"/>
      <c r="M611" s="14"/>
      <c r="N611" s="14">
        <v>10000</v>
      </c>
      <c r="O611" s="14"/>
      <c r="P611" s="14">
        <f>N611</f>
        <v>10000</v>
      </c>
      <c r="Q611" s="73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</row>
    <row r="612" spans="1:235" ht="11.25" hidden="1">
      <c r="A612" s="71"/>
      <c r="B612" s="53"/>
      <c r="C612" s="53"/>
      <c r="D612" s="149"/>
      <c r="E612" s="150"/>
      <c r="F612" s="150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3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</row>
    <row r="613" spans="1:235" ht="11.25" hidden="1">
      <c r="A613" s="71"/>
      <c r="B613" s="53"/>
      <c r="C613" s="53"/>
      <c r="D613" s="149"/>
      <c r="E613" s="150"/>
      <c r="F613" s="150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</row>
    <row r="614" spans="1:235" ht="11.25" hidden="1">
      <c r="A614" s="71"/>
      <c r="B614" s="53"/>
      <c r="C614" s="53"/>
      <c r="D614" s="149"/>
      <c r="E614" s="150"/>
      <c r="F614" s="150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3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</row>
    <row r="615" spans="1:235" ht="11.25" hidden="1">
      <c r="A615" s="71"/>
      <c r="B615" s="53"/>
      <c r="C615" s="53"/>
      <c r="D615" s="149"/>
      <c r="E615" s="150"/>
      <c r="F615" s="150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3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</row>
    <row r="616" spans="1:17" s="85" customFormat="1" ht="12">
      <c r="A616" s="108">
        <v>100208</v>
      </c>
      <c r="B616" s="77"/>
      <c r="C616" s="77"/>
      <c r="D616" s="89">
        <f>D619</f>
        <v>0</v>
      </c>
      <c r="E616" s="89">
        <f>E619</f>
        <v>1084420</v>
      </c>
      <c r="F616" s="89">
        <f>D616+E616</f>
        <v>1084420</v>
      </c>
      <c r="G616" s="89"/>
      <c r="H616" s="89">
        <f>H619</f>
        <v>3699999.9999893</v>
      </c>
      <c r="I616" s="89">
        <f>I619</f>
        <v>0</v>
      </c>
      <c r="J616" s="89">
        <f>J619</f>
        <v>3699999.9999893</v>
      </c>
      <c r="K616" s="89"/>
      <c r="L616" s="89"/>
      <c r="M616" s="89"/>
      <c r="N616" s="89"/>
      <c r="O616" s="89"/>
      <c r="P616" s="89"/>
      <c r="Q616" s="84"/>
    </row>
    <row r="617" spans="1:235" ht="33.75">
      <c r="A617" s="22" t="s">
        <v>249</v>
      </c>
      <c r="B617" s="7"/>
      <c r="C617" s="7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73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</row>
    <row r="618" spans="1:235" ht="22.5">
      <c r="A618" s="21" t="s">
        <v>278</v>
      </c>
      <c r="B618" s="7"/>
      <c r="C618" s="7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73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</row>
    <row r="619" spans="1:17" s="92" customFormat="1" ht="22.5">
      <c r="A619" s="82" t="s">
        <v>408</v>
      </c>
      <c r="B619" s="88"/>
      <c r="C619" s="88"/>
      <c r="D619" s="89"/>
      <c r="E619" s="89">
        <v>1084420</v>
      </c>
      <c r="F619" s="89">
        <f>D619+E619</f>
        <v>1084420</v>
      </c>
      <c r="G619" s="89"/>
      <c r="H619" s="89">
        <f>H623*H626</f>
        <v>3699999.9999893</v>
      </c>
      <c r="I619" s="89"/>
      <c r="J619" s="89">
        <f>H619</f>
        <v>3699999.9999893</v>
      </c>
      <c r="K619" s="89"/>
      <c r="L619" s="89"/>
      <c r="M619" s="89"/>
      <c r="N619" s="89"/>
      <c r="O619" s="89"/>
      <c r="P619" s="89"/>
      <c r="Q619" s="106"/>
    </row>
    <row r="620" spans="1:235" ht="11.25">
      <c r="A620" s="20" t="s">
        <v>4</v>
      </c>
      <c r="B620" s="7"/>
      <c r="C620" s="7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73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</row>
    <row r="621" spans="1:235" ht="11.25">
      <c r="A621" s="21" t="s">
        <v>63</v>
      </c>
      <c r="B621" s="7"/>
      <c r="C621" s="7"/>
      <c r="D621" s="14"/>
      <c r="E621" s="14">
        <f>E619</f>
        <v>1084420</v>
      </c>
      <c r="F621" s="14">
        <f>D621+E621</f>
        <v>1084420</v>
      </c>
      <c r="G621" s="14"/>
      <c r="H621" s="14">
        <f>H619</f>
        <v>3699999.9999893</v>
      </c>
      <c r="I621" s="14"/>
      <c r="J621" s="14">
        <f>H621</f>
        <v>3699999.9999893</v>
      </c>
      <c r="K621" s="14"/>
      <c r="L621" s="14"/>
      <c r="M621" s="14"/>
      <c r="N621" s="14"/>
      <c r="O621" s="14"/>
      <c r="P621" s="14"/>
      <c r="Q621" s="73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</row>
    <row r="622" spans="1:235" ht="11.25">
      <c r="A622" s="20" t="s">
        <v>5</v>
      </c>
      <c r="B622" s="7"/>
      <c r="C622" s="7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73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</row>
    <row r="623" spans="1:235" ht="26.25" customHeight="1">
      <c r="A623" s="21" t="s">
        <v>279</v>
      </c>
      <c r="B623" s="7"/>
      <c r="C623" s="7"/>
      <c r="D623" s="14"/>
      <c r="E623" s="14">
        <v>39</v>
      </c>
      <c r="F623" s="14">
        <f>D623+E623</f>
        <v>39</v>
      </c>
      <c r="G623" s="14"/>
      <c r="H623" s="14">
        <v>133</v>
      </c>
      <c r="I623" s="14"/>
      <c r="J623" s="14">
        <f>H623</f>
        <v>133</v>
      </c>
      <c r="K623" s="14"/>
      <c r="L623" s="14"/>
      <c r="M623" s="14"/>
      <c r="N623" s="14"/>
      <c r="O623" s="14"/>
      <c r="P623" s="14"/>
      <c r="Q623" s="7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</row>
    <row r="624" spans="1:235" ht="11.25" hidden="1">
      <c r="A624" s="21" t="s">
        <v>241</v>
      </c>
      <c r="B624" s="7"/>
      <c r="C624" s="7"/>
      <c r="D624" s="14">
        <v>145</v>
      </c>
      <c r="E624" s="14"/>
      <c r="F624" s="14">
        <f>D624</f>
        <v>145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73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</row>
    <row r="625" spans="1:235" ht="11.25">
      <c r="A625" s="20" t="s">
        <v>7</v>
      </c>
      <c r="B625" s="7"/>
      <c r="C625" s="7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73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</row>
    <row r="626" spans="1:235" ht="22.5">
      <c r="A626" s="21" t="s">
        <v>280</v>
      </c>
      <c r="B626" s="7"/>
      <c r="C626" s="7"/>
      <c r="D626" s="14"/>
      <c r="E626" s="14">
        <f>E621/E623</f>
        <v>27805.641025641027</v>
      </c>
      <c r="F626" s="14">
        <f>F621/F623</f>
        <v>27805.641025641027</v>
      </c>
      <c r="G626" s="14"/>
      <c r="H626" s="14">
        <v>27819.5488721</v>
      </c>
      <c r="I626" s="14"/>
      <c r="J626" s="14">
        <f>H626</f>
        <v>27819.5488721</v>
      </c>
      <c r="K626" s="14"/>
      <c r="L626" s="14"/>
      <c r="M626" s="14"/>
      <c r="N626" s="14"/>
      <c r="O626" s="14"/>
      <c r="P626" s="14"/>
      <c r="Q626" s="73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</row>
    <row r="627" spans="1:235" ht="22.5" hidden="1">
      <c r="A627" s="21" t="s">
        <v>244</v>
      </c>
      <c r="B627" s="7"/>
      <c r="C627" s="7"/>
      <c r="D627" s="14">
        <v>270.34</v>
      </c>
      <c r="E627" s="14"/>
      <c r="F627" s="14">
        <f>D627</f>
        <v>270.34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73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</row>
    <row r="628" spans="1:17" s="85" customFormat="1" ht="12">
      <c r="A628" s="108">
        <v>150202</v>
      </c>
      <c r="B628" s="77"/>
      <c r="C628" s="77"/>
      <c r="D628" s="89">
        <f>D631</f>
        <v>0</v>
      </c>
      <c r="E628" s="89">
        <v>0</v>
      </c>
      <c r="F628" s="89">
        <f>D628</f>
        <v>0</v>
      </c>
      <c r="G628" s="89">
        <f>G631+G646</f>
        <v>699400</v>
      </c>
      <c r="H628" s="89"/>
      <c r="I628" s="89">
        <f>I631</f>
        <v>0</v>
      </c>
      <c r="J628" s="89">
        <f>J631+J646</f>
        <v>699400</v>
      </c>
      <c r="K628" s="89"/>
      <c r="L628" s="89"/>
      <c r="M628" s="89"/>
      <c r="N628" s="89">
        <f>N631</f>
        <v>0</v>
      </c>
      <c r="O628" s="89"/>
      <c r="P628" s="89">
        <f>P631</f>
        <v>0</v>
      </c>
      <c r="Q628" s="84"/>
    </row>
    <row r="629" spans="1:235" ht="33.75">
      <c r="A629" s="22" t="s">
        <v>249</v>
      </c>
      <c r="B629" s="7"/>
      <c r="C629" s="7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73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</row>
    <row r="630" spans="1:235" ht="11.25">
      <c r="A630" s="21" t="s">
        <v>303</v>
      </c>
      <c r="B630" s="7"/>
      <c r="C630" s="7"/>
      <c r="D630" s="62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73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</row>
    <row r="631" spans="1:17" s="92" customFormat="1" ht="22.5">
      <c r="A631" s="82" t="s">
        <v>409</v>
      </c>
      <c r="B631" s="88"/>
      <c r="C631" s="88"/>
      <c r="D631" s="144"/>
      <c r="E631" s="144"/>
      <c r="F631" s="144">
        <f>D631</f>
        <v>0</v>
      </c>
      <c r="G631" s="89">
        <f>G636*G639</f>
        <v>499400</v>
      </c>
      <c r="H631" s="89"/>
      <c r="I631" s="89"/>
      <c r="J631" s="89">
        <f>G631</f>
        <v>499400</v>
      </c>
      <c r="K631" s="89"/>
      <c r="L631" s="89"/>
      <c r="M631" s="89"/>
      <c r="N631" s="89"/>
      <c r="O631" s="89"/>
      <c r="P631" s="89"/>
      <c r="Q631" s="106"/>
    </row>
    <row r="632" spans="1:235" ht="11.25">
      <c r="A632" s="20" t="s">
        <v>4</v>
      </c>
      <c r="B632" s="7"/>
      <c r="C632" s="7"/>
      <c r="D632" s="145"/>
      <c r="E632" s="146"/>
      <c r="F632" s="146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73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</row>
    <row r="633" spans="1:235" ht="10.5" customHeight="1">
      <c r="A633" s="21" t="s">
        <v>63</v>
      </c>
      <c r="B633" s="7"/>
      <c r="C633" s="7"/>
      <c r="D633" s="145"/>
      <c r="E633" s="146"/>
      <c r="F633" s="146"/>
      <c r="G633" s="14">
        <f>G639</f>
        <v>499400</v>
      </c>
      <c r="H633" s="14"/>
      <c r="I633" s="14"/>
      <c r="J633" s="14">
        <f>G633</f>
        <v>499400</v>
      </c>
      <c r="K633" s="14"/>
      <c r="L633" s="14"/>
      <c r="M633" s="14"/>
      <c r="N633" s="14"/>
      <c r="O633" s="14"/>
      <c r="P633" s="14"/>
      <c r="Q633" s="7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</row>
    <row r="634" spans="1:235" ht="11.25" hidden="1">
      <c r="A634" s="21" t="s">
        <v>63</v>
      </c>
      <c r="B634" s="7"/>
      <c r="C634" s="7"/>
      <c r="D634" s="145"/>
      <c r="E634" s="146"/>
      <c r="F634" s="146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73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</row>
    <row r="635" spans="1:235" ht="11.25">
      <c r="A635" s="20" t="s">
        <v>5</v>
      </c>
      <c r="B635" s="7"/>
      <c r="C635" s="7"/>
      <c r="D635" s="145"/>
      <c r="E635" s="146"/>
      <c r="F635" s="146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73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</row>
    <row r="636" spans="1:235" ht="10.5" customHeight="1">
      <c r="A636" s="21" t="s">
        <v>281</v>
      </c>
      <c r="B636" s="7"/>
      <c r="C636" s="7"/>
      <c r="D636" s="145"/>
      <c r="E636" s="146"/>
      <c r="F636" s="146">
        <f>D636</f>
        <v>0</v>
      </c>
      <c r="G636" s="146">
        <v>1</v>
      </c>
      <c r="H636" s="146"/>
      <c r="I636" s="146"/>
      <c r="J636" s="146">
        <f>G636</f>
        <v>1</v>
      </c>
      <c r="K636" s="146">
        <f>H636</f>
        <v>0</v>
      </c>
      <c r="L636" s="146">
        <f>J636</f>
        <v>1</v>
      </c>
      <c r="M636" s="146">
        <f>K636</f>
        <v>0</v>
      </c>
      <c r="N636" s="146"/>
      <c r="O636" s="146"/>
      <c r="P636" s="146"/>
      <c r="Q636" s="73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</row>
    <row r="637" spans="1:235" ht="11.25" hidden="1">
      <c r="A637" s="21" t="s">
        <v>296</v>
      </c>
      <c r="B637" s="7"/>
      <c r="C637" s="7"/>
      <c r="D637" s="145"/>
      <c r="E637" s="146"/>
      <c r="F637" s="146"/>
      <c r="G637" s="146">
        <v>1487</v>
      </c>
      <c r="H637" s="146"/>
      <c r="I637" s="146"/>
      <c r="J637" s="146">
        <f>G637</f>
        <v>1487</v>
      </c>
      <c r="K637" s="146"/>
      <c r="L637" s="146"/>
      <c r="M637" s="146"/>
      <c r="N637" s="146"/>
      <c r="O637" s="146"/>
      <c r="P637" s="146"/>
      <c r="Q637" s="73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</row>
    <row r="638" spans="1:235" ht="11.25">
      <c r="A638" s="20" t="s">
        <v>7</v>
      </c>
      <c r="B638" s="7"/>
      <c r="C638" s="7"/>
      <c r="D638" s="145"/>
      <c r="E638" s="146"/>
      <c r="F638" s="146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73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</row>
    <row r="639" spans="1:235" ht="11.25">
      <c r="A639" s="21" t="s">
        <v>282</v>
      </c>
      <c r="B639" s="7"/>
      <c r="C639" s="7"/>
      <c r="D639" s="145"/>
      <c r="E639" s="146"/>
      <c r="F639" s="146"/>
      <c r="G639" s="14">
        <f>465000+34400</f>
        <v>499400</v>
      </c>
      <c r="H639" s="14"/>
      <c r="I639" s="14"/>
      <c r="J639" s="14">
        <f>G639</f>
        <v>499400</v>
      </c>
      <c r="K639" s="14"/>
      <c r="L639" s="14"/>
      <c r="M639" s="14"/>
      <c r="N639" s="14"/>
      <c r="O639" s="14"/>
      <c r="P639" s="14"/>
      <c r="Q639" s="73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</row>
    <row r="640" spans="1:235" ht="11.25" hidden="1">
      <c r="A640" s="21"/>
      <c r="B640" s="7"/>
      <c r="C640" s="7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73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</row>
    <row r="641" spans="1:235" ht="11.25" hidden="1">
      <c r="A641" s="21"/>
      <c r="B641" s="7"/>
      <c r="C641" s="7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73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</row>
    <row r="642" spans="1:235" ht="11.25" hidden="1">
      <c r="A642" s="21"/>
      <c r="B642" s="7"/>
      <c r="C642" s="7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73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</row>
    <row r="643" spans="1:235" ht="11.25" hidden="1">
      <c r="A643" s="21"/>
      <c r="B643" s="7"/>
      <c r="C643" s="7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7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</row>
    <row r="644" spans="1:235" ht="11.25" hidden="1">
      <c r="A644" s="21"/>
      <c r="B644" s="7"/>
      <c r="C644" s="7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73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</row>
    <row r="645" spans="1:235" ht="21" customHeight="1" hidden="1">
      <c r="A645" s="21" t="s">
        <v>297</v>
      </c>
      <c r="B645" s="7"/>
      <c r="C645" s="7"/>
      <c r="D645" s="14"/>
      <c r="E645" s="14"/>
      <c r="F645" s="14"/>
      <c r="G645" s="14">
        <v>3000</v>
      </c>
      <c r="H645" s="14"/>
      <c r="I645" s="14"/>
      <c r="J645" s="14">
        <f>G645</f>
        <v>3000</v>
      </c>
      <c r="K645" s="14"/>
      <c r="L645" s="14"/>
      <c r="M645" s="14"/>
      <c r="N645" s="14"/>
      <c r="O645" s="14"/>
      <c r="P645" s="14"/>
      <c r="Q645" s="73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</row>
    <row r="646" spans="1:17" s="92" customFormat="1" ht="22.5">
      <c r="A646" s="82" t="s">
        <v>410</v>
      </c>
      <c r="B646" s="88"/>
      <c r="C646" s="88"/>
      <c r="D646" s="144"/>
      <c r="E646" s="144"/>
      <c r="F646" s="144">
        <f>D646</f>
        <v>0</v>
      </c>
      <c r="G646" s="89">
        <f>G651*G654</f>
        <v>200000</v>
      </c>
      <c r="H646" s="89"/>
      <c r="I646" s="89"/>
      <c r="J646" s="89">
        <f>G646</f>
        <v>200000</v>
      </c>
      <c r="K646" s="89"/>
      <c r="L646" s="89"/>
      <c r="M646" s="89"/>
      <c r="N646" s="89"/>
      <c r="O646" s="89"/>
      <c r="P646" s="89"/>
      <c r="Q646" s="106"/>
    </row>
    <row r="647" spans="1:235" ht="11.25">
      <c r="A647" s="20" t="s">
        <v>4</v>
      </c>
      <c r="B647" s="7"/>
      <c r="C647" s="7"/>
      <c r="D647" s="145"/>
      <c r="E647" s="146"/>
      <c r="F647" s="146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73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</row>
    <row r="648" spans="1:235" ht="10.5" customHeight="1">
      <c r="A648" s="21" t="s">
        <v>63</v>
      </c>
      <c r="B648" s="7"/>
      <c r="C648" s="7"/>
      <c r="D648" s="145"/>
      <c r="E648" s="146"/>
      <c r="F648" s="146"/>
      <c r="G648" s="14">
        <f>G651*G654</f>
        <v>200000</v>
      </c>
      <c r="H648" s="14"/>
      <c r="I648" s="14"/>
      <c r="J648" s="14">
        <f>G648</f>
        <v>200000</v>
      </c>
      <c r="K648" s="14"/>
      <c r="L648" s="14"/>
      <c r="M648" s="14"/>
      <c r="N648" s="14"/>
      <c r="O648" s="14"/>
      <c r="P648" s="14"/>
      <c r="Q648" s="73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</row>
    <row r="649" spans="1:235" ht="11.25" hidden="1">
      <c r="A649" s="21" t="s">
        <v>63</v>
      </c>
      <c r="B649" s="7"/>
      <c r="C649" s="7"/>
      <c r="D649" s="145"/>
      <c r="E649" s="146"/>
      <c r="F649" s="146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73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</row>
    <row r="650" spans="1:235" ht="11.25">
      <c r="A650" s="20" t="s">
        <v>5</v>
      </c>
      <c r="B650" s="7"/>
      <c r="C650" s="7"/>
      <c r="D650" s="145"/>
      <c r="E650" s="146"/>
      <c r="F650" s="146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73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</row>
    <row r="651" spans="1:235" ht="10.5" customHeight="1">
      <c r="A651" s="21" t="s">
        <v>335</v>
      </c>
      <c r="B651" s="7"/>
      <c r="C651" s="7"/>
      <c r="D651" s="145"/>
      <c r="E651" s="146"/>
      <c r="F651" s="146">
        <f>D651</f>
        <v>0</v>
      </c>
      <c r="G651" s="146">
        <v>1</v>
      </c>
      <c r="H651" s="146"/>
      <c r="I651" s="146"/>
      <c r="J651" s="146">
        <f>G651</f>
        <v>1</v>
      </c>
      <c r="K651" s="146">
        <f>H651</f>
        <v>0</v>
      </c>
      <c r="L651" s="146">
        <f>J651</f>
        <v>1</v>
      </c>
      <c r="M651" s="146">
        <f>K651</f>
        <v>0</v>
      </c>
      <c r="N651" s="146"/>
      <c r="O651" s="146"/>
      <c r="P651" s="146"/>
      <c r="Q651" s="73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</row>
    <row r="652" spans="1:235" ht="11.25" hidden="1">
      <c r="A652" s="21" t="s">
        <v>296</v>
      </c>
      <c r="B652" s="7"/>
      <c r="C652" s="7"/>
      <c r="D652" s="145"/>
      <c r="E652" s="146"/>
      <c r="F652" s="146"/>
      <c r="G652" s="146">
        <v>1487</v>
      </c>
      <c r="H652" s="146"/>
      <c r="I652" s="146"/>
      <c r="J652" s="146">
        <f>G652</f>
        <v>1487</v>
      </c>
      <c r="K652" s="146"/>
      <c r="L652" s="146"/>
      <c r="M652" s="146"/>
      <c r="N652" s="146"/>
      <c r="O652" s="146"/>
      <c r="P652" s="146"/>
      <c r="Q652" s="73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</row>
    <row r="653" spans="1:235" ht="11.25">
      <c r="A653" s="20" t="s">
        <v>7</v>
      </c>
      <c r="B653" s="7"/>
      <c r="C653" s="7"/>
      <c r="D653" s="145"/>
      <c r="E653" s="146"/>
      <c r="F653" s="146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7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</row>
    <row r="654" spans="1:235" ht="22.5">
      <c r="A654" s="21" t="s">
        <v>336</v>
      </c>
      <c r="B654" s="7"/>
      <c r="C654" s="7"/>
      <c r="D654" s="145"/>
      <c r="E654" s="146"/>
      <c r="F654" s="146"/>
      <c r="G654" s="14">
        <v>200000</v>
      </c>
      <c r="H654" s="14"/>
      <c r="I654" s="14"/>
      <c r="J654" s="14">
        <f>G654</f>
        <v>200000</v>
      </c>
      <c r="K654" s="14"/>
      <c r="L654" s="14"/>
      <c r="M654" s="14"/>
      <c r="N654" s="14"/>
      <c r="O654" s="14"/>
      <c r="P654" s="14"/>
      <c r="Q654" s="73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</row>
    <row r="655" spans="1:17" s="85" customFormat="1" ht="12">
      <c r="A655" s="108">
        <v>180409</v>
      </c>
      <c r="B655" s="77"/>
      <c r="C655" s="77"/>
      <c r="D655" s="89">
        <f>D657+D671+D732+D741+D748</f>
        <v>0</v>
      </c>
      <c r="E655" s="89"/>
      <c r="F655" s="89">
        <f>D655</f>
        <v>0</v>
      </c>
      <c r="G655" s="89"/>
      <c r="H655" s="89">
        <f>H657</f>
        <v>78185191</v>
      </c>
      <c r="I655" s="89">
        <f>I657</f>
        <v>47000</v>
      </c>
      <c r="J655" s="89">
        <f>H655+I655</f>
        <v>78232191</v>
      </c>
      <c r="K655" s="89"/>
      <c r="L655" s="89"/>
      <c r="M655" s="89"/>
      <c r="N655" s="89"/>
      <c r="O655" s="89">
        <f>O657</f>
        <v>81378820.99970001</v>
      </c>
      <c r="P655" s="89">
        <f>P657</f>
        <v>81378820.99970001</v>
      </c>
      <c r="Q655" s="84"/>
    </row>
    <row r="656" spans="1:235" ht="22.5">
      <c r="A656" s="21" t="s">
        <v>283</v>
      </c>
      <c r="B656" s="7"/>
      <c r="C656" s="7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73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</row>
    <row r="657" spans="1:17" s="92" customFormat="1" ht="33.75">
      <c r="A657" s="82" t="s">
        <v>411</v>
      </c>
      <c r="B657" s="88"/>
      <c r="C657" s="88"/>
      <c r="D657" s="89"/>
      <c r="E657" s="89"/>
      <c r="F657" s="89">
        <f>D657</f>
        <v>0</v>
      </c>
      <c r="G657" s="89"/>
      <c r="H657" s="89">
        <f>H661*H663</f>
        <v>78185191</v>
      </c>
      <c r="I657" s="89">
        <f>I659</f>
        <v>47000</v>
      </c>
      <c r="J657" s="89">
        <f>H657+I657</f>
        <v>78232191</v>
      </c>
      <c r="K657" s="89"/>
      <c r="L657" s="89"/>
      <c r="M657" s="89"/>
      <c r="N657" s="89"/>
      <c r="O657" s="89">
        <f>O661*O663</f>
        <v>81378820.99970001</v>
      </c>
      <c r="P657" s="89">
        <f>O657</f>
        <v>81378820.99970001</v>
      </c>
      <c r="Q657" s="106"/>
    </row>
    <row r="658" spans="1:235" ht="11.25">
      <c r="A658" s="20" t="s">
        <v>4</v>
      </c>
      <c r="B658" s="7"/>
      <c r="C658" s="7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73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</row>
    <row r="659" spans="1:235" ht="11.25">
      <c r="A659" s="21" t="s">
        <v>63</v>
      </c>
      <c r="B659" s="7"/>
      <c r="C659" s="7"/>
      <c r="D659" s="14"/>
      <c r="E659" s="14"/>
      <c r="F659" s="14">
        <f>D659</f>
        <v>0</v>
      </c>
      <c r="G659" s="14"/>
      <c r="H659" s="14">
        <f>49855600+12000000+250000+1116250+339900+677700+277200+14159+17372+292000+50+5000+2725000+1800000+1470000+21000+72610+1134950+5798800+317600</f>
        <v>78185191</v>
      </c>
      <c r="I659" s="14">
        <v>47000</v>
      </c>
      <c r="J659" s="14">
        <f>H659+I659</f>
        <v>78232191</v>
      </c>
      <c r="K659" s="14"/>
      <c r="L659" s="14"/>
      <c r="M659" s="14"/>
      <c r="N659" s="14"/>
      <c r="O659" s="14">
        <f>O661*O663</f>
        <v>81378820.99970001</v>
      </c>
      <c r="P659" s="14">
        <f>O659</f>
        <v>81378820.99970001</v>
      </c>
      <c r="Q659" s="73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</row>
    <row r="660" spans="1:235" ht="11.25">
      <c r="A660" s="20" t="s">
        <v>5</v>
      </c>
      <c r="B660" s="7"/>
      <c r="C660" s="7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73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</row>
    <row r="661" spans="1:235" ht="33.75">
      <c r="A661" s="21" t="s">
        <v>284</v>
      </c>
      <c r="B661" s="7"/>
      <c r="C661" s="7"/>
      <c r="D661" s="14"/>
      <c r="E661" s="14"/>
      <c r="F661" s="14"/>
      <c r="G661" s="14"/>
      <c r="H661" s="14">
        <v>7</v>
      </c>
      <c r="I661" s="14"/>
      <c r="J661" s="14">
        <v>7</v>
      </c>
      <c r="K661" s="14"/>
      <c r="L661" s="14"/>
      <c r="M661" s="14"/>
      <c r="N661" s="14"/>
      <c r="O661" s="14">
        <v>7</v>
      </c>
      <c r="P661" s="14">
        <f>O661</f>
        <v>7</v>
      </c>
      <c r="Q661" s="73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</row>
    <row r="662" spans="1:235" ht="11.25">
      <c r="A662" s="20" t="s">
        <v>7</v>
      </c>
      <c r="B662" s="7"/>
      <c r="C662" s="7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73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</row>
    <row r="663" spans="1:235" ht="24.75" customHeight="1">
      <c r="A663" s="21" t="s">
        <v>285</v>
      </c>
      <c r="B663" s="7"/>
      <c r="C663" s="7"/>
      <c r="D663" s="14"/>
      <c r="E663" s="14"/>
      <c r="F663" s="14"/>
      <c r="G663" s="14"/>
      <c r="H663" s="14">
        <f>H659/H661</f>
        <v>11169313</v>
      </c>
      <c r="I663" s="14"/>
      <c r="J663" s="14">
        <f>J659/J661</f>
        <v>11176027.285714285</v>
      </c>
      <c r="K663" s="14"/>
      <c r="L663" s="14"/>
      <c r="M663" s="14"/>
      <c r="N663" s="14"/>
      <c r="O663" s="14">
        <v>11625545.8571</v>
      </c>
      <c r="P663" s="72">
        <f>O663</f>
        <v>11625545.8571</v>
      </c>
      <c r="Q663" s="7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</row>
    <row r="664" spans="1:235" ht="11.25" hidden="1">
      <c r="A664" s="21"/>
      <c r="B664" s="7"/>
      <c r="C664" s="7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72"/>
      <c r="Q664" s="73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</row>
    <row r="665" spans="1:235" ht="11.25" hidden="1">
      <c r="A665" s="21"/>
      <c r="B665" s="7"/>
      <c r="C665" s="7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72"/>
      <c r="Q665" s="73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</row>
    <row r="666" spans="1:235" ht="11.25" hidden="1">
      <c r="A666" s="21"/>
      <c r="B666" s="7"/>
      <c r="C666" s="7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72"/>
      <c r="Q666" s="73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</row>
    <row r="667" spans="1:235" ht="11.25" hidden="1">
      <c r="A667" s="21"/>
      <c r="B667" s="7"/>
      <c r="C667" s="7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72"/>
      <c r="Q667" s="73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</row>
    <row r="668" spans="1:235" ht="11.25" hidden="1">
      <c r="A668" s="21"/>
      <c r="B668" s="7"/>
      <c r="C668" s="7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72"/>
      <c r="Q668" s="73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</row>
    <row r="669" spans="1:235" ht="11.25" hidden="1">
      <c r="A669" s="21"/>
      <c r="B669" s="7"/>
      <c r="C669" s="7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72"/>
      <c r="Q669" s="73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</row>
    <row r="670" spans="1:235" ht="11.25" hidden="1">
      <c r="A670" s="21"/>
      <c r="B670" s="7"/>
      <c r="C670" s="7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72"/>
      <c r="Q670" s="73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</row>
    <row r="671" spans="1:17" s="85" customFormat="1" ht="12">
      <c r="A671" s="108">
        <v>250380</v>
      </c>
      <c r="B671" s="77"/>
      <c r="C671" s="77"/>
      <c r="D671" s="89">
        <f>D673+D741+D750+D759</f>
        <v>0</v>
      </c>
      <c r="E671" s="89"/>
      <c r="F671" s="89">
        <f>D671</f>
        <v>0</v>
      </c>
      <c r="G671" s="89">
        <f>G673</f>
        <v>679500</v>
      </c>
      <c r="H671" s="89">
        <f>H673</f>
        <v>750500</v>
      </c>
      <c r="I671" s="89">
        <f>I673</f>
        <v>0</v>
      </c>
      <c r="J671" s="89">
        <f>G671+H671</f>
        <v>1430000</v>
      </c>
      <c r="K671" s="89"/>
      <c r="L671" s="89"/>
      <c r="M671" s="89"/>
      <c r="N671" s="89">
        <f>N673</f>
        <v>250000</v>
      </c>
      <c r="O671" s="89">
        <f>O673</f>
        <v>1730000</v>
      </c>
      <c r="P671" s="89">
        <f>N671+O671</f>
        <v>1980000</v>
      </c>
      <c r="Q671" s="84"/>
    </row>
    <row r="672" spans="1:235" ht="56.25">
      <c r="A672" s="21" t="s">
        <v>310</v>
      </c>
      <c r="B672" s="7"/>
      <c r="C672" s="7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73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</row>
    <row r="673" spans="1:17" s="92" customFormat="1" ht="36" customHeight="1">
      <c r="A673" s="82" t="s">
        <v>412</v>
      </c>
      <c r="B673" s="88"/>
      <c r="C673" s="88"/>
      <c r="D673" s="89"/>
      <c r="E673" s="89"/>
      <c r="F673" s="89">
        <f>D673</f>
        <v>0</v>
      </c>
      <c r="G673" s="89">
        <f>G677*G679</f>
        <v>679500</v>
      </c>
      <c r="H673" s="89">
        <f>H675</f>
        <v>750500</v>
      </c>
      <c r="I673" s="89"/>
      <c r="J673" s="89">
        <f>G673+H673</f>
        <v>1430000</v>
      </c>
      <c r="K673" s="89"/>
      <c r="L673" s="89"/>
      <c r="M673" s="89"/>
      <c r="N673" s="89">
        <f>N677*N679</f>
        <v>250000</v>
      </c>
      <c r="O673" s="89">
        <f>O677*O679</f>
        <v>1730000</v>
      </c>
      <c r="P673" s="89">
        <f>N673+O673</f>
        <v>1980000</v>
      </c>
      <c r="Q673" s="106"/>
    </row>
    <row r="674" spans="1:235" ht="11.25">
      <c r="A674" s="20" t="s">
        <v>4</v>
      </c>
      <c r="B674" s="7"/>
      <c r="C674" s="7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73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</row>
    <row r="675" spans="1:235" ht="11.25">
      <c r="A675" s="21" t="s">
        <v>63</v>
      </c>
      <c r="B675" s="7"/>
      <c r="C675" s="7"/>
      <c r="D675" s="14"/>
      <c r="E675" s="14"/>
      <c r="F675" s="14">
        <f>D675</f>
        <v>0</v>
      </c>
      <c r="G675" s="14">
        <v>679500</v>
      </c>
      <c r="H675" s="14">
        <v>750500</v>
      </c>
      <c r="I675" s="14"/>
      <c r="J675" s="14">
        <f>G675+H675</f>
        <v>1430000</v>
      </c>
      <c r="K675" s="14"/>
      <c r="L675" s="14"/>
      <c r="M675" s="14"/>
      <c r="N675" s="14">
        <f>250000</f>
        <v>250000</v>
      </c>
      <c r="O675" s="14">
        <v>1730000</v>
      </c>
      <c r="P675" s="14">
        <f>N675+O675</f>
        <v>1980000</v>
      </c>
      <c r="Q675" s="73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</row>
    <row r="676" spans="1:235" ht="11.25">
      <c r="A676" s="20" t="s">
        <v>5</v>
      </c>
      <c r="B676" s="7"/>
      <c r="C676" s="7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73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</row>
    <row r="677" spans="1:235" ht="22.5">
      <c r="A677" s="21" t="s">
        <v>313</v>
      </c>
      <c r="B677" s="7"/>
      <c r="C677" s="7"/>
      <c r="D677" s="14"/>
      <c r="E677" s="14"/>
      <c r="F677" s="14"/>
      <c r="G677" s="14">
        <v>1</v>
      </c>
      <c r="H677" s="14">
        <v>1</v>
      </c>
      <c r="I677" s="14"/>
      <c r="J677" s="14">
        <v>1</v>
      </c>
      <c r="K677" s="14"/>
      <c r="L677" s="14"/>
      <c r="M677" s="14"/>
      <c r="N677" s="14">
        <v>1</v>
      </c>
      <c r="O677" s="14">
        <v>1</v>
      </c>
      <c r="P677" s="14">
        <f>N677+O677</f>
        <v>2</v>
      </c>
      <c r="Q677" s="73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</row>
    <row r="678" spans="1:235" ht="11.25">
      <c r="A678" s="20" t="s">
        <v>7</v>
      </c>
      <c r="B678" s="7"/>
      <c r="C678" s="7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73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</row>
    <row r="679" spans="1:235" ht="22.5">
      <c r="A679" s="21" t="s">
        <v>314</v>
      </c>
      <c r="B679" s="7"/>
      <c r="C679" s="7"/>
      <c r="D679" s="14"/>
      <c r="E679" s="14"/>
      <c r="F679" s="14"/>
      <c r="G679" s="14">
        <v>679500</v>
      </c>
      <c r="H679" s="14">
        <f>H675/H677</f>
        <v>750500</v>
      </c>
      <c r="I679" s="151"/>
      <c r="J679" s="151">
        <f>J675/J677</f>
        <v>1430000</v>
      </c>
      <c r="K679" s="151"/>
      <c r="L679" s="151"/>
      <c r="M679" s="151"/>
      <c r="N679" s="151">
        <v>250000</v>
      </c>
      <c r="O679" s="151">
        <f>980000+750000</f>
        <v>1730000</v>
      </c>
      <c r="P679" s="14">
        <f>N679+O679</f>
        <v>1980000</v>
      </c>
      <c r="Q679" s="73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</row>
    <row r="680" spans="1:17" s="85" customFormat="1" ht="12">
      <c r="A680" s="108">
        <v>100101</v>
      </c>
      <c r="B680" s="77"/>
      <c r="C680" s="77"/>
      <c r="D680" s="89">
        <f>D683</f>
        <v>0</v>
      </c>
      <c r="E680" s="89">
        <v>0</v>
      </c>
      <c r="F680" s="89">
        <f>D680</f>
        <v>0</v>
      </c>
      <c r="G680" s="89">
        <f>G683</f>
        <v>2000000</v>
      </c>
      <c r="H680" s="89"/>
      <c r="I680" s="89">
        <f>I683</f>
        <v>0</v>
      </c>
      <c r="J680" s="89">
        <f>J683</f>
        <v>2000000</v>
      </c>
      <c r="K680" s="89"/>
      <c r="L680" s="89"/>
      <c r="M680" s="89"/>
      <c r="N680" s="89">
        <f>N683</f>
        <v>3200000</v>
      </c>
      <c r="O680" s="89"/>
      <c r="P680" s="89">
        <f>P683</f>
        <v>3200000</v>
      </c>
      <c r="Q680" s="84"/>
    </row>
    <row r="681" spans="1:235" ht="33.75">
      <c r="A681" s="22" t="s">
        <v>249</v>
      </c>
      <c r="B681" s="7"/>
      <c r="C681" s="7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73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</row>
    <row r="682" spans="1:235" ht="22.5">
      <c r="A682" s="21" t="s">
        <v>302</v>
      </c>
      <c r="B682" s="7"/>
      <c r="C682" s="7"/>
      <c r="D682" s="62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73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</row>
    <row r="683" spans="1:17" s="92" customFormat="1" ht="37.5" customHeight="1">
      <c r="A683" s="82" t="s">
        <v>413</v>
      </c>
      <c r="B683" s="88"/>
      <c r="C683" s="88"/>
      <c r="D683" s="144"/>
      <c r="E683" s="144"/>
      <c r="F683" s="144">
        <f>D683</f>
        <v>0</v>
      </c>
      <c r="G683" s="89">
        <f>G689*G697</f>
        <v>2000000</v>
      </c>
      <c r="H683" s="89"/>
      <c r="I683" s="89"/>
      <c r="J683" s="89">
        <f>J685</f>
        <v>2000000</v>
      </c>
      <c r="K683" s="89"/>
      <c r="L683" s="89"/>
      <c r="M683" s="89"/>
      <c r="N683" s="89">
        <f>N685</f>
        <v>3200000</v>
      </c>
      <c r="O683" s="89"/>
      <c r="P683" s="89">
        <f>N683</f>
        <v>3200000</v>
      </c>
      <c r="Q683" s="106"/>
    </row>
    <row r="684" spans="1:235" ht="11.25">
      <c r="A684" s="20" t="s">
        <v>4</v>
      </c>
      <c r="B684" s="7"/>
      <c r="C684" s="7"/>
      <c r="D684" s="145"/>
      <c r="E684" s="146"/>
      <c r="F684" s="146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73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</row>
    <row r="685" spans="1:235" ht="10.5" customHeight="1">
      <c r="A685" s="21" t="s">
        <v>63</v>
      </c>
      <c r="B685" s="7"/>
      <c r="C685" s="7"/>
      <c r="D685" s="145"/>
      <c r="E685" s="146"/>
      <c r="F685" s="146"/>
      <c r="G685" s="14">
        <v>2000000</v>
      </c>
      <c r="H685" s="14"/>
      <c r="I685" s="14"/>
      <c r="J685" s="14">
        <f>J689*J697</f>
        <v>2000000</v>
      </c>
      <c r="K685" s="14"/>
      <c r="L685" s="14"/>
      <c r="M685" s="14"/>
      <c r="N685" s="14">
        <v>3200000</v>
      </c>
      <c r="O685" s="14"/>
      <c r="P685" s="14">
        <f>N685</f>
        <v>3200000</v>
      </c>
      <c r="Q685" s="73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</row>
    <row r="686" spans="1:235" ht="11.25" hidden="1">
      <c r="A686" s="21" t="s">
        <v>63</v>
      </c>
      <c r="B686" s="7"/>
      <c r="C686" s="7"/>
      <c r="D686" s="145"/>
      <c r="E686" s="146"/>
      <c r="F686" s="146"/>
      <c r="G686" s="14"/>
      <c r="H686" s="14"/>
      <c r="I686" s="14"/>
      <c r="J686" s="14"/>
      <c r="K686" s="14"/>
      <c r="L686" s="14"/>
      <c r="M686" s="14"/>
      <c r="N686" s="14"/>
      <c r="O686" s="14"/>
      <c r="P686" s="14">
        <f aca="true" t="shared" si="46" ref="P686:P697">N686</f>
        <v>0</v>
      </c>
      <c r="Q686" s="73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</row>
    <row r="687" spans="1:235" ht="11.25">
      <c r="A687" s="20" t="s">
        <v>5</v>
      </c>
      <c r="B687" s="7"/>
      <c r="C687" s="7"/>
      <c r="D687" s="145"/>
      <c r="E687" s="146"/>
      <c r="F687" s="146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73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</row>
    <row r="688" spans="1:235" ht="0.75" customHeight="1" hidden="1">
      <c r="A688" s="21" t="s">
        <v>281</v>
      </c>
      <c r="B688" s="7"/>
      <c r="C688" s="7"/>
      <c r="D688" s="145"/>
      <c r="E688" s="146"/>
      <c r="F688" s="146">
        <f>D688</f>
        <v>0</v>
      </c>
      <c r="G688" s="146">
        <v>1</v>
      </c>
      <c r="H688" s="146"/>
      <c r="I688" s="146"/>
      <c r="J688" s="146">
        <f>G688</f>
        <v>1</v>
      </c>
      <c r="K688" s="14"/>
      <c r="L688" s="14"/>
      <c r="M688" s="14"/>
      <c r="N688" s="14"/>
      <c r="O688" s="14"/>
      <c r="P688" s="14">
        <f t="shared" si="46"/>
        <v>0</v>
      </c>
      <c r="Q688" s="73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</row>
    <row r="689" spans="1:235" ht="11.25">
      <c r="A689" s="21" t="s">
        <v>296</v>
      </c>
      <c r="B689" s="7"/>
      <c r="C689" s="7"/>
      <c r="D689" s="145"/>
      <c r="E689" s="146"/>
      <c r="F689" s="146"/>
      <c r="G689" s="146">
        <v>500</v>
      </c>
      <c r="H689" s="146"/>
      <c r="I689" s="146"/>
      <c r="J689" s="146">
        <v>500</v>
      </c>
      <c r="K689" s="14"/>
      <c r="L689" s="14"/>
      <c r="M689" s="14"/>
      <c r="N689" s="14">
        <v>1244</v>
      </c>
      <c r="O689" s="14"/>
      <c r="P689" s="14">
        <f t="shared" si="46"/>
        <v>1244</v>
      </c>
      <c r="Q689" s="73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</row>
    <row r="690" spans="1:235" ht="10.5" customHeight="1">
      <c r="A690" s="20" t="s">
        <v>7</v>
      </c>
      <c r="B690" s="7"/>
      <c r="C690" s="7"/>
      <c r="D690" s="145"/>
      <c r="E690" s="146"/>
      <c r="F690" s="146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73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</row>
    <row r="691" spans="1:235" ht="15" customHeight="1" hidden="1">
      <c r="A691" s="21" t="s">
        <v>282</v>
      </c>
      <c r="B691" s="7"/>
      <c r="C691" s="7"/>
      <c r="D691" s="145"/>
      <c r="E691" s="146"/>
      <c r="F691" s="146"/>
      <c r="G691" s="14">
        <v>465000</v>
      </c>
      <c r="H691" s="14"/>
      <c r="I691" s="14"/>
      <c r="J691" s="14">
        <f>G691</f>
        <v>465000</v>
      </c>
      <c r="K691" s="14"/>
      <c r="L691" s="14"/>
      <c r="M691" s="14"/>
      <c r="N691" s="14"/>
      <c r="O691" s="14"/>
      <c r="P691" s="14">
        <f t="shared" si="46"/>
        <v>0</v>
      </c>
      <c r="Q691" s="73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</row>
    <row r="692" spans="1:235" ht="11.25" hidden="1">
      <c r="A692" s="21"/>
      <c r="B692" s="7"/>
      <c r="C692" s="7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>
        <f t="shared" si="46"/>
        <v>0</v>
      </c>
      <c r="Q692" s="73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</row>
    <row r="693" spans="1:235" ht="11.25" hidden="1">
      <c r="A693" s="21"/>
      <c r="B693" s="7"/>
      <c r="C693" s="7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>
        <f t="shared" si="46"/>
        <v>0</v>
      </c>
      <c r="Q693" s="7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</row>
    <row r="694" spans="1:235" ht="11.25" hidden="1">
      <c r="A694" s="21"/>
      <c r="B694" s="7"/>
      <c r="C694" s="7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>
        <f t="shared" si="46"/>
        <v>0</v>
      </c>
      <c r="Q694" s="73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</row>
    <row r="695" spans="1:235" ht="11.25" hidden="1">
      <c r="A695" s="21"/>
      <c r="B695" s="7"/>
      <c r="C695" s="7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>
        <f t="shared" si="46"/>
        <v>0</v>
      </c>
      <c r="Q695" s="73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</row>
    <row r="696" spans="1:235" ht="11.25" hidden="1">
      <c r="A696" s="21"/>
      <c r="B696" s="7"/>
      <c r="C696" s="7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>
        <f t="shared" si="46"/>
        <v>0</v>
      </c>
      <c r="Q696" s="73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</row>
    <row r="697" spans="1:235" ht="22.5">
      <c r="A697" s="21" t="s">
        <v>297</v>
      </c>
      <c r="B697" s="7"/>
      <c r="C697" s="7"/>
      <c r="D697" s="14"/>
      <c r="E697" s="14"/>
      <c r="F697" s="14"/>
      <c r="G697" s="14">
        <v>4000</v>
      </c>
      <c r="H697" s="14"/>
      <c r="I697" s="14"/>
      <c r="J697" s="14">
        <v>4000</v>
      </c>
      <c r="K697" s="14"/>
      <c r="L697" s="14"/>
      <c r="M697" s="14"/>
      <c r="N697" s="14">
        <v>2572.339</v>
      </c>
      <c r="O697" s="14"/>
      <c r="P697" s="14">
        <f t="shared" si="46"/>
        <v>2572.339</v>
      </c>
      <c r="Q697" s="73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</row>
    <row r="698" spans="1:17" s="85" customFormat="1" ht="12.75">
      <c r="A698" s="83" t="s">
        <v>317</v>
      </c>
      <c r="B698" s="77"/>
      <c r="C698" s="77"/>
      <c r="D698" s="78"/>
      <c r="E698" s="78"/>
      <c r="F698" s="78"/>
      <c r="G698" s="152">
        <f>G699</f>
        <v>349999.999992</v>
      </c>
      <c r="H698" s="152"/>
      <c r="I698" s="152">
        <f>I699</f>
        <v>0</v>
      </c>
      <c r="J698" s="152">
        <f>G698</f>
        <v>349999.999992</v>
      </c>
      <c r="K698" s="78"/>
      <c r="L698" s="78"/>
      <c r="M698" s="78"/>
      <c r="N698" s="152">
        <f>N699</f>
        <v>349999.999992</v>
      </c>
      <c r="O698" s="152"/>
      <c r="P698" s="152">
        <f>N698</f>
        <v>349999.999992</v>
      </c>
      <c r="Q698" s="84"/>
    </row>
    <row r="699" spans="1:17" s="92" customFormat="1" ht="22.5">
      <c r="A699" s="82" t="s">
        <v>414</v>
      </c>
      <c r="B699" s="88"/>
      <c r="C699" s="88"/>
      <c r="D699" s="89"/>
      <c r="E699" s="89"/>
      <c r="F699" s="89"/>
      <c r="G699" s="89">
        <f>G703*G705</f>
        <v>349999.999992</v>
      </c>
      <c r="H699" s="89"/>
      <c r="I699" s="89"/>
      <c r="J699" s="89">
        <f>G699</f>
        <v>349999.999992</v>
      </c>
      <c r="K699" s="89"/>
      <c r="L699" s="89"/>
      <c r="M699" s="89"/>
      <c r="N699" s="89">
        <f>N703*N705</f>
        <v>349999.999992</v>
      </c>
      <c r="O699" s="89"/>
      <c r="P699" s="152">
        <f>N699</f>
        <v>349999.999992</v>
      </c>
      <c r="Q699" s="106"/>
    </row>
    <row r="700" spans="1:235" ht="11.25">
      <c r="A700" s="20" t="s">
        <v>4</v>
      </c>
      <c r="B700" s="7"/>
      <c r="C700" s="7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73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</row>
    <row r="701" spans="1:235" ht="22.5">
      <c r="A701" s="55" t="s">
        <v>78</v>
      </c>
      <c r="B701" s="7"/>
      <c r="C701" s="7"/>
      <c r="D701" s="14"/>
      <c r="E701" s="14"/>
      <c r="F701" s="14"/>
      <c r="G701" s="14">
        <f>G703*G705</f>
        <v>349999.999992</v>
      </c>
      <c r="H701" s="14"/>
      <c r="I701" s="14"/>
      <c r="J701" s="14">
        <f>G701</f>
        <v>349999.999992</v>
      </c>
      <c r="K701" s="14"/>
      <c r="L701" s="14"/>
      <c r="M701" s="14"/>
      <c r="N701" s="14">
        <f>N703*N705</f>
        <v>349999.999992</v>
      </c>
      <c r="O701" s="14"/>
      <c r="P701" s="14">
        <f>N701</f>
        <v>349999.999992</v>
      </c>
      <c r="Q701" s="73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</row>
    <row r="702" spans="1:235" ht="11.25">
      <c r="A702" s="20" t="s">
        <v>5</v>
      </c>
      <c r="B702" s="7"/>
      <c r="C702" s="7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73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</row>
    <row r="703" spans="1:235" ht="27.75" customHeight="1">
      <c r="A703" s="55" t="s">
        <v>77</v>
      </c>
      <c r="B703" s="7"/>
      <c r="C703" s="7"/>
      <c r="D703" s="14"/>
      <c r="E703" s="14"/>
      <c r="F703" s="14"/>
      <c r="G703" s="14">
        <v>12</v>
      </c>
      <c r="H703" s="14"/>
      <c r="I703" s="14"/>
      <c r="J703" s="14">
        <f>G703</f>
        <v>12</v>
      </c>
      <c r="K703" s="14"/>
      <c r="L703" s="14"/>
      <c r="M703" s="14"/>
      <c r="N703" s="14">
        <v>12</v>
      </c>
      <c r="O703" s="14"/>
      <c r="P703" s="14">
        <f>N703</f>
        <v>12</v>
      </c>
      <c r="Q703" s="7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</row>
    <row r="704" spans="1:235" ht="11.25">
      <c r="A704" s="20" t="s">
        <v>7</v>
      </c>
      <c r="B704" s="7"/>
      <c r="C704" s="7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73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</row>
    <row r="705" spans="1:235" ht="33.75">
      <c r="A705" s="55" t="s">
        <v>81</v>
      </c>
      <c r="B705" s="7"/>
      <c r="C705" s="7"/>
      <c r="D705" s="14"/>
      <c r="E705" s="14"/>
      <c r="F705" s="14"/>
      <c r="G705" s="14">
        <v>29166.666666</v>
      </c>
      <c r="H705" s="14"/>
      <c r="I705" s="14"/>
      <c r="J705" s="14">
        <f>G705</f>
        <v>29166.666666</v>
      </c>
      <c r="K705" s="14"/>
      <c r="L705" s="14"/>
      <c r="M705" s="14"/>
      <c r="N705" s="14">
        <v>29166.666666</v>
      </c>
      <c r="O705" s="14"/>
      <c r="P705" s="14">
        <f>N705</f>
        <v>29166.666666</v>
      </c>
      <c r="Q705" s="73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</row>
    <row r="706" spans="1:17" s="85" customFormat="1" ht="12">
      <c r="A706" s="108">
        <v>150101</v>
      </c>
      <c r="B706" s="77"/>
      <c r="C706" s="77"/>
      <c r="D706" s="89">
        <f>D709</f>
        <v>0</v>
      </c>
      <c r="E706" s="89">
        <v>0</v>
      </c>
      <c r="F706" s="89">
        <f>D706</f>
        <v>0</v>
      </c>
      <c r="G706" s="89">
        <f>G709+G718</f>
        <v>499999.999998</v>
      </c>
      <c r="H706" s="89">
        <f>H709+H718</f>
        <v>1473000</v>
      </c>
      <c r="I706" s="89">
        <f>I709+I718</f>
        <v>0</v>
      </c>
      <c r="J706" s="89">
        <f>J709+J718</f>
        <v>1972999.999998</v>
      </c>
      <c r="K706" s="89"/>
      <c r="L706" s="89"/>
      <c r="M706" s="89"/>
      <c r="N706" s="89">
        <f>N709</f>
        <v>0</v>
      </c>
      <c r="O706" s="89"/>
      <c r="P706" s="89">
        <f>P709</f>
        <v>0</v>
      </c>
      <c r="Q706" s="84"/>
    </row>
    <row r="707" spans="1:235" ht="33.75">
      <c r="A707" s="22" t="s">
        <v>344</v>
      </c>
      <c r="B707" s="7"/>
      <c r="C707" s="7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73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</row>
    <row r="708" spans="1:235" ht="15" customHeight="1">
      <c r="A708" s="21" t="s">
        <v>337</v>
      </c>
      <c r="B708" s="7"/>
      <c r="C708" s="7"/>
      <c r="D708" s="62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73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</row>
    <row r="709" spans="1:17" s="92" customFormat="1" ht="33.75">
      <c r="A709" s="82" t="s">
        <v>415</v>
      </c>
      <c r="B709" s="88"/>
      <c r="C709" s="88"/>
      <c r="D709" s="144"/>
      <c r="E709" s="144"/>
      <c r="F709" s="144">
        <f>D709</f>
        <v>0</v>
      </c>
      <c r="G709" s="89">
        <f>G714*G717</f>
        <v>499999.999998</v>
      </c>
      <c r="H709" s="89"/>
      <c r="I709" s="89"/>
      <c r="J709" s="89">
        <f>G709</f>
        <v>499999.999998</v>
      </c>
      <c r="K709" s="89"/>
      <c r="L709" s="89"/>
      <c r="M709" s="89"/>
      <c r="N709" s="89"/>
      <c r="O709" s="89"/>
      <c r="P709" s="89"/>
      <c r="Q709" s="106"/>
    </row>
    <row r="710" spans="1:235" ht="11.25">
      <c r="A710" s="20" t="s">
        <v>4</v>
      </c>
      <c r="B710" s="7"/>
      <c r="C710" s="7"/>
      <c r="D710" s="145"/>
      <c r="E710" s="146"/>
      <c r="F710" s="146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73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</row>
    <row r="711" spans="1:235" ht="10.5" customHeight="1">
      <c r="A711" s="21" t="s">
        <v>63</v>
      </c>
      <c r="B711" s="7"/>
      <c r="C711" s="7"/>
      <c r="D711" s="145"/>
      <c r="E711" s="146"/>
      <c r="F711" s="146"/>
      <c r="G711" s="14">
        <v>500000</v>
      </c>
      <c r="H711" s="14"/>
      <c r="I711" s="14"/>
      <c r="J711" s="14">
        <f>G711</f>
        <v>500000</v>
      </c>
      <c r="K711" s="14"/>
      <c r="L711" s="14"/>
      <c r="M711" s="14"/>
      <c r="N711" s="14"/>
      <c r="O711" s="14"/>
      <c r="P711" s="14"/>
      <c r="Q711" s="73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</row>
    <row r="712" spans="1:235" ht="11.25" hidden="1">
      <c r="A712" s="21" t="s">
        <v>63</v>
      </c>
      <c r="B712" s="7"/>
      <c r="C712" s="7"/>
      <c r="D712" s="145"/>
      <c r="E712" s="146"/>
      <c r="F712" s="146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73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</row>
    <row r="713" spans="1:235" ht="11.25">
      <c r="A713" s="20" t="s">
        <v>5</v>
      </c>
      <c r="B713" s="7"/>
      <c r="C713" s="7"/>
      <c r="D713" s="145"/>
      <c r="E713" s="146"/>
      <c r="F713" s="146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7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</row>
    <row r="714" spans="1:235" ht="10.5" customHeight="1">
      <c r="A714" s="21" t="s">
        <v>338</v>
      </c>
      <c r="B714" s="7"/>
      <c r="C714" s="7"/>
      <c r="D714" s="145"/>
      <c r="E714" s="146"/>
      <c r="F714" s="146">
        <f>D714</f>
        <v>0</v>
      </c>
      <c r="G714" s="146">
        <v>3</v>
      </c>
      <c r="H714" s="146"/>
      <c r="I714" s="146"/>
      <c r="J714" s="146">
        <f>G714</f>
        <v>3</v>
      </c>
      <c r="K714" s="146">
        <f>H714</f>
        <v>0</v>
      </c>
      <c r="L714" s="146">
        <f>J714</f>
        <v>3</v>
      </c>
      <c r="M714" s="146">
        <f>K714</f>
        <v>0</v>
      </c>
      <c r="N714" s="146"/>
      <c r="O714" s="146"/>
      <c r="P714" s="146"/>
      <c r="Q714" s="73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</row>
    <row r="715" spans="1:235" ht="11.25" hidden="1">
      <c r="A715" s="21" t="s">
        <v>296</v>
      </c>
      <c r="B715" s="7"/>
      <c r="C715" s="7"/>
      <c r="D715" s="145"/>
      <c r="E715" s="146"/>
      <c r="F715" s="146"/>
      <c r="G715" s="146">
        <v>1487</v>
      </c>
      <c r="H715" s="146"/>
      <c r="I715" s="146"/>
      <c r="J715" s="146">
        <f>G715</f>
        <v>1487</v>
      </c>
      <c r="K715" s="146"/>
      <c r="L715" s="146"/>
      <c r="M715" s="146"/>
      <c r="N715" s="146"/>
      <c r="O715" s="146"/>
      <c r="P715" s="146"/>
      <c r="Q715" s="73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</row>
    <row r="716" spans="1:235" ht="11.25">
      <c r="A716" s="20" t="s">
        <v>7</v>
      </c>
      <c r="B716" s="7"/>
      <c r="C716" s="7"/>
      <c r="D716" s="145"/>
      <c r="E716" s="146"/>
      <c r="F716" s="146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73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</row>
    <row r="717" spans="1:235" ht="22.5">
      <c r="A717" s="21" t="s">
        <v>339</v>
      </c>
      <c r="B717" s="7"/>
      <c r="C717" s="7"/>
      <c r="D717" s="145"/>
      <c r="E717" s="146"/>
      <c r="F717" s="146"/>
      <c r="G717" s="14">
        <v>166666.666666</v>
      </c>
      <c r="H717" s="14"/>
      <c r="I717" s="14"/>
      <c r="J717" s="14">
        <f>G717</f>
        <v>166666.666666</v>
      </c>
      <c r="K717" s="14"/>
      <c r="L717" s="14"/>
      <c r="M717" s="14"/>
      <c r="N717" s="14"/>
      <c r="O717" s="14"/>
      <c r="P717" s="14"/>
      <c r="Q717" s="73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</row>
    <row r="718" spans="1:17" s="92" customFormat="1" ht="33.75">
      <c r="A718" s="82" t="s">
        <v>416</v>
      </c>
      <c r="B718" s="88"/>
      <c r="C718" s="88"/>
      <c r="D718" s="144"/>
      <c r="E718" s="144"/>
      <c r="F718" s="144">
        <f>D718</f>
        <v>0</v>
      </c>
      <c r="G718" s="89">
        <f>G720</f>
        <v>0</v>
      </c>
      <c r="H718" s="89">
        <f>H723*H726</f>
        <v>1473000</v>
      </c>
      <c r="I718" s="89"/>
      <c r="J718" s="89">
        <f>G718+H718+I718</f>
        <v>1473000</v>
      </c>
      <c r="K718" s="89"/>
      <c r="L718" s="89"/>
      <c r="M718" s="89"/>
      <c r="N718" s="89"/>
      <c r="O718" s="89"/>
      <c r="P718" s="89"/>
      <c r="Q718" s="106"/>
    </row>
    <row r="719" spans="1:235" ht="11.25">
      <c r="A719" s="20" t="s">
        <v>4</v>
      </c>
      <c r="B719" s="7"/>
      <c r="C719" s="7"/>
      <c r="D719" s="145"/>
      <c r="E719" s="146"/>
      <c r="F719" s="146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73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</row>
    <row r="720" spans="1:235" ht="10.5" customHeight="1">
      <c r="A720" s="21" t="s">
        <v>63</v>
      </c>
      <c r="B720" s="7"/>
      <c r="C720" s="7"/>
      <c r="D720" s="145"/>
      <c r="E720" s="146"/>
      <c r="F720" s="146"/>
      <c r="G720" s="14"/>
      <c r="H720" s="14">
        <v>1473000</v>
      </c>
      <c r="I720" s="14"/>
      <c r="J720" s="14">
        <f>H720</f>
        <v>1473000</v>
      </c>
      <c r="K720" s="14"/>
      <c r="L720" s="14"/>
      <c r="M720" s="14"/>
      <c r="N720" s="14"/>
      <c r="O720" s="14"/>
      <c r="P720" s="14"/>
      <c r="Q720" s="73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</row>
    <row r="721" spans="1:235" ht="11.25" hidden="1">
      <c r="A721" s="21" t="s">
        <v>63</v>
      </c>
      <c r="B721" s="7"/>
      <c r="C721" s="7"/>
      <c r="D721" s="145"/>
      <c r="E721" s="146"/>
      <c r="F721" s="146"/>
      <c r="G721" s="14"/>
      <c r="H721" s="14"/>
      <c r="I721" s="14"/>
      <c r="J721" s="14">
        <f aca="true" t="shared" si="47" ref="J721:J726">H721</f>
        <v>0</v>
      </c>
      <c r="K721" s="14"/>
      <c r="L721" s="14"/>
      <c r="M721" s="14"/>
      <c r="N721" s="14"/>
      <c r="O721" s="14"/>
      <c r="P721" s="14"/>
      <c r="Q721" s="73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</row>
    <row r="722" spans="1:235" ht="11.25">
      <c r="A722" s="20" t="s">
        <v>5</v>
      </c>
      <c r="B722" s="7"/>
      <c r="C722" s="7"/>
      <c r="D722" s="145"/>
      <c r="E722" s="146"/>
      <c r="F722" s="146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73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</row>
    <row r="723" spans="1:235" ht="10.5" customHeight="1">
      <c r="A723" s="21" t="s">
        <v>338</v>
      </c>
      <c r="B723" s="7"/>
      <c r="C723" s="7"/>
      <c r="D723" s="145"/>
      <c r="E723" s="146"/>
      <c r="F723" s="146">
        <f>D723</f>
        <v>0</v>
      </c>
      <c r="G723" s="146"/>
      <c r="H723" s="146">
        <v>1</v>
      </c>
      <c r="I723" s="146"/>
      <c r="J723" s="14">
        <f t="shared" si="47"/>
        <v>1</v>
      </c>
      <c r="K723" s="146">
        <f>H723</f>
        <v>1</v>
      </c>
      <c r="L723" s="146">
        <f>J723</f>
        <v>1</v>
      </c>
      <c r="M723" s="146">
        <f>K723</f>
        <v>1</v>
      </c>
      <c r="N723" s="146"/>
      <c r="O723" s="146"/>
      <c r="P723" s="146"/>
      <c r="Q723" s="7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</row>
    <row r="724" spans="1:235" ht="11.25" hidden="1">
      <c r="A724" s="21" t="s">
        <v>296</v>
      </c>
      <c r="B724" s="7"/>
      <c r="C724" s="7"/>
      <c r="D724" s="145"/>
      <c r="E724" s="146"/>
      <c r="F724" s="146"/>
      <c r="G724" s="146">
        <v>1487</v>
      </c>
      <c r="H724" s="146"/>
      <c r="I724" s="146"/>
      <c r="J724" s="14">
        <f t="shared" si="47"/>
        <v>0</v>
      </c>
      <c r="K724" s="146"/>
      <c r="L724" s="146"/>
      <c r="M724" s="146"/>
      <c r="N724" s="146"/>
      <c r="O724" s="146"/>
      <c r="P724" s="146"/>
      <c r="Q724" s="73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</row>
    <row r="725" spans="1:235" ht="11.25">
      <c r="A725" s="20" t="s">
        <v>7</v>
      </c>
      <c r="B725" s="7"/>
      <c r="C725" s="7"/>
      <c r="D725" s="145"/>
      <c r="E725" s="146"/>
      <c r="F725" s="146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73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</row>
    <row r="726" spans="1:235" ht="22.5">
      <c r="A726" s="21" t="s">
        <v>342</v>
      </c>
      <c r="B726" s="7"/>
      <c r="C726" s="7"/>
      <c r="D726" s="145"/>
      <c r="E726" s="146"/>
      <c r="F726" s="146"/>
      <c r="G726" s="14"/>
      <c r="H726" s="14">
        <v>1473000</v>
      </c>
      <c r="I726" s="14"/>
      <c r="J726" s="14">
        <f t="shared" si="47"/>
        <v>1473000</v>
      </c>
      <c r="K726" s="14"/>
      <c r="L726" s="14"/>
      <c r="M726" s="14"/>
      <c r="N726" s="14"/>
      <c r="O726" s="14"/>
      <c r="P726" s="14"/>
      <c r="Q726" s="73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</row>
    <row r="727" spans="1:235" ht="11.25">
      <c r="A727" s="71"/>
      <c r="B727" s="53"/>
      <c r="C727" s="53"/>
      <c r="D727" s="153"/>
      <c r="E727" s="154"/>
      <c r="F727" s="154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3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</row>
    <row r="728" spans="1:235" ht="11.25">
      <c r="A728" s="71"/>
      <c r="B728" s="53"/>
      <c r="C728" s="53"/>
      <c r="D728" s="153"/>
      <c r="E728" s="154"/>
      <c r="F728" s="154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3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</row>
    <row r="729" spans="1:235" ht="11.25">
      <c r="A729" s="71"/>
      <c r="B729" s="53"/>
      <c r="C729" s="53"/>
      <c r="D729" s="153"/>
      <c r="E729" s="154"/>
      <c r="F729" s="154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3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</row>
    <row r="730" spans="1:235" ht="11.25">
      <c r="A730" s="71"/>
      <c r="B730" s="53"/>
      <c r="C730" s="53"/>
      <c r="D730" s="153"/>
      <c r="E730" s="154"/>
      <c r="F730" s="154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3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</row>
    <row r="731" spans="1:235" ht="11.25" hidden="1">
      <c r="A731" s="71"/>
      <c r="B731" s="53"/>
      <c r="C731" s="53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3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</row>
    <row r="732" spans="1:235" ht="11.25" hidden="1">
      <c r="A732" s="71"/>
      <c r="B732" s="53"/>
      <c r="C732" s="53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3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</row>
    <row r="733" spans="1:235" ht="11.25" hidden="1">
      <c r="A733" s="71"/>
      <c r="B733" s="53"/>
      <c r="C733" s="53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</row>
    <row r="734" spans="1:235" ht="11.25" hidden="1">
      <c r="A734" s="71"/>
      <c r="B734" s="53"/>
      <c r="C734" s="53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3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</row>
    <row r="735" spans="1:235" ht="11.25" hidden="1">
      <c r="A735" s="71"/>
      <c r="B735" s="53"/>
      <c r="C735" s="53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3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</row>
    <row r="736" spans="1:235" ht="11.25" hidden="1">
      <c r="A736" s="71"/>
      <c r="B736" s="53"/>
      <c r="C736" s="53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3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</row>
    <row r="737" spans="1:235" ht="11.25" hidden="1">
      <c r="A737" s="71"/>
      <c r="B737" s="53"/>
      <c r="C737" s="53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3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</row>
    <row r="738" spans="1:235" ht="11.25" hidden="1">
      <c r="A738" s="71"/>
      <c r="B738" s="53"/>
      <c r="C738" s="53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3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</row>
    <row r="739" spans="1:235" ht="11.25" hidden="1">
      <c r="A739" s="71"/>
      <c r="B739" s="53"/>
      <c r="C739" s="53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3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</row>
    <row r="740" spans="1:235" ht="10.5" customHeight="1" hidden="1">
      <c r="A740" s="71"/>
      <c r="B740" s="53"/>
      <c r="C740" s="53"/>
      <c r="D740" s="149"/>
      <c r="E740" s="150"/>
      <c r="F740" s="150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3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</row>
    <row r="741" spans="1:235" ht="11.25" hidden="1">
      <c r="A741" s="71"/>
      <c r="B741" s="53"/>
      <c r="C741" s="53"/>
      <c r="D741" s="149"/>
      <c r="E741" s="150"/>
      <c r="F741" s="150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3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</row>
    <row r="742" spans="1:235" ht="11.25" hidden="1">
      <c r="A742" s="71"/>
      <c r="B742" s="53"/>
      <c r="C742" s="53"/>
      <c r="D742" s="149"/>
      <c r="E742" s="150"/>
      <c r="F742" s="150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3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</row>
    <row r="743" spans="1:235" ht="11.25" hidden="1">
      <c r="A743" s="71"/>
      <c r="B743" s="53"/>
      <c r="C743" s="53"/>
      <c r="D743" s="149"/>
      <c r="E743" s="150"/>
      <c r="F743" s="150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</row>
    <row r="744" spans="1:235" ht="11.25" hidden="1">
      <c r="A744" s="71"/>
      <c r="B744" s="53"/>
      <c r="C744" s="53"/>
      <c r="D744" s="149"/>
      <c r="E744" s="150"/>
      <c r="F744" s="150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3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</row>
    <row r="745" spans="1:235" ht="11.25" hidden="1">
      <c r="A745" s="71"/>
      <c r="B745" s="53"/>
      <c r="C745" s="53"/>
      <c r="D745" s="149"/>
      <c r="E745" s="150"/>
      <c r="F745" s="150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3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</row>
    <row r="746" spans="1:235" ht="11.25" hidden="1">
      <c r="A746" s="71"/>
      <c r="B746" s="53"/>
      <c r="C746" s="53"/>
      <c r="D746" s="149"/>
      <c r="E746" s="150"/>
      <c r="F746" s="150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3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</row>
    <row r="747" spans="1:235" ht="11.25" hidden="1">
      <c r="A747" s="71"/>
      <c r="B747" s="53"/>
      <c r="C747" s="53"/>
      <c r="D747" s="149"/>
      <c r="E747" s="150"/>
      <c r="F747" s="150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3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</row>
    <row r="748" spans="1:235" ht="11.25" hidden="1">
      <c r="A748" s="71"/>
      <c r="B748" s="53"/>
      <c r="C748" s="53"/>
      <c r="D748" s="149"/>
      <c r="E748" s="150"/>
      <c r="F748" s="150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3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</row>
    <row r="749" spans="1:235" ht="12" customHeight="1" hidden="1">
      <c r="A749" s="71"/>
      <c r="B749" s="53"/>
      <c r="C749" s="53"/>
      <c r="D749" s="149"/>
      <c r="E749" s="150"/>
      <c r="F749" s="150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3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</row>
    <row r="750" spans="1:235" ht="11.25" hidden="1">
      <c r="A750" s="71"/>
      <c r="B750" s="53"/>
      <c r="C750" s="53"/>
      <c r="D750" s="149"/>
      <c r="E750" s="150"/>
      <c r="F750" s="150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3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</row>
    <row r="751" spans="1:235" ht="29.25" customHeight="1" hidden="1">
      <c r="A751" s="66"/>
      <c r="B751" s="66"/>
      <c r="C751" s="66"/>
      <c r="D751" s="155"/>
      <c r="E751" s="156"/>
      <c r="F751" s="156"/>
      <c r="G751" s="156"/>
      <c r="H751" s="156"/>
      <c r="I751" s="156"/>
      <c r="J751" s="157"/>
      <c r="K751" s="157"/>
      <c r="L751" s="157"/>
      <c r="M751" s="157"/>
      <c r="N751" s="157"/>
      <c r="O751" s="157"/>
      <c r="P751" s="157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</row>
    <row r="752" spans="1:235" ht="20.25" customHeight="1">
      <c r="A752" s="196" t="s">
        <v>234</v>
      </c>
      <c r="B752" s="196"/>
      <c r="C752" s="196"/>
      <c r="D752" s="158"/>
      <c r="E752" s="158"/>
      <c r="F752" s="159"/>
      <c r="G752" s="160"/>
      <c r="H752" s="160"/>
      <c r="I752" s="160"/>
      <c r="J752" s="161"/>
      <c r="K752" s="161"/>
      <c r="L752" s="161"/>
      <c r="M752" s="161"/>
      <c r="N752" s="160"/>
      <c r="O752" s="204" t="s">
        <v>235</v>
      </c>
      <c r="P752" s="204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</row>
    <row r="753" spans="1:235" ht="20.25" customHeight="1">
      <c r="A753" s="94"/>
      <c r="B753" s="94"/>
      <c r="C753" s="94"/>
      <c r="D753" s="158"/>
      <c r="E753" s="158"/>
      <c r="F753" s="159"/>
      <c r="G753" s="160"/>
      <c r="H753" s="160"/>
      <c r="I753" s="160"/>
      <c r="J753" s="161"/>
      <c r="K753" s="161"/>
      <c r="L753" s="161"/>
      <c r="M753" s="161"/>
      <c r="N753" s="160"/>
      <c r="O753" s="162"/>
      <c r="P753" s="162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</row>
    <row r="754" spans="1:235" ht="12.75" customHeight="1">
      <c r="A754" s="94"/>
      <c r="B754" s="94"/>
      <c r="C754" s="94"/>
      <c r="D754" s="158"/>
      <c r="E754" s="158"/>
      <c r="F754" s="159"/>
      <c r="G754" s="160"/>
      <c r="H754" s="160"/>
      <c r="I754" s="160"/>
      <c r="J754" s="161"/>
      <c r="K754" s="161"/>
      <c r="L754" s="161"/>
      <c r="M754" s="161"/>
      <c r="N754" s="160"/>
      <c r="O754" s="162"/>
      <c r="P754" s="162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</row>
    <row r="755" spans="1:235" ht="18.75" customHeight="1">
      <c r="A755" s="195" t="s">
        <v>263</v>
      </c>
      <c r="B755" s="195"/>
      <c r="C755" s="67"/>
      <c r="D755" s="163"/>
      <c r="E755" s="158"/>
      <c r="F755" s="160"/>
      <c r="G755" s="158"/>
      <c r="H755" s="158"/>
      <c r="I755" s="158"/>
      <c r="J755" s="164"/>
      <c r="K755" s="164"/>
      <c r="L755" s="164"/>
      <c r="M755" s="164"/>
      <c r="N755" s="164"/>
      <c r="O755" s="164"/>
      <c r="P755" s="164"/>
      <c r="Q755" s="68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</row>
    <row r="756" spans="1:235" ht="27.75" customHeight="1">
      <c r="A756" s="48" t="s">
        <v>236</v>
      </c>
      <c r="B756" s="48"/>
      <c r="C756" s="30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</row>
    <row r="757" spans="1:235" ht="28.5" customHeight="1">
      <c r="A757" s="28"/>
      <c r="B757" s="29"/>
      <c r="C757" s="24"/>
      <c r="D757" s="166"/>
      <c r="E757" s="166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</row>
    <row r="758" spans="1:235" ht="11.25">
      <c r="A758" s="4"/>
      <c r="B758" s="4"/>
      <c r="C758" s="4"/>
      <c r="D758" s="167"/>
      <c r="E758" s="167"/>
      <c r="F758" s="167"/>
      <c r="G758" s="167"/>
      <c r="H758" s="167"/>
      <c r="I758" s="167"/>
      <c r="J758" s="167"/>
      <c r="K758" s="168"/>
      <c r="L758" s="168"/>
      <c r="M758" s="16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</row>
    <row r="759" spans="1:235" ht="11.25">
      <c r="A759" s="4"/>
      <c r="B759" s="4"/>
      <c r="C759" s="4"/>
      <c r="D759" s="167"/>
      <c r="E759" s="167"/>
      <c r="F759" s="167"/>
      <c r="G759" s="167"/>
      <c r="H759" s="167"/>
      <c r="I759" s="167"/>
      <c r="J759" s="167"/>
      <c r="K759" s="168"/>
      <c r="L759" s="168"/>
      <c r="M759" s="168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</row>
    <row r="760" spans="1:235" ht="11.25">
      <c r="A760" s="4"/>
      <c r="B760" s="4"/>
      <c r="C760" s="4"/>
      <c r="D760" s="167"/>
      <c r="E760" s="167"/>
      <c r="F760" s="167"/>
      <c r="G760" s="167"/>
      <c r="H760" s="167"/>
      <c r="I760" s="167"/>
      <c r="J760" s="167"/>
      <c r="K760" s="168"/>
      <c r="L760" s="168"/>
      <c r="M760" s="168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</row>
    <row r="761" spans="1:235" ht="11.25">
      <c r="A761" s="4"/>
      <c r="B761" s="4"/>
      <c r="C761" s="4"/>
      <c r="D761" s="167"/>
      <c r="E761" s="167"/>
      <c r="F761" s="167"/>
      <c r="G761" s="167"/>
      <c r="H761" s="167"/>
      <c r="I761" s="167"/>
      <c r="J761" s="167"/>
      <c r="K761" s="168"/>
      <c r="L761" s="168"/>
      <c r="M761" s="168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</row>
    <row r="762" spans="1:235" ht="11.25">
      <c r="A762" s="2"/>
      <c r="B762" s="2"/>
      <c r="C762" s="2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</row>
    <row r="763" spans="1:235" ht="11.25">
      <c r="A763" s="2"/>
      <c r="B763" s="2"/>
      <c r="C763" s="2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</row>
    <row r="764" spans="1:235" ht="11.25">
      <c r="A764" s="2"/>
      <c r="B764" s="2"/>
      <c r="C764" s="2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</row>
    <row r="765" spans="1:235" ht="11.25">
      <c r="A765" s="2"/>
      <c r="B765" s="2"/>
      <c r="C765" s="2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</row>
    <row r="766" spans="1:235" ht="11.25">
      <c r="A766" s="2"/>
      <c r="B766" s="2"/>
      <c r="C766" s="2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</row>
    <row r="767" spans="1:235" ht="11.25">
      <c r="A767" s="2"/>
      <c r="B767" s="2"/>
      <c r="C767" s="2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</row>
    <row r="768" spans="1:235" ht="11.25">
      <c r="A768" s="2"/>
      <c r="B768" s="2"/>
      <c r="C768" s="2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</row>
    <row r="769" spans="1:235" ht="11.25">
      <c r="A769" s="2"/>
      <c r="B769" s="2"/>
      <c r="C769" s="2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</row>
    <row r="770" spans="1:235" ht="11.25">
      <c r="A770" s="2"/>
      <c r="B770" s="2"/>
      <c r="C770" s="2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5"/>
      <c r="O770" s="165"/>
      <c r="P770" s="16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</row>
    <row r="771" spans="1:235" ht="11.25">
      <c r="A771" s="2"/>
      <c r="B771" s="2"/>
      <c r="C771" s="2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5"/>
      <c r="O771" s="165"/>
      <c r="P771" s="16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</row>
    <row r="772" spans="1:235" ht="11.25">
      <c r="A772" s="2"/>
      <c r="B772" s="2"/>
      <c r="C772" s="2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5"/>
      <c r="O772" s="165"/>
      <c r="P772" s="16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</row>
    <row r="773" spans="1:235" ht="11.25">
      <c r="A773" s="2"/>
      <c r="B773" s="2"/>
      <c r="C773" s="2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5"/>
      <c r="O773" s="165"/>
      <c r="P773" s="16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</row>
    <row r="774" spans="1:235" ht="11.25">
      <c r="A774" s="2"/>
      <c r="B774" s="2"/>
      <c r="C774" s="2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5"/>
      <c r="O774" s="165"/>
      <c r="P774" s="16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</row>
    <row r="775" spans="1:235" ht="11.25">
      <c r="A775" s="2"/>
      <c r="B775" s="2"/>
      <c r="C775" s="2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5"/>
      <c r="O775" s="165"/>
      <c r="P775" s="16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</row>
    <row r="776" spans="1:235" ht="11.25">
      <c r="A776" s="2"/>
      <c r="B776" s="2"/>
      <c r="C776" s="2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5"/>
      <c r="O776" s="165"/>
      <c r="P776" s="16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</row>
    <row r="777" spans="1:235" ht="11.25">
      <c r="A777" s="2"/>
      <c r="B777" s="2"/>
      <c r="C777" s="2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5"/>
      <c r="O777" s="165"/>
      <c r="P777" s="16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</row>
    <row r="778" spans="1:235" ht="11.25">
      <c r="A778" s="2"/>
      <c r="B778" s="2"/>
      <c r="C778" s="2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5"/>
      <c r="O778" s="165"/>
      <c r="P778" s="16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</row>
    <row r="779" spans="1:235" ht="11.25">
      <c r="A779" s="2"/>
      <c r="B779" s="2"/>
      <c r="C779" s="2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5"/>
      <c r="O779" s="165"/>
      <c r="P779" s="16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</row>
    <row r="780" spans="1:235" ht="11.25">
      <c r="A780" s="2"/>
      <c r="B780" s="2"/>
      <c r="C780" s="2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5"/>
      <c r="O780" s="165"/>
      <c r="P780" s="16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</row>
    <row r="781" spans="1:235" ht="11.25">
      <c r="A781" s="2"/>
      <c r="B781" s="2"/>
      <c r="C781" s="2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5"/>
      <c r="O781" s="165"/>
      <c r="P781" s="16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</row>
    <row r="782" spans="1:235" ht="11.25">
      <c r="A782" s="2"/>
      <c r="B782" s="2"/>
      <c r="C782" s="2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5"/>
      <c r="O782" s="165"/>
      <c r="P782" s="16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</row>
    <row r="783" spans="1:235" ht="11.25">
      <c r="A783" s="2"/>
      <c r="B783" s="2"/>
      <c r="C783" s="2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5"/>
      <c r="O783" s="165"/>
      <c r="P783" s="16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</row>
    <row r="784" spans="1:235" ht="11.25">
      <c r="A784" s="2"/>
      <c r="B784" s="2"/>
      <c r="C784" s="2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5"/>
      <c r="O784" s="165"/>
      <c r="P784" s="16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</row>
    <row r="785" spans="1:235" ht="11.25">
      <c r="A785" s="2"/>
      <c r="B785" s="2"/>
      <c r="C785" s="2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5"/>
      <c r="O785" s="165"/>
      <c r="P785" s="16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</row>
    <row r="786" spans="1:235" ht="11.25">
      <c r="A786" s="2"/>
      <c r="B786" s="2"/>
      <c r="C786" s="2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5"/>
      <c r="O786" s="165"/>
      <c r="P786" s="16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</row>
    <row r="787" spans="1:235" ht="11.25">
      <c r="A787" s="2"/>
      <c r="B787" s="2"/>
      <c r="C787" s="2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5"/>
      <c r="O787" s="165"/>
      <c r="P787" s="16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</row>
    <row r="788" spans="1:235" ht="11.25">
      <c r="A788" s="2"/>
      <c r="B788" s="2"/>
      <c r="C788" s="2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5"/>
      <c r="O788" s="165"/>
      <c r="P788" s="16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</row>
    <row r="789" spans="1:235" ht="11.25">
      <c r="A789" s="2"/>
      <c r="B789" s="2"/>
      <c r="C789" s="2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5"/>
      <c r="O789" s="165"/>
      <c r="P789" s="16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</row>
    <row r="790" spans="1:235" ht="11.25">
      <c r="A790" s="2"/>
      <c r="B790" s="2"/>
      <c r="C790" s="2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5"/>
      <c r="O790" s="165"/>
      <c r="P790" s="16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</row>
    <row r="791" spans="1:235" ht="11.25">
      <c r="A791" s="2"/>
      <c r="B791" s="2"/>
      <c r="C791" s="2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5"/>
      <c r="O791" s="165"/>
      <c r="P791" s="16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</row>
    <row r="792" spans="1:235" ht="11.25">
      <c r="A792" s="2"/>
      <c r="B792" s="2"/>
      <c r="C792" s="2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5"/>
      <c r="O792" s="165"/>
      <c r="P792" s="16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</row>
    <row r="793" spans="1:235" ht="11.25">
      <c r="A793" s="2"/>
      <c r="B793" s="2"/>
      <c r="C793" s="2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5"/>
      <c r="O793" s="165"/>
      <c r="P793" s="16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</row>
    <row r="794" spans="1:235" ht="11.25">
      <c r="A794" s="2"/>
      <c r="B794" s="2"/>
      <c r="C794" s="2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5"/>
      <c r="O794" s="165"/>
      <c r="P794" s="16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</row>
    <row r="795" spans="1:235" ht="11.25">
      <c r="A795" s="2"/>
      <c r="B795" s="2"/>
      <c r="C795" s="2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5"/>
      <c r="O795" s="165"/>
      <c r="P795" s="16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</row>
    <row r="796" spans="1:235" ht="11.25">
      <c r="A796" s="2"/>
      <c r="B796" s="2"/>
      <c r="C796" s="2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5"/>
      <c r="O796" s="165"/>
      <c r="P796" s="16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</row>
    <row r="797" spans="1:235" ht="11.25">
      <c r="A797" s="2"/>
      <c r="B797" s="2"/>
      <c r="C797" s="2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5"/>
      <c r="O797" s="165"/>
      <c r="P797" s="16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</row>
    <row r="798" spans="1:235" ht="11.25">
      <c r="A798" s="2"/>
      <c r="B798" s="2"/>
      <c r="C798" s="2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5"/>
      <c r="O798" s="165"/>
      <c r="P798" s="16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</row>
    <row r="799" spans="1:235" ht="11.25">
      <c r="A799" s="2"/>
      <c r="B799" s="2"/>
      <c r="C799" s="2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5"/>
      <c r="O799" s="165"/>
      <c r="P799" s="165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</row>
    <row r="800" spans="1:235" ht="11.25">
      <c r="A800" s="2"/>
      <c r="B800" s="2"/>
      <c r="C800" s="2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5"/>
      <c r="O800" s="165"/>
      <c r="P800" s="165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</row>
    <row r="801" spans="1:235" ht="11.25">
      <c r="A801" s="2"/>
      <c r="B801" s="2"/>
      <c r="C801" s="2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5"/>
      <c r="O801" s="165"/>
      <c r="P801" s="165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</row>
    <row r="802" spans="1:235" ht="11.25">
      <c r="A802" s="2"/>
      <c r="B802" s="2"/>
      <c r="C802" s="2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5"/>
      <c r="O802" s="165"/>
      <c r="P802" s="165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</row>
    <row r="803" spans="1:235" ht="11.25">
      <c r="A803" s="2"/>
      <c r="B803" s="2"/>
      <c r="C803" s="2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5"/>
      <c r="O803" s="165"/>
      <c r="P803" s="165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</row>
    <row r="804" spans="1:235" ht="11.25">
      <c r="A804" s="2"/>
      <c r="B804" s="2"/>
      <c r="C804" s="2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5"/>
      <c r="O804" s="165"/>
      <c r="P804" s="165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</row>
    <row r="805" spans="1:235" ht="11.25">
      <c r="A805" s="2"/>
      <c r="B805" s="2"/>
      <c r="C805" s="2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5"/>
      <c r="O805" s="165"/>
      <c r="P805" s="16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</row>
    <row r="806" spans="1:235" ht="11.25">
      <c r="A806" s="2"/>
      <c r="B806" s="2"/>
      <c r="C806" s="2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5"/>
      <c r="O806" s="165"/>
      <c r="P806" s="165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</row>
    <row r="807" spans="1:235" ht="11.25">
      <c r="A807" s="2"/>
      <c r="B807" s="2"/>
      <c r="C807" s="2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5"/>
      <c r="O807" s="165"/>
      <c r="P807" s="165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</row>
    <row r="808" spans="1:235" ht="11.25">
      <c r="A808" s="2"/>
      <c r="B808" s="2"/>
      <c r="C808" s="2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5"/>
      <c r="O808" s="165"/>
      <c r="P808" s="165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</row>
    <row r="809" spans="1:235" ht="11.25">
      <c r="A809" s="2"/>
      <c r="B809" s="2"/>
      <c r="C809" s="2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5"/>
      <c r="O809" s="165"/>
      <c r="P809" s="165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</row>
    <row r="810" spans="1:235" ht="11.25">
      <c r="A810" s="2"/>
      <c r="B810" s="2"/>
      <c r="C810" s="2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5"/>
      <c r="O810" s="165"/>
      <c r="P810" s="165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</row>
    <row r="811" spans="1:235" ht="11.25">
      <c r="A811" s="2"/>
      <c r="B811" s="2"/>
      <c r="C811" s="2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5"/>
      <c r="O811" s="165"/>
      <c r="P811" s="165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</row>
    <row r="812" spans="1:235" ht="11.25">
      <c r="A812" s="2"/>
      <c r="B812" s="2"/>
      <c r="C812" s="2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5"/>
      <c r="O812" s="165"/>
      <c r="P812" s="165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</row>
    <row r="813" spans="1:235" ht="11.25">
      <c r="A813" s="2"/>
      <c r="B813" s="2"/>
      <c r="C813" s="2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5"/>
      <c r="O813" s="165"/>
      <c r="P813" s="165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</row>
    <row r="814" spans="1:235" ht="11.25">
      <c r="A814" s="2"/>
      <c r="B814" s="2"/>
      <c r="C814" s="2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5"/>
      <c r="O814" s="165"/>
      <c r="P814" s="165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</row>
    <row r="815" spans="1:235" ht="11.25">
      <c r="A815" s="2"/>
      <c r="B815" s="2"/>
      <c r="C815" s="2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5"/>
      <c r="O815" s="165"/>
      <c r="P815" s="16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</row>
    <row r="816" spans="1:235" ht="11.25">
      <c r="A816" s="2"/>
      <c r="B816" s="2"/>
      <c r="C816" s="2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5"/>
      <c r="O816" s="165"/>
      <c r="P816" s="165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</row>
    <row r="817" spans="1:235" ht="11.25">
      <c r="A817" s="2"/>
      <c r="B817" s="2"/>
      <c r="C817" s="2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5"/>
      <c r="O817" s="165"/>
      <c r="P817" s="165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</row>
    <row r="818" spans="1:235" ht="11.25">
      <c r="A818" s="2"/>
      <c r="B818" s="2"/>
      <c r="C818" s="2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5"/>
      <c r="O818" s="165"/>
      <c r="P818" s="165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</row>
    <row r="819" spans="1:235" ht="11.25">
      <c r="A819" s="2"/>
      <c r="B819" s="2"/>
      <c r="C819" s="2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5"/>
      <c r="O819" s="165"/>
      <c r="P819" s="165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</row>
    <row r="820" spans="1:235" ht="11.25">
      <c r="A820" s="2"/>
      <c r="B820" s="2"/>
      <c r="C820" s="2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5"/>
      <c r="O820" s="165"/>
      <c r="P820" s="165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</row>
    <row r="821" spans="1:235" ht="11.25">
      <c r="A821" s="2"/>
      <c r="B821" s="2"/>
      <c r="C821" s="2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5"/>
      <c r="O821" s="165"/>
      <c r="P821" s="165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</row>
    <row r="822" spans="1:235" ht="11.25">
      <c r="A822" s="2"/>
      <c r="B822" s="2"/>
      <c r="C822" s="2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5"/>
      <c r="O822" s="165"/>
      <c r="P822" s="165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</row>
    <row r="823" spans="1:235" ht="11.25">
      <c r="A823" s="2"/>
      <c r="B823" s="2"/>
      <c r="C823" s="2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5"/>
      <c r="O823" s="165"/>
      <c r="P823" s="165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</row>
    <row r="824" spans="1:235" ht="11.25">
      <c r="A824" s="2"/>
      <c r="B824" s="2"/>
      <c r="C824" s="2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5"/>
      <c r="O824" s="165"/>
      <c r="P824" s="165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</row>
    <row r="825" spans="1:235" ht="11.25">
      <c r="A825" s="2"/>
      <c r="B825" s="2"/>
      <c r="C825" s="2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5"/>
      <c r="O825" s="165"/>
      <c r="P825" s="16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</row>
    <row r="826" spans="1:235" ht="11.25">
      <c r="A826" s="2"/>
      <c r="B826" s="2"/>
      <c r="C826" s="2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5"/>
      <c r="O826" s="165"/>
      <c r="P826" s="165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</row>
    <row r="827" spans="1:235" ht="11.25">
      <c r="A827" s="2"/>
      <c r="B827" s="2"/>
      <c r="C827" s="2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5"/>
      <c r="O827" s="165"/>
      <c r="P827" s="165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</row>
    <row r="828" spans="1:235" ht="11.25">
      <c r="A828" s="2"/>
      <c r="B828" s="2"/>
      <c r="C828" s="2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5"/>
      <c r="O828" s="165"/>
      <c r="P828" s="165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</row>
    <row r="829" spans="1:235" ht="11.25">
      <c r="A829" s="2"/>
      <c r="B829" s="2"/>
      <c r="C829" s="2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5"/>
      <c r="O829" s="165"/>
      <c r="P829" s="165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</row>
    <row r="830" spans="1:235" ht="11.25">
      <c r="A830" s="2"/>
      <c r="B830" s="2"/>
      <c r="C830" s="2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5"/>
      <c r="O830" s="165"/>
      <c r="P830" s="165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</row>
    <row r="831" spans="1:235" ht="11.25">
      <c r="A831" s="2"/>
      <c r="B831" s="2"/>
      <c r="C831" s="2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5"/>
      <c r="O831" s="165"/>
      <c r="P831" s="165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</row>
    <row r="832" spans="1:235" ht="11.25">
      <c r="A832" s="2"/>
      <c r="B832" s="2"/>
      <c r="C832" s="2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5"/>
      <c r="O832" s="165"/>
      <c r="P832" s="165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</row>
    <row r="833" spans="1:235" ht="11.25">
      <c r="A833" s="2"/>
      <c r="B833" s="2"/>
      <c r="C833" s="2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5"/>
      <c r="O833" s="165"/>
      <c r="P833" s="165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</row>
    <row r="834" spans="1:235" ht="11.25">
      <c r="A834" s="2"/>
      <c r="B834" s="2"/>
      <c r="C834" s="2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5"/>
      <c r="O834" s="165"/>
      <c r="P834" s="165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</row>
    <row r="835" spans="1:235" ht="11.25">
      <c r="A835" s="2"/>
      <c r="B835" s="2"/>
      <c r="C835" s="2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5"/>
      <c r="O835" s="165"/>
      <c r="P835" s="16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</row>
    <row r="836" spans="1:235" ht="11.25">
      <c r="A836" s="2"/>
      <c r="B836" s="2"/>
      <c r="C836" s="2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5"/>
      <c r="O836" s="165"/>
      <c r="P836" s="165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</row>
    <row r="837" spans="1:235" ht="11.25">
      <c r="A837" s="2"/>
      <c r="B837" s="2"/>
      <c r="C837" s="2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5"/>
      <c r="O837" s="165"/>
      <c r="P837" s="165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</row>
    <row r="838" spans="1:235" ht="11.25">
      <c r="A838" s="2"/>
      <c r="B838" s="2"/>
      <c r="C838" s="2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5"/>
      <c r="O838" s="165"/>
      <c r="P838" s="165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</row>
    <row r="839" spans="1:235" ht="11.25">
      <c r="A839" s="2"/>
      <c r="B839" s="2"/>
      <c r="C839" s="2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5"/>
      <c r="O839" s="165"/>
      <c r="P839" s="165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</row>
    <row r="840" spans="1:235" ht="11.25">
      <c r="A840" s="2"/>
      <c r="B840" s="2"/>
      <c r="C840" s="2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5"/>
      <c r="O840" s="165"/>
      <c r="P840" s="165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</row>
    <row r="841" spans="1:235" ht="11.25">
      <c r="A841" s="2"/>
      <c r="B841" s="2"/>
      <c r="C841" s="2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5"/>
      <c r="O841" s="165"/>
      <c r="P841" s="165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</row>
    <row r="842" spans="1:235" ht="11.25">
      <c r="A842" s="2"/>
      <c r="B842" s="2"/>
      <c r="C842" s="2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5"/>
      <c r="O842" s="165"/>
      <c r="P842" s="165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</row>
    <row r="843" spans="1:235" ht="11.25">
      <c r="A843" s="2"/>
      <c r="B843" s="2"/>
      <c r="C843" s="2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5"/>
      <c r="O843" s="165"/>
      <c r="P843" s="165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</row>
    <row r="844" spans="1:235" ht="11.25">
      <c r="A844" s="2"/>
      <c r="B844" s="2"/>
      <c r="C844" s="2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5"/>
      <c r="O844" s="165"/>
      <c r="P844" s="165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</row>
    <row r="845" spans="1:235" ht="11.25">
      <c r="A845" s="2"/>
      <c r="B845" s="2"/>
      <c r="C845" s="2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5"/>
      <c r="O845" s="165"/>
      <c r="P845" s="16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</row>
    <row r="846" spans="1:235" ht="11.25">
      <c r="A846" s="2"/>
      <c r="B846" s="2"/>
      <c r="C846" s="2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5"/>
      <c r="O846" s="165"/>
      <c r="P846" s="165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</row>
    <row r="847" spans="1:235" ht="11.25">
      <c r="A847" s="2"/>
      <c r="B847" s="2"/>
      <c r="C847" s="2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5"/>
      <c r="O847" s="165"/>
      <c r="P847" s="165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</row>
    <row r="848" spans="1:235" ht="11.25">
      <c r="A848" s="2"/>
      <c r="B848" s="2"/>
      <c r="C848" s="2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5"/>
      <c r="O848" s="165"/>
      <c r="P848" s="165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</row>
    <row r="849" spans="1:235" ht="11.25">
      <c r="A849" s="2"/>
      <c r="B849" s="2"/>
      <c r="C849" s="2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5"/>
      <c r="O849" s="165"/>
      <c r="P849" s="165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</row>
    <row r="850" spans="1:235" ht="11.25">
      <c r="A850" s="2"/>
      <c r="B850" s="2"/>
      <c r="C850" s="2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5"/>
      <c r="O850" s="165"/>
      <c r="P850" s="165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</row>
    <row r="851" spans="1:235" ht="11.25">
      <c r="A851" s="2"/>
      <c r="B851" s="2"/>
      <c r="C851" s="2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5"/>
      <c r="O851" s="165"/>
      <c r="P851" s="165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</row>
    <row r="852" spans="1:235" ht="11.25">
      <c r="A852" s="2"/>
      <c r="B852" s="2"/>
      <c r="C852" s="2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5"/>
      <c r="O852" s="165"/>
      <c r="P852" s="165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</row>
    <row r="853" spans="1:235" ht="11.25">
      <c r="A853" s="2"/>
      <c r="B853" s="2"/>
      <c r="C853" s="2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5"/>
      <c r="O853" s="165"/>
      <c r="P853" s="165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</row>
  </sheetData>
  <sheetProtection/>
  <mergeCells count="24">
    <mergeCell ref="N5:P5"/>
    <mergeCell ref="N6:P6"/>
    <mergeCell ref="N1:P1"/>
    <mergeCell ref="N2:P2"/>
    <mergeCell ref="N3:P3"/>
    <mergeCell ref="N4:P4"/>
    <mergeCell ref="A10:P10"/>
    <mergeCell ref="O752:P752"/>
    <mergeCell ref="N7:P7"/>
    <mergeCell ref="N12:P12"/>
    <mergeCell ref="N13:O13"/>
    <mergeCell ref="P13:P14"/>
    <mergeCell ref="J13:J14"/>
    <mergeCell ref="K13:M13"/>
    <mergeCell ref="A12:A14"/>
    <mergeCell ref="B12:B14"/>
    <mergeCell ref="C12:C14"/>
    <mergeCell ref="D13:E13"/>
    <mergeCell ref="G12:J12"/>
    <mergeCell ref="A755:B755"/>
    <mergeCell ref="A752:C752"/>
    <mergeCell ref="F13:F14"/>
    <mergeCell ref="D12:F12"/>
    <mergeCell ref="G13:I13"/>
  </mergeCells>
  <printOptions horizontalCentered="1"/>
  <pageMargins left="0.3937007874015748" right="0.3937007874015748" top="1.1811023622047245" bottom="0.3937007874015748" header="0" footer="0"/>
  <pageSetup fitToHeight="22" fitToWidth="1" horizontalDpi="600" verticalDpi="600" orientation="landscape" paperSize="9" scale="80" r:id="rId1"/>
  <rowBreaks count="19" manualBreakCount="19">
    <brk id="35" max="16" man="1"/>
    <brk id="80" max="16" man="1"/>
    <brk id="109" max="16" man="1"/>
    <brk id="139" max="16" man="1"/>
    <brk id="167" max="16" man="1"/>
    <brk id="226" max="16" man="1"/>
    <brk id="256" max="16" man="1"/>
    <brk id="289" max="16" man="1"/>
    <brk id="319" max="16" man="1"/>
    <brk id="343" max="16" man="1"/>
    <brk id="394" max="16" man="1"/>
    <brk id="426" max="16" man="1"/>
    <brk id="457" max="16" man="1"/>
    <brk id="491" max="16" man="1"/>
    <brk id="519" max="16" man="1"/>
    <brk id="556" max="16" man="1"/>
    <brk id="591" max="16" man="1"/>
    <brk id="631" max="16" man="1"/>
    <brk id="6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eco1</cp:lastModifiedBy>
  <cp:lastPrinted>2016-10-19T13:34:58Z</cp:lastPrinted>
  <dcterms:created xsi:type="dcterms:W3CDTF">2014-04-22T08:24:49Z</dcterms:created>
  <dcterms:modified xsi:type="dcterms:W3CDTF">2016-10-19T13:40:24Z</dcterms:modified>
  <cp:category/>
  <cp:version/>
  <cp:contentType/>
  <cp:contentStatus/>
</cp:coreProperties>
</file>