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75" windowWidth="20115" windowHeight="7395"/>
  </bookViews>
  <sheets>
    <sheet name="приклад" sheetId="1" r:id="rId1"/>
  </sheets>
  <calcPr calcId="144525"/>
</workbook>
</file>

<file path=xl/calcChain.xml><?xml version="1.0" encoding="utf-8"?>
<calcChain xmlns="http://schemas.openxmlformats.org/spreadsheetml/2006/main">
  <c r="E3" i="1" l="1"/>
  <c r="E18" i="1"/>
  <c r="F18" i="1"/>
  <c r="E19" i="1"/>
  <c r="F19" i="1"/>
  <c r="E20" i="1"/>
  <c r="F20" i="1"/>
  <c r="E21" i="1"/>
  <c r="F21" i="1"/>
  <c r="E22" i="1"/>
  <c r="F22" i="1"/>
  <c r="G4" i="1"/>
  <c r="F17" i="1"/>
  <c r="E17" i="1"/>
  <c r="F16" i="1"/>
  <c r="E16" i="1"/>
  <c r="F15" i="1"/>
  <c r="E15" i="1"/>
  <c r="F14" i="1"/>
  <c r="E14" i="1"/>
  <c r="F13" i="1"/>
  <c r="E13" i="1"/>
  <c r="I3" i="1"/>
  <c r="J19" i="1"/>
  <c r="J21" i="1"/>
  <c r="J18" i="1"/>
  <c r="J20" i="1"/>
  <c r="J22" i="1"/>
  <c r="J16" i="1"/>
  <c r="J14" i="1"/>
  <c r="J13" i="1"/>
  <c r="J17" i="1"/>
  <c r="J15" i="1"/>
  <c r="E5" i="1"/>
  <c r="E8" i="1"/>
  <c r="E4" i="1"/>
  <c r="F4" i="1"/>
  <c r="K4" i="1"/>
  <c r="F5" i="1"/>
  <c r="G5" i="1"/>
  <c r="G6" i="1" s="1"/>
  <c r="J5" i="1"/>
  <c r="E6" i="1"/>
  <c r="F6" i="1"/>
  <c r="J6" i="1"/>
  <c r="E7" i="1"/>
  <c r="F7" i="1"/>
  <c r="J7" i="1"/>
  <c r="F8" i="1"/>
  <c r="J8" i="1"/>
  <c r="E9" i="1"/>
  <c r="F9" i="1"/>
  <c r="J9" i="1"/>
  <c r="E10" i="1"/>
  <c r="F10" i="1"/>
  <c r="J10" i="1"/>
  <c r="E11" i="1"/>
  <c r="F11" i="1"/>
  <c r="J11" i="1"/>
  <c r="E12" i="1"/>
  <c r="F12" i="1"/>
  <c r="J12" i="1"/>
  <c r="K5" i="1"/>
  <c r="G7" i="1" l="1"/>
  <c r="K6" i="1"/>
  <c r="K7" i="1"/>
  <c r="G8" i="1"/>
  <c r="H6" i="1"/>
  <c r="G9" i="1" l="1"/>
  <c r="K8" i="1"/>
  <c r="G10" i="1" l="1"/>
  <c r="K9" i="1"/>
  <c r="G11" i="1" l="1"/>
  <c r="K10" i="1"/>
  <c r="G12" i="1" l="1"/>
  <c r="K11" i="1"/>
  <c r="G13" i="1" l="1"/>
  <c r="K12" i="1"/>
  <c r="K13" i="1" l="1"/>
  <c r="G14" i="1"/>
  <c r="G15" i="1" l="1"/>
  <c r="K14" i="1"/>
  <c r="G16" i="1" l="1"/>
  <c r="K15" i="1"/>
  <c r="G17" i="1" l="1"/>
  <c r="K16" i="1"/>
  <c r="G18" i="1" l="1"/>
  <c r="K17" i="1"/>
  <c r="G19" i="1" l="1"/>
  <c r="K18" i="1"/>
  <c r="G20" i="1" l="1"/>
  <c r="K19" i="1"/>
  <c r="K20" i="1" l="1"/>
  <c r="G21" i="1"/>
  <c r="G22" i="1" l="1"/>
  <c r="K22" i="1" s="1"/>
  <c r="K21" i="1"/>
</calcChain>
</file>

<file path=xl/sharedStrings.xml><?xml version="1.0" encoding="utf-8"?>
<sst xmlns="http://schemas.openxmlformats.org/spreadsheetml/2006/main" count="11" uniqueCount="11">
  <si>
    <t>Індекс прибутковості</t>
  </si>
  <si>
    <t>Внутрішня норма доходності</t>
  </si>
  <si>
    <t>Дисконт. період окупності</t>
  </si>
  <si>
    <t>Сумарний дисконт. річний ЕЕ</t>
  </si>
  <si>
    <t>Дисконт. річний ЕЕ</t>
  </si>
  <si>
    <t>Чиста приведена вартість</t>
  </si>
  <si>
    <t xml:space="preserve">Річний ЕЕ (після впровадження) </t>
  </si>
  <si>
    <t>Інвестиційні витрати              ( за всі роки)</t>
  </si>
  <si>
    <t>Роки</t>
  </si>
  <si>
    <t>Ставка дисконтування                     (стала величина)</t>
  </si>
  <si>
    <t xml:space="preserve">Оцінка економічної ефективності Інвестиційної програми на 2017 рік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</si>
</sst>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64" fontId="1" fillId="0" borderId="1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9" fontId="2" fillId="2" borderId="2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7" fillId="0" borderId="0" xfId="0" applyFont="1"/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9" fontId="1" fillId="2" borderId="2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9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7" fillId="0" borderId="0" xfId="0" applyFont="1" applyBorder="1"/>
    <xf numFmtId="164" fontId="7" fillId="0" borderId="0" xfId="0" applyNumberFormat="1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5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9" fontId="6" fillId="2" borderId="2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9" fontId="6" fillId="4" borderId="2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Normal="70" workbookViewId="0">
      <selection activeCell="B4" sqref="B4"/>
    </sheetView>
  </sheetViews>
  <sheetFormatPr defaultRowHeight="15" x14ac:dyDescent="0.25"/>
  <cols>
    <col min="2" max="2" width="15.5703125" customWidth="1"/>
    <col min="3" max="3" width="15.42578125" customWidth="1"/>
    <col min="4" max="4" width="20.28515625" customWidth="1"/>
    <col min="5" max="5" width="18.140625" customWidth="1"/>
    <col min="6" max="6" width="12.85546875" customWidth="1"/>
    <col min="7" max="7" width="14.5703125" customWidth="1"/>
    <col min="8" max="8" width="16.140625" customWidth="1"/>
    <col min="9" max="9" width="27" hidden="1" customWidth="1"/>
    <col min="10" max="10" width="15.140625" customWidth="1"/>
    <col min="11" max="11" width="10" customWidth="1"/>
    <col min="13" max="13" width="56.42578125" customWidth="1"/>
    <col min="14" max="14" width="22.42578125" customWidth="1"/>
  </cols>
  <sheetData>
    <row r="1" spans="1:15" ht="54.75" customHeight="1" thickBot="1" x14ac:dyDescent="0.3">
      <c r="A1" s="58" t="s">
        <v>10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5" ht="94.5" thickBot="1" x14ac:dyDescent="0.3">
      <c r="A2" s="26" t="s">
        <v>8</v>
      </c>
      <c r="B2" s="27" t="s">
        <v>7</v>
      </c>
      <c r="C2" s="27" t="s">
        <v>6</v>
      </c>
      <c r="D2" s="27" t="s">
        <v>9</v>
      </c>
      <c r="E2" s="27" t="s">
        <v>5</v>
      </c>
      <c r="F2" s="27" t="s">
        <v>4</v>
      </c>
      <c r="G2" s="27" t="s">
        <v>3</v>
      </c>
      <c r="H2" s="27" t="s">
        <v>2</v>
      </c>
      <c r="I2" s="28"/>
      <c r="J2" s="27" t="s">
        <v>1</v>
      </c>
      <c r="K2" s="29" t="s">
        <v>0</v>
      </c>
    </row>
    <row r="3" spans="1:15" ht="24" thickBot="1" x14ac:dyDescent="0.4">
      <c r="A3" s="10">
        <v>1</v>
      </c>
      <c r="B3" s="41">
        <v>8521.7199999999993</v>
      </c>
      <c r="C3" s="41">
        <v>4727.72</v>
      </c>
      <c r="D3" s="9">
        <v>0.3</v>
      </c>
      <c r="E3" s="8">
        <f>B3/(1+D3)</f>
        <v>6555.1692307692301</v>
      </c>
      <c r="F3" s="7"/>
      <c r="G3" s="7"/>
      <c r="H3" s="7"/>
      <c r="I3" s="3">
        <f>-B3</f>
        <v>-8521.7199999999993</v>
      </c>
      <c r="J3" s="7"/>
      <c r="K3" s="6"/>
      <c r="M3" s="20"/>
      <c r="N3" s="20"/>
      <c r="O3" s="20"/>
    </row>
    <row r="4" spans="1:15" ht="24" thickBot="1" x14ac:dyDescent="0.4">
      <c r="A4" s="5">
        <v>2</v>
      </c>
      <c r="B4" s="3"/>
      <c r="C4" s="3"/>
      <c r="D4" s="3"/>
      <c r="E4" s="4">
        <f>-B3/(1+D3)^1+C3/(1+D3)</f>
        <v>-2918.4615384615377</v>
      </c>
      <c r="F4" s="4">
        <f>C3/( 1+D3)^1</f>
        <v>3636.7076923076925</v>
      </c>
      <c r="G4" s="4">
        <f>C3/( 1+D3)^1</f>
        <v>3636.7076923076925</v>
      </c>
      <c r="H4" s="3"/>
      <c r="I4" s="41">
        <v>4489.3</v>
      </c>
      <c r="J4" s="2">
        <v>-0.49</v>
      </c>
      <c r="K4" s="1">
        <f>G4/E3</f>
        <v>0.55478471482282932</v>
      </c>
      <c r="M4" s="35"/>
      <c r="N4" s="36"/>
      <c r="O4" s="20"/>
    </row>
    <row r="5" spans="1:15" ht="24" thickBot="1" x14ac:dyDescent="0.4">
      <c r="A5" s="21">
        <v>3</v>
      </c>
      <c r="B5" s="42"/>
      <c r="C5" s="42"/>
      <c r="D5" s="42"/>
      <c r="E5" s="23">
        <f>-B3/(1+D3)^1+C3/(1+D3)+C3/( 1+D3)^2</f>
        <v>-120.99408284023593</v>
      </c>
      <c r="F5" s="23">
        <f>C3/(1+D3)^2</f>
        <v>2797.4674556213017</v>
      </c>
      <c r="G5" s="23">
        <f t="shared" ref="G5:G22" si="0">G4+F5</f>
        <v>6434.1751479289942</v>
      </c>
      <c r="H5" s="43"/>
      <c r="I5" s="41">
        <v>4489.3</v>
      </c>
      <c r="J5" s="44">
        <f>IRR(I3:I5)</f>
        <v>3.5535604155493727E-2</v>
      </c>
      <c r="K5" s="45">
        <f>G5/E3</f>
        <v>0.98154218776346713</v>
      </c>
      <c r="M5" s="35"/>
      <c r="N5" s="37"/>
      <c r="O5" s="20"/>
    </row>
    <row r="6" spans="1:15" ht="24" thickBot="1" x14ac:dyDescent="0.4">
      <c r="A6" s="46">
        <v>4</v>
      </c>
      <c r="B6" s="47"/>
      <c r="C6" s="47"/>
      <c r="D6" s="47"/>
      <c r="E6" s="48">
        <f>-B3/(1+D3)^1+C3/(1+D3)+C3/( 1+D3)^2+C3/(1+D3)^3</f>
        <v>2030.9039599453804</v>
      </c>
      <c r="F6" s="48">
        <f>C3/(1+D3)^3</f>
        <v>2151.8980427856163</v>
      </c>
      <c r="G6" s="48">
        <f t="shared" si="0"/>
        <v>8586.073190714611</v>
      </c>
      <c r="H6" s="49">
        <f>(1-(G6-E3)/F6)+3</f>
        <v>3.0562266800910369</v>
      </c>
      <c r="I6" s="50">
        <v>4489.3</v>
      </c>
      <c r="J6" s="51">
        <f>IRR(I3:I6)</f>
        <v>0.26904233552392709</v>
      </c>
      <c r="K6" s="52">
        <f>G6/E3</f>
        <v>1.3098171669485732</v>
      </c>
      <c r="M6" s="35"/>
      <c r="N6" s="38"/>
      <c r="O6" s="20"/>
    </row>
    <row r="7" spans="1:15" ht="24" thickBot="1" x14ac:dyDescent="0.4">
      <c r="A7" s="21">
        <v>5</v>
      </c>
      <c r="B7" s="22"/>
      <c r="C7" s="22"/>
      <c r="D7" s="22"/>
      <c r="E7" s="23">
        <f>-B3/(1+D3)^1+C3/(1+D3)+ C3/(1+D3)^2+C3/(1+D3)^3+ C3/(1+D3)^4</f>
        <v>3686.2101467035468</v>
      </c>
      <c r="F7" s="23">
        <f>C3/(1+D3)^4</f>
        <v>1655.3061867581664</v>
      </c>
      <c r="G7" s="23">
        <f t="shared" si="0"/>
        <v>10241.379377472778</v>
      </c>
      <c r="H7" s="40"/>
      <c r="I7" s="41">
        <v>4489.3</v>
      </c>
      <c r="J7" s="24">
        <f>IRR(I3:I7)</f>
        <v>0.38266866370049391</v>
      </c>
      <c r="K7" s="25">
        <f>G7/E3</f>
        <v>1.5623363817063471</v>
      </c>
      <c r="M7" s="35"/>
      <c r="N7" s="36"/>
      <c r="O7" s="20"/>
    </row>
    <row r="8" spans="1:15" ht="19.5" thickBot="1" x14ac:dyDescent="0.35">
      <c r="A8" s="21">
        <v>6</v>
      </c>
      <c r="B8" s="22"/>
      <c r="C8" s="22"/>
      <c r="D8" s="22"/>
      <c r="E8" s="23">
        <f>-B3/(1+D3)^1+C3/(1+D3)+ C3/(1+D3)^2+C3/(1+D3)^3+C3/(1+D3)^4+C3/(1+D3)^5</f>
        <v>4959.5225980559826</v>
      </c>
      <c r="F8" s="23">
        <f>C3/(1+D3)^5</f>
        <v>1273.3124513524358</v>
      </c>
      <c r="G8" s="23">
        <f t="shared" si="0"/>
        <v>11514.691828825215</v>
      </c>
      <c r="H8" s="22"/>
      <c r="I8" s="41">
        <v>4489.3</v>
      </c>
      <c r="J8" s="24">
        <f>IRR(I3:I8)</f>
        <v>0.44244246227755735</v>
      </c>
      <c r="K8" s="25">
        <f>G8/E3</f>
        <v>1.7565819315200195</v>
      </c>
    </row>
    <row r="9" spans="1:15" s="11" customFormat="1" ht="19.5" thickBot="1" x14ac:dyDescent="0.35">
      <c r="A9" s="12">
        <v>7</v>
      </c>
      <c r="B9" s="13"/>
      <c r="C9" s="13"/>
      <c r="D9" s="13"/>
      <c r="E9" s="14">
        <f>-B3/(1+D3)^1+C3/(1+D3)+ C3/(1+D3)^2+C3/(1+D3)^3+ C3/(1+D3)^4+C3/(1+D3)^5+C3/(1+D3)^6</f>
        <v>5938.9937144809328</v>
      </c>
      <c r="F9" s="14">
        <f>C3/(1+D3)^6</f>
        <v>979.47111642495042</v>
      </c>
      <c r="G9" s="14">
        <f t="shared" si="0"/>
        <v>12494.162945250166</v>
      </c>
      <c r="H9" s="13"/>
      <c r="I9" s="41">
        <v>4489.3</v>
      </c>
      <c r="J9" s="16">
        <f>IRR(I3:I9)</f>
        <v>0.4758209912851874</v>
      </c>
      <c r="K9" s="17">
        <f>G9/E3</f>
        <v>1.9060015852228442</v>
      </c>
    </row>
    <row r="10" spans="1:15" s="39" customFormat="1" ht="19.5" thickBot="1" x14ac:dyDescent="0.35">
      <c r="A10" s="12">
        <v>8</v>
      </c>
      <c r="B10" s="13"/>
      <c r="C10" s="13"/>
      <c r="D10" s="13"/>
      <c r="E10" s="14">
        <f>-B3/(1+D3)^1+C3/(1+D3)+ C3/(1+D3)^2+C3/(1+D3)^3+ C3/(1+D3)^4+C3/(1+D3)^5+C3/(1+D3)^6+C3/(1+D3)^7</f>
        <v>6692.4330348078174</v>
      </c>
      <c r="F10" s="14">
        <f>C3/(1+D3)^7</f>
        <v>753.43932032688485</v>
      </c>
      <c r="G10" s="14">
        <f>G9+F10</f>
        <v>13247.60226557705</v>
      </c>
      <c r="H10" s="15"/>
      <c r="I10" s="41">
        <v>4489.3</v>
      </c>
      <c r="J10" s="16">
        <f>IRR(I3:I10)</f>
        <v>0.49528733354069354</v>
      </c>
      <c r="K10" s="17">
        <f>G10/E3</f>
        <v>2.0209397803788631</v>
      </c>
    </row>
    <row r="11" spans="1:15" s="19" customFormat="1" ht="19.5" thickBot="1" x14ac:dyDescent="0.35">
      <c r="A11" s="12">
        <v>9</v>
      </c>
      <c r="B11" s="13"/>
      <c r="C11" s="13"/>
      <c r="D11" s="13"/>
      <c r="E11" s="14">
        <f>-B3/(1+D3)^1+C3/(1+D3)+ C3/(1+D3)^2+C3/(1+D3)^3+ C3/(1+D3)^4+C3/(1+D3)^5+C3/(1+D3)^6+C3/(1+D3)^7+C3/(1+D3)^8</f>
        <v>7272.001742751575</v>
      </c>
      <c r="F11" s="14">
        <f>C3/(1+D3)^8</f>
        <v>579.56870794375766</v>
      </c>
      <c r="G11" s="14">
        <f t="shared" si="0"/>
        <v>13827.170973520808</v>
      </c>
      <c r="H11" s="15"/>
      <c r="I11" s="41">
        <v>4489.3</v>
      </c>
      <c r="J11" s="16">
        <f>IRR(I3:I11)</f>
        <v>0.50700350886018053</v>
      </c>
      <c r="K11" s="17">
        <f>G11/E3</f>
        <v>2.1093537766527239</v>
      </c>
      <c r="L11" s="18"/>
    </row>
    <row r="12" spans="1:15" ht="19.5" thickBot="1" x14ac:dyDescent="0.35">
      <c r="A12" s="5">
        <v>10</v>
      </c>
      <c r="B12" s="3"/>
      <c r="C12" s="3"/>
      <c r="D12" s="3"/>
      <c r="E12" s="4">
        <f>-B3/(1+D3)^1+C3/(1+D3)+C3/(1+D3)^2+C3/(1+D3)^3+C3/(1+D3)^4+C3/(1+D3)^5+C3/(1+D3)^6+C3/(1+D3)^7+C3/(1+D3)^8+C3/(1+D3)^9</f>
        <v>7717.8238257852345</v>
      </c>
      <c r="F12" s="4">
        <f>C3/(1+D3)^9</f>
        <v>445.82208303365974</v>
      </c>
      <c r="G12" s="4">
        <f t="shared" si="0"/>
        <v>14272.993056554467</v>
      </c>
      <c r="H12" s="3"/>
      <c r="I12" s="41">
        <v>4489.3</v>
      </c>
      <c r="J12" s="2">
        <f>IRR(I3:I12)</f>
        <v>0.5142188906882259</v>
      </c>
      <c r="K12" s="1">
        <f>G12/E3</f>
        <v>2.1773645430172324</v>
      </c>
    </row>
    <row r="13" spans="1:15" ht="19.5" thickBot="1" x14ac:dyDescent="0.35">
      <c r="A13" s="5">
        <v>11</v>
      </c>
      <c r="B13" s="3"/>
      <c r="C13" s="3"/>
      <c r="D13" s="3"/>
      <c r="E13" s="4">
        <f>-B3/(1+D3)^1+C3/(1+D3)+ C3/(1+D3)^2+C3/(1+D3)^3+ C3/(1+D3)^4+C3/(1+D3)^5+C3/(1+D3)^6+C3/(1+D3)^7+C3/(1+D3)^8+C3/(1+D3)^9+C3/(1+D3)^10</f>
        <v>8060.7638896572807</v>
      </c>
      <c r="F13" s="4">
        <f>C3/(1+D3)^10</f>
        <v>342.94006387204593</v>
      </c>
      <c r="G13" s="4">
        <f t="shared" si="0"/>
        <v>14615.933120426513</v>
      </c>
      <c r="H13" s="3"/>
      <c r="I13" s="41">
        <v>4489.3</v>
      </c>
      <c r="J13" s="2">
        <f>IRR(I3:I13)</f>
        <v>0.51873772336133417</v>
      </c>
      <c r="K13" s="1">
        <f>G13/E3</f>
        <v>2.2296805171437772</v>
      </c>
    </row>
    <row r="14" spans="1:15" ht="19.5" thickBot="1" x14ac:dyDescent="0.35">
      <c r="A14" s="5">
        <v>12</v>
      </c>
      <c r="B14" s="3"/>
      <c r="C14" s="3"/>
      <c r="D14" s="3"/>
      <c r="E14" s="4">
        <f>-B3/(1+D3)^1+C3/(1+D3)+ C3/(1+D3)^2+C3/(1+D3)^3+ C3/(1+D3)^4+C3/(1+D3)^5+C3/(1+D3)^6+C3/(1+D3)^7+C3/(1+D3)^8+C3/(1+D3)^9+C3/(1+D3)^10+C3/(1+D3)^11</f>
        <v>8324.5639387896244</v>
      </c>
      <c r="F14" s="4">
        <f>C3/(1+D3)^11</f>
        <v>263.80004913234302</v>
      </c>
      <c r="G14" s="4">
        <f t="shared" si="0"/>
        <v>14879.733169558856</v>
      </c>
      <c r="H14" s="3"/>
      <c r="I14" s="41">
        <v>4489.3</v>
      </c>
      <c r="J14" s="2">
        <f>IRR(I3:I14)</f>
        <v>0.52160279724158065</v>
      </c>
      <c r="K14" s="1">
        <f>G14/E3</f>
        <v>2.2699235741641965</v>
      </c>
    </row>
    <row r="15" spans="1:15" ht="19.5" thickBot="1" x14ac:dyDescent="0.35">
      <c r="A15" s="5">
        <v>13</v>
      </c>
      <c r="B15" s="3"/>
      <c r="C15" s="3"/>
      <c r="D15" s="3"/>
      <c r="E15" s="3">
        <f>-B3/(1+D3)^1+C3/(1+D3)+ C3/(1+D3)^2+C3/(1+D3)^3+ C3/(1+D3)^4+C3/(1+D3)^5+C3/(1+D3)^6+C3/(1+D3)^7+C3/(1+D3)^8+C3/(1+D3)^9+C3/(1+D3)^10+C3/(1+D3)^11+C3/(1+D3)^12</f>
        <v>8527.4870535068112</v>
      </c>
      <c r="F15" s="4">
        <f>C3/(1+D3)^12</f>
        <v>202.92311471718691</v>
      </c>
      <c r="G15" s="4">
        <f t="shared" si="0"/>
        <v>15082.656284276043</v>
      </c>
      <c r="H15" s="3"/>
      <c r="I15" s="41">
        <v>4489.3</v>
      </c>
      <c r="J15" s="2">
        <f>IRR(I3:I15)</f>
        <v>0.52343577296093113</v>
      </c>
      <c r="K15" s="1">
        <f>G15/E3</f>
        <v>2.3008797718722112</v>
      </c>
    </row>
    <row r="16" spans="1:15" ht="19.5" thickBot="1" x14ac:dyDescent="0.35">
      <c r="A16" s="5">
        <v>14</v>
      </c>
      <c r="B16" s="3"/>
      <c r="C16" s="3"/>
      <c r="D16" s="3"/>
      <c r="E16" s="4">
        <f>-B3/(1+D3)^1+C3/(1+D3)+C3/(1+D3)^2+C3/(1+D3)^3+ C3/(1+D3)^4+C3/(1+D3)^5+C3/(1+D3)^6+C3/(1+D3)^7+C3/(1+D3)^8+C3/(1+D3)^9+C3/(1+D3)^10+C3/(1+D3)^11+C3/(1+D3)^12+C3/(1+D3)^13</f>
        <v>8683.5817571354164</v>
      </c>
      <c r="F16" s="4">
        <f>C3/(1+D3)^13</f>
        <v>156.09470362860532</v>
      </c>
      <c r="G16" s="4">
        <f t="shared" si="0"/>
        <v>15238.750987904648</v>
      </c>
      <c r="H16" s="3"/>
      <c r="I16" s="41">
        <v>4489.3</v>
      </c>
      <c r="J16" s="2">
        <f>IRR(I3:I16)</f>
        <v>0.52461618761339701</v>
      </c>
      <c r="K16" s="1">
        <f>G16/E3</f>
        <v>2.3246922316476071</v>
      </c>
    </row>
    <row r="17" spans="1:11" ht="19.5" thickBot="1" x14ac:dyDescent="0.35">
      <c r="A17" s="5">
        <v>15</v>
      </c>
      <c r="B17" s="3"/>
      <c r="C17" s="3"/>
      <c r="D17" s="3"/>
      <c r="E17" s="4">
        <f>-B3/(1+D3)^1+C3/(1+D3)+ C3/(1+D3)^2+C3/(1+D3)^3+ C3/(1+D3)^4+C3/(1+D3)^5+C3/(1+D3)^6+C3/(1+D3)^7+C3/(1+D3)^8+C3/(1+D3)^9+C3/(1+D3)^10+C3/(1+D3)^11+C3/(1+D3)^12+C3/(1+D3)^13+C3/(1+D3)^14</f>
        <v>8803.6546060804976</v>
      </c>
      <c r="F17" s="4">
        <f>C3/(1+D3)^14</f>
        <v>120.07284894508101</v>
      </c>
      <c r="G17" s="4">
        <f t="shared" si="0"/>
        <v>15358.82383684973</v>
      </c>
      <c r="H17" s="3"/>
      <c r="I17" s="41">
        <v>4489.3</v>
      </c>
      <c r="J17" s="2">
        <f>IRR(I3:I17)</f>
        <v>0.52538000945887542</v>
      </c>
      <c r="K17" s="1">
        <f>G17/E3</f>
        <v>2.3430095083979117</v>
      </c>
    </row>
    <row r="18" spans="1:11" ht="19.5" thickBot="1" x14ac:dyDescent="0.35">
      <c r="A18" s="5">
        <v>16</v>
      </c>
      <c r="B18" s="3"/>
      <c r="C18" s="3"/>
      <c r="D18" s="3"/>
      <c r="E18" s="4">
        <f>-B3/(1+D3)^1+C3/(1+D3)+C3/(1+D3)^2+C3/(1+D3)^3+C3/(1+D3)^4+C3/(1+D3)^5+C3/(1+D3)^6+C3/(1+D3)^7+C3/(1+D3)^8+C3/(1+D3)^9+C3/(1+D3)^10+C3/(1+D3)^11+C3/(1+D3)^12+C3/(1+D3)^13+C3/(1+D3)^14+C3/(1+D3)^15</f>
        <v>8896.0183360382525</v>
      </c>
      <c r="F18" s="4">
        <f>C3/(1+D3)^15</f>
        <v>92.363729957754614</v>
      </c>
      <c r="G18" s="4">
        <f t="shared" si="0"/>
        <v>15451.187566807484</v>
      </c>
      <c r="H18" s="3"/>
      <c r="I18" s="41">
        <v>4489.3</v>
      </c>
      <c r="J18" s="2">
        <f>IRR(I3:I18)</f>
        <v>0.52587598106359956</v>
      </c>
      <c r="K18" s="1">
        <f>G18/E3</f>
        <v>2.3570997212827614</v>
      </c>
    </row>
    <row r="19" spans="1:11" ht="19.5" thickBot="1" x14ac:dyDescent="0.35">
      <c r="A19" s="5">
        <v>17</v>
      </c>
      <c r="B19" s="3"/>
      <c r="C19" s="3"/>
      <c r="D19" s="3"/>
      <c r="E19" s="4">
        <f>-B3/(1+D3)^1+C3/(1+D3)+ C3/(1+D3)^2+C3/(1+D3)^3+ C3/(1+D3)^4+C3/(1+D3)^5+C3/(1+D3)^6+C3/(1+D3)^7+C3/(1+D3)^8+C3/(1+D3)^9+C3/(1+D3)^10+C3/(1+D3)^11+C3/(1+D3)^12+C3/(1+D3)^13+C3/(1+D3)^14+C3/(1+D3)^15+C3/(1+D3)^16</f>
        <v>8967.0673590826791</v>
      </c>
      <c r="F19" s="4">
        <f>C3/(1+D3)^16</f>
        <v>71.049023044426619</v>
      </c>
      <c r="G19" s="4">
        <f t="shared" si="0"/>
        <v>15522.236589851911</v>
      </c>
      <c r="H19" s="3"/>
      <c r="I19" s="41">
        <v>4489.3</v>
      </c>
      <c r="J19" s="2">
        <f>IRR(I3:I19)</f>
        <v>0.52619883701540782</v>
      </c>
      <c r="K19" s="1">
        <f>G19/E3</f>
        <v>2.3679383465787995</v>
      </c>
    </row>
    <row r="20" spans="1:11" ht="19.5" thickBot="1" x14ac:dyDescent="0.35">
      <c r="A20" s="5">
        <v>18</v>
      </c>
      <c r="B20" s="3"/>
      <c r="C20" s="3"/>
      <c r="D20" s="3"/>
      <c r="E20" s="4">
        <f>-B3/(1+D3)^1+C3/(1+D3)+ C3/(1+D3)^2+C3/(1+D3)^3+ C3/(1+D3)^4+C3/(1+D3)^5+C3/(1+D3)^6+C3/(1+D3)^7+C3/(1+D3)^8+C3/(1+D3)^9+C3/(1+D3)^10+C3/(1+D3)^11+C3/(1+D3)^12+C3/(1+D3)^13+C3/(1+D3)^14+C3/(1+D3)^15+C3/(1+D3)^16+C3/(1+D3)^17</f>
        <v>9021.7204537322377</v>
      </c>
      <c r="F20" s="4">
        <f>C3/(1+D3)^17</f>
        <v>54.653094649558945</v>
      </c>
      <c r="G20" s="4">
        <f t="shared" si="0"/>
        <v>15576.88968450147</v>
      </c>
      <c r="H20" s="3"/>
      <c r="I20" s="41">
        <v>4489.3</v>
      </c>
      <c r="J20" s="2">
        <f>IRR(I3:I20)</f>
        <v>0.52640938017696426</v>
      </c>
      <c r="K20" s="1">
        <f>G20/E3</f>
        <v>2.3762757506526748</v>
      </c>
    </row>
    <row r="21" spans="1:11" ht="19.5" thickBot="1" x14ac:dyDescent="0.35">
      <c r="A21" s="30">
        <v>19</v>
      </c>
      <c r="B21" s="31"/>
      <c r="C21" s="31"/>
      <c r="D21" s="31"/>
      <c r="E21" s="32">
        <f>-B3/(1+D3)^1+C3/(1+D3)+ C3/(1+D3)^2+C3/(1+D3)^3+C3/(1+D3)^4+C3/(1+D3)^5+C3/(1+D3)^6+C3/(1+D3)^7+C3/(1+D3)^8+C3/(1+D3)^9+C3/(1+D3)^10+C3/(1+D3)^11+C3/(1+D3)^12+C3/(1+D3)^13+C3/(1+D3)^14+C3/(1+D3)^15+C3/(1+D3)^16+C3/(1+D3)^17+C3/(1+D3)^18</f>
        <v>9063.7612957703604</v>
      </c>
      <c r="F21" s="32">
        <f>C3/(1+D3)^18</f>
        <v>42.040842038122257</v>
      </c>
      <c r="G21" s="32">
        <f t="shared" si="0"/>
        <v>15618.930526539592</v>
      </c>
      <c r="H21" s="31"/>
      <c r="I21" s="41">
        <v>4489.3</v>
      </c>
      <c r="J21" s="33">
        <f>IRR(I3:I21)</f>
        <v>0.52654685742102147</v>
      </c>
      <c r="K21" s="34">
        <f>G21/E3</f>
        <v>2.3826891384018101</v>
      </c>
    </row>
    <row r="22" spans="1:11" ht="18.75" x14ac:dyDescent="0.3">
      <c r="A22" s="54">
        <v>20</v>
      </c>
      <c r="B22" s="54"/>
      <c r="C22" s="54"/>
      <c r="D22" s="54"/>
      <c r="E22" s="53">
        <f>-B3/(1+D3)^1+C3/(1+D3)+ C3/(1+D3)^2+C3/(1+D3)^3+ C3/(1+D3)^4+C3/(1+D3)^5+C3/(1+D3)^6+C3/(1+D3)^7+C3/(1+D3)^8+C3/(1+D3)^9+C3/(1+D3)^10+C3/(1+D3)^11+C3/(1+D3)^12+C3/(1+D3)^13+C3/(1+D3)^14+C3/(1+D3)^15+C3/(1+D3)^16+C3/(1+D3)^17+C3/(1+D3)^18+C3/(1+D3)^19</f>
        <v>9096.1004050304546</v>
      </c>
      <c r="F22" s="53">
        <f>C3/(1+D3)^19</f>
        <v>32.339109260094041</v>
      </c>
      <c r="G22" s="53">
        <f t="shared" si="0"/>
        <v>15651.269635799687</v>
      </c>
      <c r="H22" s="55"/>
      <c r="I22" s="56">
        <v>4489.3</v>
      </c>
      <c r="J22" s="57">
        <f>IRR(I3:I22)</f>
        <v>0.52663670711392108</v>
      </c>
      <c r="K22" s="53">
        <f>G22/E3</f>
        <v>2.3876225135934521</v>
      </c>
    </row>
  </sheetData>
  <mergeCells count="1">
    <mergeCell ref="A1:K1"/>
  </mergeCells>
  <phoneticPr fontId="0" type="noConversion"/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І. Луценко</dc:creator>
  <cp:lastModifiedBy>user</cp:lastModifiedBy>
  <cp:lastPrinted>2016-08-04T10:10:12Z</cp:lastPrinted>
  <dcterms:created xsi:type="dcterms:W3CDTF">2013-09-19T08:37:06Z</dcterms:created>
  <dcterms:modified xsi:type="dcterms:W3CDTF">2016-08-04T10:12:43Z</dcterms:modified>
</cp:coreProperties>
</file>