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10" sheetId="1" r:id="rId1"/>
  </sheets>
  <definedNames>
    <definedName name="_xlfn.AGGREGATE" hidden="1">#NAME?</definedName>
    <definedName name="_xlnm.Print_Titles" localSheetId="0">'дод.10'!$11:$14</definedName>
    <definedName name="_xlnm.Print_Area" localSheetId="0">'дод.10'!$B$1:$P$303</definedName>
  </definedNames>
  <calcPr fullCalcOnLoad="1"/>
</workbook>
</file>

<file path=xl/sharedStrings.xml><?xml version="1.0" encoding="utf-8"?>
<sst xmlns="http://schemas.openxmlformats.org/spreadsheetml/2006/main" count="668" uniqueCount="479">
  <si>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</si>
  <si>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</si>
  <si>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</si>
  <si>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</si>
  <si>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</si>
  <si>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</si>
  <si>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</si>
  <si>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</si>
  <si>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</si>
  <si>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</si>
  <si>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</si>
  <si>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</si>
  <si>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</si>
  <si>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</si>
  <si>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</si>
  <si>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</si>
  <si>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</si>
  <si>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</si>
  <si>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</si>
  <si>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</si>
  <si>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</si>
  <si>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</si>
  <si>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</si>
  <si>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</si>
  <si>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</si>
  <si>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</si>
  <si>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</si>
  <si>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</si>
  <si>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</si>
  <si>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</si>
  <si>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</si>
  <si>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</si>
  <si>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</si>
  <si>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</si>
  <si>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</si>
  <si>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</si>
  <si>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</si>
  <si>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</si>
  <si>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</si>
  <si>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</si>
  <si>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</si>
  <si>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</si>
  <si>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</si>
  <si>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</si>
  <si>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</si>
  <si>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</si>
  <si>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</si>
  <si>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</si>
  <si>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</si>
  <si>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</si>
  <si>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</si>
  <si>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</si>
  <si>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</si>
  <si>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</si>
  <si>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</si>
  <si>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</si>
  <si>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</si>
  <si>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</si>
  <si>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</si>
  <si>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</si>
  <si>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</si>
  <si>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</si>
  <si>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</si>
  <si>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</si>
  <si>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</si>
  <si>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</si>
  <si>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</si>
  <si>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</si>
  <si>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</si>
  <si>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</si>
  <si>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</si>
  <si>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</si>
  <si>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</si>
  <si>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</si>
  <si>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</si>
  <si>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</si>
  <si>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</si>
  <si>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</si>
  <si>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</si>
  <si>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</si>
  <si>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</si>
  <si>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</si>
  <si>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</si>
  <si>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</si>
  <si>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</si>
  <si>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</si>
  <si>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</si>
  <si>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</si>
  <si>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</si>
  <si>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</si>
  <si>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</si>
  <si>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</si>
  <si>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</si>
  <si>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</si>
  <si>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</si>
  <si>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</si>
  <si>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</si>
  <si>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</si>
  <si>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</si>
  <si>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</si>
  <si>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</si>
  <si>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</si>
  <si>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</si>
  <si>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</si>
  <si>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</si>
  <si>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</si>
  <si>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</si>
  <si>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</si>
  <si>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</si>
  <si>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</si>
  <si>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</si>
  <si>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</si>
  <si>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</si>
  <si>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</si>
  <si>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</si>
  <si>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</si>
  <si>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</si>
  <si>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</si>
  <si>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</si>
  <si>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</si>
  <si>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</si>
  <si>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</si>
  <si>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</si>
  <si>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</si>
  <si>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</si>
  <si>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</si>
  <si>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</si>
  <si>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</si>
  <si>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</si>
  <si>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</si>
  <si>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</si>
  <si>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</si>
  <si>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</si>
  <si>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</si>
  <si>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</si>
  <si>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</si>
  <si>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</si>
  <si>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</si>
  <si>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</si>
  <si>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</si>
  <si>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</si>
  <si>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</si>
  <si>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</si>
  <si>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</si>
  <si>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</si>
  <si>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</si>
  <si>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</si>
  <si>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</si>
  <si>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</si>
  <si>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</si>
  <si>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</si>
  <si>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</si>
  <si>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</si>
  <si>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</si>
  <si>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</si>
  <si>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</si>
  <si>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</si>
  <si>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</si>
  <si>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</si>
  <si>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</si>
  <si>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</si>
  <si>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</si>
  <si>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</si>
  <si>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</si>
  <si>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</si>
  <si>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</si>
  <si>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</si>
  <si>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</si>
  <si>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</si>
  <si>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</si>
  <si>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</si>
  <si>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</si>
  <si>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</si>
  <si>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</si>
  <si>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</si>
  <si>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</si>
  <si>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</si>
  <si>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</si>
  <si>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</si>
  <si>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</si>
  <si>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</si>
  <si>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</si>
  <si>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</si>
  <si>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</si>
  <si>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</si>
  <si>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</si>
  <si>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</si>
  <si>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</si>
  <si>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</si>
  <si>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</si>
  <si>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</si>
  <si>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</si>
  <si>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</si>
  <si>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</si>
  <si>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</si>
  <si>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</si>
  <si>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</si>
  <si>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</si>
  <si>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</si>
  <si>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</si>
  <si>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</si>
  <si>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</si>
  <si>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</si>
  <si>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</si>
  <si>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</si>
  <si>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</si>
  <si>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 xml:space="preserve">Управління соціального захисту населення Сумської міської ради </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</si>
  <si>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</si>
  <si>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</si>
  <si>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</si>
  <si>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</si>
  <si>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</si>
  <si>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</si>
  <si>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</si>
  <si>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</si>
  <si>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</si>
  <si>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</si>
  <si>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</si>
  <si>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</si>
  <si>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</si>
  <si>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</si>
  <si>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</si>
  <si>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</si>
  <si>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</si>
  <si>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</si>
  <si>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</si>
  <si>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</si>
  <si>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</si>
  <si>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</si>
  <si>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</si>
  <si>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</si>
  <si>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</si>
  <si>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</si>
  <si>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</si>
  <si>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</si>
  <si>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</si>
  <si>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</si>
  <si>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</si>
  <si>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</si>
  <si>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</si>
  <si>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</si>
  <si>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</si>
  <si>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</si>
  <si>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</si>
  <si>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</si>
  <si>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</si>
  <si>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</si>
  <si>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</si>
  <si>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</si>
  <si>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</si>
  <si>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</si>
  <si>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</si>
  <si>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</si>
  <si>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</si>
  <si>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</si>
  <si>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</si>
  <si>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</si>
  <si>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</si>
  <si>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</si>
  <si>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</si>
  <si>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</si>
  <si>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</si>
  <si>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</si>
  <si>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</si>
  <si>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</si>
  <si>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</si>
  <si>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</si>
  <si>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</si>
  <si>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</si>
  <si>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</si>
  <si>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</si>
  <si>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</si>
  <si>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</si>
  <si>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</si>
  <si>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</si>
  <si>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</si>
  <si>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</si>
  <si>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</si>
  <si>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</si>
  <si>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</si>
  <si>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</si>
  <si>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</si>
  <si>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</si>
  <si>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</si>
  <si>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</si>
  <si>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</si>
  <si>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</si>
  <si>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</si>
  <si>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</si>
  <si>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</si>
  <si>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</si>
  <si>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</si>
  <si>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</si>
  <si>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</si>
  <si>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</si>
  <si>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</si>
  <si>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</si>
  <si>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</si>
  <si>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Департамент фінансів, економіки та бюджетних відносин Сумської міської ради</t>
  </si>
  <si>
    <t>7500000</t>
  </si>
  <si>
    <t>7510000</t>
  </si>
  <si>
    <t>7510180</t>
  </si>
  <si>
    <t>Департамент фінансів, економіки та бюджетних відносин Сумської міської ради (в частині міжбюджетних трансфертів, резервного фонду)</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</si>
  <si>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</si>
  <si>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</si>
  <si>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</si>
  <si>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</si>
  <si>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</si>
  <si>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</si>
  <si>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</si>
  <si>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</si>
  <si>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</si>
  <si>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</si>
  <si>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</si>
  <si>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</si>
  <si>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</si>
  <si>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</si>
  <si>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</si>
  <si>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</si>
  <si>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</si>
  <si>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</si>
  <si>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</si>
  <si>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</si>
  <si>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</si>
  <si>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</si>
  <si>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</si>
  <si>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</si>
  <si>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</si>
  <si>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</si>
  <si>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</si>
  <si>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</si>
  <si>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</si>
  <si>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</si>
  <si>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</si>
  <si>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</si>
  <si>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</si>
  <si>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</si>
  <si>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2016 рік»</t>
  </si>
  <si>
    <t xml:space="preserve">Виконання мської програми «Автоматизація муніципальних телекомунікаційних систем на 2016- 2018 роки в м. Суми»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</si>
  <si>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</si>
  <si>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</si>
  <si>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1513600</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</si>
  <si>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</si>
  <si>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</si>
  <si>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</si>
  <si>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</si>
  <si>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</si>
  <si>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4718600</t>
  </si>
  <si>
    <t>4718601</t>
  </si>
  <si>
    <t>Виконання «Програми енергозбереження та енергоефективності в бюджетній сфері              м. Суми на 2014-2016 роки »</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</si>
  <si>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</si>
  <si>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</si>
  <si>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</si>
  <si>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</si>
  <si>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Виконанн Програми «Фізична культура і спорт  міста Суми на 2016 - 2018 роки» на 2013-2015 роки</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</si>
  <si>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</si>
  <si>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</si>
  <si>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</si>
  <si>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</si>
  <si>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</si>
  <si>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</si>
  <si>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</si>
  <si>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</si>
  <si>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</si>
  <si>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4910180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</si>
  <si>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</si>
  <si>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</si>
  <si>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</si>
  <si>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</si>
  <si>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</si>
  <si>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</si>
  <si>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</si>
  <si>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</si>
  <si>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</si>
  <si>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</si>
  <si>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</si>
  <si>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</si>
  <si>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</si>
  <si>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</si>
  <si>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</si>
  <si>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</si>
  <si>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</si>
  <si>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</si>
  <si>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</si>
  <si>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</si>
  <si>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</si>
  <si>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</si>
  <si>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</si>
  <si>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</si>
  <si>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</si>
  <si>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</si>
  <si>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</si>
  <si>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</si>
  <si>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</si>
  <si>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</si>
  <si>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</si>
  <si>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</si>
  <si>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</si>
  <si>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</si>
  <si>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</si>
  <si>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</si>
  <si>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</si>
  <si>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</si>
  <si>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</si>
  <si>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</si>
  <si>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</si>
  <si>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</si>
  <si>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</si>
  <si>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</si>
  <si>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</si>
  <si>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</si>
  <si>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</si>
  <si>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</si>
  <si>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</si>
  <si>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</si>
  <si>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</si>
  <si>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</si>
  <si>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</si>
  <si>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</si>
  <si>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</si>
  <si>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</si>
  <si>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</si>
  <si>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</si>
  <si>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</si>
  <si>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</si>
  <si>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</si>
  <si>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</si>
  <si>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090208</t>
  </si>
  <si>
    <t>4119120</t>
  </si>
  <si>
    <t>240602</t>
  </si>
  <si>
    <t>Утилізація відходів</t>
  </si>
  <si>
    <t>4119140</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</si>
  <si>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</si>
  <si>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</si>
  <si>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</si>
  <si>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</si>
  <si>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</si>
  <si>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</si>
  <si>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</si>
  <si>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</si>
  <si>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</si>
  <si>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</si>
  <si>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</si>
  <si>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</si>
  <si>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</si>
  <si>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0316800</t>
  </si>
  <si>
    <t>170103</t>
  </si>
  <si>
    <t>Інші заходи у сфері автомобільного транспорту</t>
  </si>
  <si>
    <t>Надання фінансової підтримки КП СМР «Електроавтотранс»</t>
  </si>
  <si>
    <t>0316801</t>
  </si>
  <si>
    <t>4818602</t>
  </si>
  <si>
    <t>0318370</t>
  </si>
  <si>
    <t>250344</t>
  </si>
  <si>
    <t>Субвенція з місцевого бюджету державному бюджету на виконання програм соціально-економічного та культурного розвитку регіонів</t>
  </si>
  <si>
    <t>4113600</t>
  </si>
  <si>
    <t>4719150</t>
  </si>
  <si>
    <t>0319140</t>
  </si>
  <si>
    <t>4716430</t>
  </si>
  <si>
    <t>Ліквідація іншого забруднення навколишнього
природного середовища</t>
  </si>
  <si>
    <t>240603</t>
  </si>
  <si>
    <t>4719130</t>
  </si>
  <si>
    <t>4116130</t>
  </si>
  <si>
    <t>100302</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</si>
  <si>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</si>
  <si>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4818801</t>
  </si>
  <si>
    <t xml:space="preserve">Інші субвенції районному бюджету Сумського району на розроблення топогеодезичної зйомки та проекту детального плану території  </t>
  </si>
  <si>
    <t>4717310</t>
  </si>
  <si>
    <t>до   рішення    Сумської   міської    ради</t>
  </si>
  <si>
    <t>«Про   внесення     змін   та     доповнень</t>
  </si>
  <si>
    <t>до    міського   бюджету   на   2016  рік»</t>
  </si>
  <si>
    <t xml:space="preserve">                   Додаток № 10</t>
  </si>
  <si>
    <t>О.М. Лисенко</t>
  </si>
  <si>
    <t xml:space="preserve">___________  </t>
  </si>
  <si>
    <t>Міський голова</t>
  </si>
  <si>
    <r>
      <t xml:space="preserve">від   </t>
    </r>
    <r>
      <rPr>
        <sz val="18"/>
        <color indexed="9"/>
        <rFont val="Times New Roman"/>
        <family val="1"/>
      </rPr>
      <t>30   березня</t>
    </r>
    <r>
      <rPr>
        <sz val="18"/>
        <rFont val="Times New Roman"/>
        <family val="1"/>
      </rPr>
      <t xml:space="preserve"> 2016 року    № </t>
    </r>
    <r>
      <rPr>
        <sz val="18"/>
        <color indexed="9"/>
        <rFont val="Times New Roman"/>
        <family val="1"/>
      </rPr>
      <t>488</t>
    </r>
    <r>
      <rPr>
        <sz val="18"/>
        <rFont val="Times New Roman"/>
        <family val="1"/>
      </rPr>
      <t>-МР</t>
    </r>
  </si>
  <si>
    <t>4817470</t>
  </si>
  <si>
    <t>1513302</t>
  </si>
  <si>
    <t>Надання послуг «Центром надання соціальних, медичних та психологічних послуг учасникам бойових дій, учасникам антитерористичної операції та членам їх сімей»</t>
  </si>
  <si>
    <t>Виконавець: Співакова Л.І.</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</si>
</sst>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FC19]d\ mmmm\ yyyy\ \г\."/>
  </numFmts>
  <fonts count="45">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6"/>
      <name val="Times New Roman"/>
      <family val="1"/>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24"/>
      <name val="Times New Roman"/>
      <family val="1"/>
    </font>
    <font>
      <b/>
      <sz val="24"/>
      <name val="Times New Roman"/>
      <family val="1"/>
    </font>
    <font>
      <sz val="18"/>
      <color indexed="9"/>
      <name val="Times New Roman"/>
      <family val="1"/>
    </font>
    <font>
      <sz val="20"/>
      <name val="Times New Roman"/>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9"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0"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82">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29" fillId="0" borderId="0" xfId="0" applyNumberFormat="1" applyFont="1" applyFill="1" applyAlignment="1" applyProtection="1">
      <alignment/>
      <protection/>
    </xf>
    <xf numFmtId="0" fontId="29" fillId="0" borderId="0" xfId="0" applyFont="1" applyFill="1" applyAlignment="1">
      <alignment/>
    </xf>
    <xf numFmtId="3" fontId="25"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30" fillId="0" borderId="13" xfId="0" applyNumberFormat="1" applyFont="1" applyFill="1" applyBorder="1" applyAlignment="1" applyProtection="1">
      <alignment/>
      <protection/>
    </xf>
    <xf numFmtId="0" fontId="30" fillId="0" borderId="14" xfId="0" applyNumberFormat="1" applyFont="1" applyFill="1" applyBorder="1" applyAlignment="1" applyProtection="1">
      <alignment horizontal="center" vertical="center" wrapText="1"/>
      <protection/>
    </xf>
    <xf numFmtId="0" fontId="30" fillId="0" borderId="0" xfId="0" applyFont="1" applyFill="1" applyAlignment="1">
      <alignment/>
    </xf>
    <xf numFmtId="0" fontId="30" fillId="0" borderId="15" xfId="0" applyNumberFormat="1" applyFont="1" applyFill="1" applyBorder="1" applyAlignment="1" applyProtection="1">
      <alignment/>
      <protection/>
    </xf>
    <xf numFmtId="0" fontId="30" fillId="0" borderId="16"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0" fontId="30" fillId="0" borderId="0" xfId="0" applyNumberFormat="1" applyFont="1" applyFill="1" applyAlignment="1" applyProtection="1">
      <alignment vertical="center"/>
      <protection/>
    </xf>
    <xf numFmtId="0" fontId="31" fillId="0" borderId="17" xfId="0" applyFont="1" applyFill="1" applyBorder="1" applyAlignment="1">
      <alignment vertical="center" wrapText="1"/>
    </xf>
    <xf numFmtId="0" fontId="30" fillId="0" borderId="0" xfId="0" applyFont="1" applyFill="1" applyAlignment="1">
      <alignment vertical="center"/>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0" fontId="30" fillId="0" borderId="0" xfId="0" applyFont="1" applyFill="1" applyAlignment="1">
      <alignment vertical="center" wrapText="1"/>
    </xf>
    <xf numFmtId="49" fontId="30"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49" fontId="30" fillId="0" borderId="18" xfId="0" applyNumberFormat="1" applyFont="1" applyFill="1" applyBorder="1" applyAlignment="1">
      <alignment horizontal="center" vertical="center"/>
    </xf>
    <xf numFmtId="0" fontId="30" fillId="0" borderId="14" xfId="0" applyFont="1" applyFill="1" applyBorder="1" applyAlignment="1">
      <alignment vertical="center" wrapText="1"/>
    </xf>
    <xf numFmtId="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30" fillId="0" borderId="14" xfId="0" applyNumberFormat="1" applyFont="1" applyFill="1" applyBorder="1" applyAlignment="1" applyProtection="1">
      <alignment horizontal="center" vertical="center"/>
      <protection/>
    </xf>
    <xf numFmtId="0" fontId="28" fillId="0" borderId="0" xfId="0" applyNumberFormat="1" applyFont="1" applyFill="1" applyAlignment="1" applyProtection="1">
      <alignment horizontal="center"/>
      <protection/>
    </xf>
    <xf numFmtId="49" fontId="32" fillId="0" borderId="14" xfId="0" applyNumberFormat="1" applyFont="1" applyFill="1" applyBorder="1" applyAlignment="1" applyProtection="1">
      <alignment horizontal="center" vertical="center"/>
      <protection/>
    </xf>
    <xf numFmtId="0" fontId="32" fillId="0" borderId="14" xfId="0" applyFont="1" applyFill="1" applyBorder="1" applyAlignment="1">
      <alignment horizontal="left" vertical="center" wrapText="1"/>
    </xf>
    <xf numFmtId="0" fontId="30" fillId="0" borderId="14" xfId="0" applyFont="1" applyFill="1" applyBorder="1" applyAlignment="1">
      <alignment vertical="center"/>
    </xf>
    <xf numFmtId="49" fontId="30" fillId="0" borderId="14" xfId="0" applyNumberFormat="1" applyFont="1" applyFill="1" applyBorder="1" applyAlignment="1">
      <alignment horizontal="center" vertical="center"/>
    </xf>
    <xf numFmtId="49" fontId="30" fillId="0" borderId="18" xfId="0" applyNumberFormat="1" applyFont="1" applyFill="1" applyBorder="1" applyAlignment="1">
      <alignment horizontal="center" vertical="center"/>
    </xf>
    <xf numFmtId="4" fontId="30" fillId="0" borderId="14" xfId="0" applyNumberFormat="1" applyFont="1" applyFill="1" applyBorder="1" applyAlignment="1">
      <alignment vertical="center"/>
    </xf>
    <xf numFmtId="0" fontId="30" fillId="0" borderId="0" xfId="0" applyNumberFormat="1" applyFont="1" applyFill="1" applyAlignment="1" applyProtection="1">
      <alignment vertical="center"/>
      <protection/>
    </xf>
    <xf numFmtId="0" fontId="30" fillId="0" borderId="14" xfId="0" applyFont="1" applyFill="1" applyBorder="1" applyAlignment="1">
      <alignment horizontal="left" vertical="center" wrapText="1"/>
    </xf>
    <xf numFmtId="0" fontId="33" fillId="0" borderId="17" xfId="0" applyFont="1" applyFill="1" applyBorder="1" applyAlignment="1">
      <alignment vertical="center" wrapText="1"/>
    </xf>
    <xf numFmtId="49" fontId="33" fillId="0" borderId="14" xfId="0" applyNumberFormat="1" applyFont="1" applyFill="1" applyBorder="1" applyAlignment="1">
      <alignment horizontal="center" vertical="center"/>
    </xf>
    <xf numFmtId="0" fontId="33" fillId="0" borderId="14" xfId="0" applyFont="1" applyFill="1" applyBorder="1" applyAlignment="1">
      <alignment horizontal="left" vertical="center" wrapText="1"/>
    </xf>
    <xf numFmtId="0" fontId="32"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vertical="center"/>
      <protection/>
    </xf>
    <xf numFmtId="0" fontId="30" fillId="0" borderId="19" xfId="0" applyFont="1" applyFill="1" applyBorder="1" applyAlignment="1">
      <alignment vertical="center"/>
    </xf>
    <xf numFmtId="49" fontId="30" fillId="0" borderId="14" xfId="0" applyNumberFormat="1" applyFont="1" applyFill="1" applyBorder="1" applyAlignment="1" applyProtection="1">
      <alignment horizontal="center" vertical="center"/>
      <protection/>
    </xf>
    <xf numFmtId="4" fontId="31"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184" fontId="31" fillId="0" borderId="14" xfId="95" applyNumberFormat="1" applyFont="1" applyFill="1" applyBorder="1" applyAlignment="1">
      <alignment vertical="center"/>
      <protection/>
    </xf>
    <xf numFmtId="184" fontId="32" fillId="0" borderId="17" xfId="95" applyNumberFormat="1" applyFont="1" applyFill="1" applyBorder="1" applyAlignment="1">
      <alignment vertical="center"/>
      <protection/>
    </xf>
    <xf numFmtId="4" fontId="32"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4" fontId="32" fillId="0" borderId="14" xfId="95" applyNumberFormat="1" applyFont="1" applyFill="1" applyBorder="1" applyAlignment="1">
      <alignment vertical="center"/>
      <protection/>
    </xf>
    <xf numFmtId="0" fontId="30" fillId="0" borderId="0" xfId="0" applyNumberFormat="1" applyFont="1" applyFill="1" applyAlignment="1" applyProtection="1">
      <alignment vertical="center" wrapText="1"/>
      <protection/>
    </xf>
    <xf numFmtId="0" fontId="29" fillId="0" borderId="0" xfId="0" applyFont="1" applyFill="1" applyAlignment="1">
      <alignment horizontal="left" vertical="center"/>
    </xf>
    <xf numFmtId="49" fontId="31" fillId="0" borderId="14" xfId="0" applyNumberFormat="1" applyFont="1" applyFill="1" applyBorder="1" applyAlignment="1">
      <alignment horizontal="center" vertical="center" wrapText="1"/>
    </xf>
    <xf numFmtId="49" fontId="33" fillId="0" borderId="14" xfId="0" applyNumberFormat="1" applyFont="1" applyFill="1" applyBorder="1" applyAlignment="1">
      <alignment horizontal="center" vertical="center" wrapText="1"/>
    </xf>
    <xf numFmtId="4" fontId="32"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4" fontId="32"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vertical="center"/>
      <protection/>
    </xf>
    <xf numFmtId="4" fontId="31"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0" fontId="29" fillId="0" borderId="0" xfId="0" applyFont="1" applyFill="1" applyBorder="1" applyAlignment="1">
      <alignment vertical="center" textRotation="180"/>
    </xf>
    <xf numFmtId="0" fontId="0" fillId="0" borderId="0" xfId="0" applyNumberFormat="1" applyFont="1" applyFill="1" applyAlignment="1" applyProtection="1">
      <alignment/>
      <protection/>
    </xf>
    <xf numFmtId="0" fontId="0" fillId="0" borderId="0" xfId="0" applyFont="1" applyFill="1" applyAlignment="1">
      <alignment/>
    </xf>
    <xf numFmtId="0" fontId="32" fillId="0" borderId="14" xfId="0" applyNumberFormat="1" applyFont="1" applyFill="1" applyBorder="1" applyAlignment="1" applyProtection="1">
      <alignment horizontal="center" vertical="center"/>
      <protection/>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2" fillId="0" borderId="0" xfId="0" applyNumberFormat="1" applyFont="1" applyFill="1" applyBorder="1" applyAlignment="1" applyProtection="1">
      <alignment vertical="center"/>
      <protection/>
    </xf>
    <xf numFmtId="0" fontId="32" fillId="0" borderId="0" xfId="0" applyFont="1" applyFill="1" applyBorder="1" applyAlignment="1">
      <alignment vertical="center"/>
    </xf>
    <xf numFmtId="49" fontId="32" fillId="0" borderId="17" xfId="0" applyNumberFormat="1" applyFont="1" applyFill="1" applyBorder="1" applyAlignment="1">
      <alignment horizontal="center" vertical="center"/>
    </xf>
    <xf numFmtId="49" fontId="30" fillId="0" borderId="17" xfId="0" applyNumberFormat="1" applyFont="1" applyFill="1" applyBorder="1" applyAlignment="1">
      <alignment horizontal="center" vertical="center"/>
    </xf>
    <xf numFmtId="49" fontId="32"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xf>
    <xf numFmtId="4" fontId="32"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4" fontId="30" fillId="0" borderId="14" xfId="95" applyNumberFormat="1" applyFont="1" applyFill="1" applyBorder="1" applyAlignment="1">
      <alignment vertical="center"/>
      <protection/>
    </xf>
    <xf numFmtId="49" fontId="32" fillId="0" borderId="18" xfId="0" applyNumberFormat="1" applyFont="1" applyFill="1" applyBorder="1" applyAlignment="1">
      <alignment horizontal="center" vertical="center"/>
    </xf>
    <xf numFmtId="0" fontId="32" fillId="0" borderId="0" xfId="0" applyNumberFormat="1" applyFont="1" applyFill="1" applyAlignment="1" applyProtection="1">
      <alignment vertical="center"/>
      <protection/>
    </xf>
    <xf numFmtId="0" fontId="32" fillId="0" borderId="0" xfId="0" applyFont="1" applyFill="1" applyAlignment="1">
      <alignment vertical="center"/>
    </xf>
    <xf numFmtId="0" fontId="32" fillId="0" borderId="14" xfId="0" applyFont="1" applyFill="1" applyBorder="1" applyAlignment="1">
      <alignment vertical="center" wrapText="1"/>
    </xf>
    <xf numFmtId="49" fontId="32" fillId="0" borderId="14" xfId="0" applyNumberFormat="1" applyFont="1" applyFill="1" applyBorder="1" applyAlignment="1">
      <alignment horizontal="left" vertical="center" wrapText="1"/>
    </xf>
    <xf numFmtId="49" fontId="30" fillId="0" borderId="14" xfId="0" applyNumberFormat="1" applyFont="1" applyFill="1" applyBorder="1" applyAlignment="1" applyProtection="1">
      <alignment horizontal="center" vertical="center"/>
      <protection/>
    </xf>
    <xf numFmtId="0" fontId="29" fillId="0" borderId="0" xfId="0" applyFont="1" applyFill="1" applyAlignment="1">
      <alignment vertical="center"/>
    </xf>
    <xf numFmtId="0" fontId="0" fillId="0" borderId="0" xfId="0" applyNumberFormat="1" applyFont="1" applyFill="1" applyAlignment="1" applyProtection="1">
      <alignment horizontal="center"/>
      <protection/>
    </xf>
    <xf numFmtId="0" fontId="29" fillId="0" borderId="0" xfId="0" applyFont="1" applyFill="1" applyAlignment="1">
      <alignment horizontal="left" vertical="center"/>
    </xf>
    <xf numFmtId="0" fontId="0" fillId="0" borderId="12" xfId="0" applyFont="1" applyFill="1" applyBorder="1" applyAlignment="1">
      <alignment horizontal="center"/>
    </xf>
    <xf numFmtId="49" fontId="32" fillId="0" borderId="14" xfId="0" applyNumberFormat="1" applyFont="1" applyFill="1" applyBorder="1" applyAlignment="1" applyProtection="1">
      <alignment horizontal="center" vertical="center"/>
      <protection/>
    </xf>
    <xf numFmtId="0" fontId="30" fillId="0" borderId="0" xfId="0" applyFont="1" applyFill="1" applyAlignment="1">
      <alignment vertical="center" wrapText="1"/>
    </xf>
    <xf numFmtId="184" fontId="30"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0" fontId="30" fillId="0" borderId="14" xfId="0" applyFont="1" applyFill="1" applyBorder="1" applyAlignment="1">
      <alignment vertical="center"/>
    </xf>
    <xf numFmtId="49" fontId="30" fillId="0" borderId="14" xfId="0" applyNumberFormat="1" applyFont="1" applyFill="1" applyBorder="1" applyAlignment="1">
      <alignment horizontal="left" vertical="center"/>
    </xf>
    <xf numFmtId="0" fontId="32" fillId="0" borderId="17" xfId="0" applyFont="1" applyFill="1" applyBorder="1" applyAlignment="1">
      <alignment horizontal="left" vertical="center" wrapText="1"/>
    </xf>
    <xf numFmtId="184" fontId="32" fillId="0" borderId="17" xfId="95" applyNumberFormat="1" applyFont="1" applyFill="1" applyBorder="1" applyAlignment="1">
      <alignment vertical="center"/>
      <protection/>
    </xf>
    <xf numFmtId="184" fontId="33"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184" fontId="33" fillId="0" borderId="14" xfId="95" applyNumberFormat="1" applyFont="1" applyFill="1" applyBorder="1" applyAlignment="1">
      <alignment vertical="center"/>
      <protection/>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49" fontId="30" fillId="0" borderId="14" xfId="0" applyNumberFormat="1" applyFont="1" applyFill="1" applyBorder="1" applyAlignment="1" applyProtection="1">
      <alignment horizontal="center" vertical="center"/>
      <protection/>
    </xf>
    <xf numFmtId="0" fontId="30" fillId="0" borderId="18" xfId="0" applyFont="1" applyFill="1" applyBorder="1" applyAlignment="1">
      <alignment horizontal="left" vertical="center" wrapText="1"/>
    </xf>
    <xf numFmtId="4" fontId="30" fillId="0" borderId="18" xfId="95" applyNumberFormat="1" applyFont="1" applyFill="1" applyBorder="1" applyAlignment="1">
      <alignment vertical="center"/>
      <protection/>
    </xf>
    <xf numFmtId="0" fontId="30" fillId="0" borderId="17" xfId="0" applyFont="1" applyFill="1" applyBorder="1" applyAlignment="1">
      <alignment horizontal="left" vertical="center" wrapText="1"/>
    </xf>
    <xf numFmtId="4" fontId="30" fillId="0" borderId="17" xfId="95" applyNumberFormat="1" applyFont="1" applyFill="1" applyBorder="1" applyAlignment="1">
      <alignment vertical="center"/>
      <protection/>
    </xf>
    <xf numFmtId="0" fontId="30" fillId="0" borderId="14" xfId="0" applyNumberFormat="1" applyFont="1" applyFill="1" applyBorder="1" applyAlignment="1" applyProtection="1">
      <alignment horizontal="center" vertical="center"/>
      <protection/>
    </xf>
    <xf numFmtId="4" fontId="30" fillId="0" borderId="14" xfId="95" applyNumberFormat="1" applyFont="1" applyFill="1" applyBorder="1" applyAlignment="1">
      <alignment horizontal="right" vertical="center"/>
      <protection/>
    </xf>
    <xf numFmtId="4" fontId="30" fillId="0" borderId="14" xfId="0" applyNumberFormat="1" applyFont="1" applyFill="1" applyBorder="1" applyAlignment="1">
      <alignment vertical="center"/>
    </xf>
    <xf numFmtId="49" fontId="30" fillId="0" borderId="18" xfId="0" applyNumberFormat="1" applyFont="1" applyFill="1" applyBorder="1" applyAlignment="1" applyProtection="1">
      <alignment horizontal="center" vertical="center"/>
      <protection/>
    </xf>
    <xf numFmtId="4" fontId="32" fillId="0" borderId="14" xfId="0" applyNumberFormat="1" applyFont="1" applyFill="1" applyBorder="1" applyAlignment="1">
      <alignment vertical="center" wrapText="1"/>
    </xf>
    <xf numFmtId="0" fontId="32" fillId="0" borderId="0" xfId="0" applyNumberFormat="1" applyFont="1" applyFill="1" applyAlignment="1" applyProtection="1">
      <alignment horizontal="center" vertical="center"/>
      <protection/>
    </xf>
    <xf numFmtId="0" fontId="32" fillId="0" borderId="0" xfId="0" applyFont="1" applyFill="1" applyAlignment="1">
      <alignment horizontal="center" vertical="center"/>
    </xf>
    <xf numFmtId="0" fontId="30" fillId="0" borderId="14" xfId="0" applyFont="1" applyFill="1" applyBorder="1" applyAlignment="1">
      <alignment vertical="center" wrapText="1"/>
    </xf>
    <xf numFmtId="4" fontId="0" fillId="0" borderId="0" xfId="0" applyNumberFormat="1" applyFont="1" applyFill="1" applyAlignment="1" applyProtection="1">
      <alignment/>
      <protection/>
    </xf>
    <xf numFmtId="4" fontId="0" fillId="0" borderId="0" xfId="0" applyNumberFormat="1" applyFont="1" applyFill="1" applyAlignment="1" applyProtection="1">
      <alignment/>
      <protection/>
    </xf>
    <xf numFmtId="4" fontId="0" fillId="0" borderId="0" xfId="0" applyNumberFormat="1" applyFont="1" applyFill="1" applyAlignment="1" applyProtection="1">
      <alignment/>
      <protection/>
    </xf>
    <xf numFmtId="3" fontId="29" fillId="0" borderId="0" xfId="0" applyNumberFormat="1" applyFont="1" applyFill="1" applyBorder="1" applyAlignment="1">
      <alignment horizontal="center" vertical="center" wrapText="1"/>
    </xf>
    <xf numFmtId="0" fontId="29" fillId="0" borderId="0" xfId="0" applyNumberFormat="1" applyFont="1" applyFill="1" applyAlignment="1" applyProtection="1">
      <alignment/>
      <protection/>
    </xf>
    <xf numFmtId="0" fontId="29" fillId="0" borderId="0" xfId="0" applyFont="1" applyFill="1" applyAlignment="1">
      <alignment/>
    </xf>
    <xf numFmtId="0" fontId="29" fillId="0" borderId="0" xfId="0" applyNumberFormat="1" applyFont="1" applyFill="1" applyAlignment="1" applyProtection="1">
      <alignment horizontal="center"/>
      <protection/>
    </xf>
    <xf numFmtId="0" fontId="29" fillId="0" borderId="0" xfId="0" applyFont="1" applyFill="1" applyBorder="1" applyAlignment="1">
      <alignment vertical="center" textRotation="180"/>
    </xf>
    <xf numFmtId="4" fontId="33"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3" fontId="34" fillId="0" borderId="0" xfId="0" applyNumberFormat="1" applyFont="1" applyFill="1" applyBorder="1" applyAlignment="1">
      <alignment wrapText="1"/>
    </xf>
    <xf numFmtId="3" fontId="34" fillId="0" borderId="0" xfId="0" applyNumberFormat="1" applyFont="1" applyFill="1" applyBorder="1" applyAlignment="1">
      <alignment wrapText="1"/>
    </xf>
    <xf numFmtId="0" fontId="29" fillId="0" borderId="0" xfId="0" applyFont="1" applyFill="1" applyBorder="1" applyAlignment="1">
      <alignment textRotation="180"/>
    </xf>
    <xf numFmtId="0" fontId="29" fillId="0" borderId="0" xfId="0" applyFont="1" applyFill="1" applyBorder="1" applyAlignment="1">
      <alignment textRotation="180"/>
    </xf>
    <xf numFmtId="0" fontId="0" fillId="0" borderId="0" xfId="0" applyFill="1" applyAlignment="1">
      <alignment wrapText="1"/>
    </xf>
    <xf numFmtId="0" fontId="29" fillId="0" borderId="15" xfId="0" applyFont="1" applyFill="1" applyBorder="1" applyAlignment="1">
      <alignment horizontal="center" vertical="center" textRotation="180"/>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0" fontId="32" fillId="27" borderId="0" xfId="0" applyNumberFormat="1" applyFont="1" applyFill="1" applyAlignment="1" applyProtection="1">
      <alignment vertical="center"/>
      <protection/>
    </xf>
    <xf numFmtId="0" fontId="32" fillId="27" borderId="0" xfId="0" applyFont="1" applyFill="1" applyAlignment="1">
      <alignment vertical="center"/>
    </xf>
    <xf numFmtId="0" fontId="41" fillId="0" borderId="0" xfId="0" applyNumberFormat="1" applyFont="1" applyFill="1" applyAlignment="1" applyProtection="1">
      <alignment/>
      <protection/>
    </xf>
    <xf numFmtId="0" fontId="41" fillId="0" borderId="0" xfId="0" applyFont="1" applyFill="1" applyAlignment="1">
      <alignment/>
    </xf>
    <xf numFmtId="3" fontId="42" fillId="0" borderId="0" xfId="0" applyNumberFormat="1" applyFont="1" applyFill="1" applyBorder="1" applyAlignment="1">
      <alignment horizontal="center" vertical="center" wrapText="1"/>
    </xf>
    <xf numFmtId="3" fontId="41" fillId="0" borderId="0" xfId="0" applyNumberFormat="1" applyFont="1" applyFill="1" applyBorder="1" applyAlignment="1">
      <alignment wrapText="1"/>
    </xf>
    <xf numFmtId="0" fontId="0" fillId="0" borderId="0" xfId="0" applyNumberFormat="1" applyFont="1" applyFill="1" applyAlignment="1" applyProtection="1">
      <alignment horizontal="center"/>
      <protection/>
    </xf>
    <xf numFmtId="4" fontId="30" fillId="0" borderId="14" xfId="0" applyNumberFormat="1" applyFont="1" applyFill="1" applyBorder="1" applyAlignment="1">
      <alignment vertical="center"/>
    </xf>
    <xf numFmtId="0" fontId="29" fillId="0" borderId="15" xfId="0" applyFont="1" applyFill="1" applyBorder="1" applyAlignment="1">
      <alignment horizontal="center" vertical="center" textRotation="180"/>
    </xf>
    <xf numFmtId="0" fontId="29" fillId="0" borderId="0" xfId="0" applyFont="1" applyFill="1" applyBorder="1" applyAlignment="1">
      <alignment horizontal="center" vertical="center" textRotation="180"/>
    </xf>
    <xf numFmtId="0" fontId="29" fillId="0" borderId="0" xfId="0" applyFont="1" applyFill="1" applyBorder="1" applyAlignment="1">
      <alignment horizontal="center" vertical="center" textRotation="180"/>
    </xf>
    <xf numFmtId="4" fontId="30" fillId="0" borderId="18" xfId="95" applyNumberFormat="1" applyFont="1" applyFill="1" applyBorder="1" applyAlignment="1">
      <alignment horizontal="center" vertical="center"/>
      <protection/>
    </xf>
    <xf numFmtId="4" fontId="30" fillId="0" borderId="17" xfId="95" applyNumberFormat="1" applyFont="1" applyFill="1" applyBorder="1" applyAlignment="1">
      <alignment horizontal="center" vertical="center"/>
      <protection/>
    </xf>
    <xf numFmtId="0" fontId="29" fillId="0" borderId="0" xfId="0" applyFont="1" applyFill="1" applyAlignment="1">
      <alignment horizontal="left" vertical="center" wrapText="1"/>
    </xf>
    <xf numFmtId="0" fontId="32" fillId="0" borderId="18" xfId="0" applyNumberFormat="1" applyFont="1" applyFill="1" applyBorder="1" applyAlignment="1" applyProtection="1">
      <alignment horizontal="center" vertical="center"/>
      <protection/>
    </xf>
    <xf numFmtId="0" fontId="0" fillId="0" borderId="17" xfId="0" applyFont="1" applyFill="1" applyBorder="1" applyAlignment="1">
      <alignment horizontal="center" vertical="center"/>
    </xf>
    <xf numFmtId="49" fontId="32" fillId="0" borderId="18" xfId="0" applyNumberFormat="1" applyFont="1" applyFill="1" applyBorder="1" applyAlignment="1">
      <alignment horizontal="center" vertical="center"/>
    </xf>
    <xf numFmtId="0" fontId="32"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29" fillId="0" borderId="0" xfId="0" applyFont="1" applyFill="1" applyAlignment="1">
      <alignment vertical="center"/>
    </xf>
    <xf numFmtId="0" fontId="29" fillId="0" borderId="0" xfId="0" applyFont="1" applyFill="1" applyAlignment="1">
      <alignment horizontal="left" vertical="center" wrapText="1"/>
    </xf>
    <xf numFmtId="0" fontId="26" fillId="0" borderId="0" xfId="0" applyNumberFormat="1" applyFont="1" applyFill="1" applyAlignment="1" applyProtection="1">
      <alignment horizontal="left" vertical="top"/>
      <protection/>
    </xf>
    <xf numFmtId="0" fontId="25" fillId="0" borderId="0" xfId="0" applyNumberFormat="1" applyFont="1" applyFill="1" applyBorder="1" applyAlignment="1" applyProtection="1">
      <alignment horizontal="center" vertical="top" wrapText="1"/>
      <protection/>
    </xf>
    <xf numFmtId="0" fontId="32" fillId="0" borderId="14" xfId="0" applyNumberFormat="1" applyFont="1" applyFill="1" applyBorder="1" applyAlignment="1" applyProtection="1">
      <alignment horizontal="center" vertical="center" wrapText="1"/>
      <protection/>
    </xf>
    <xf numFmtId="49" fontId="34" fillId="0" borderId="0" xfId="0" applyNumberFormat="1" applyFont="1" applyFill="1" applyBorder="1" applyAlignment="1">
      <alignment horizontal="center" vertical="center" wrapText="1"/>
    </xf>
    <xf numFmtId="0" fontId="29" fillId="0" borderId="0" xfId="0" applyFont="1" applyFill="1" applyAlignment="1">
      <alignment horizontal="left"/>
    </xf>
    <xf numFmtId="0" fontId="41" fillId="0" borderId="0" xfId="0" applyFont="1" applyFill="1" applyAlignment="1">
      <alignment wrapText="1"/>
    </xf>
    <xf numFmtId="0" fontId="41" fillId="0" borderId="0" xfId="0" applyNumberFormat="1" applyFont="1" applyFill="1" applyAlignment="1" applyProtection="1">
      <alignment horizontal="center"/>
      <protection/>
    </xf>
    <xf numFmtId="0" fontId="44" fillId="0" borderId="0" xfId="0" applyFont="1" applyFill="1" applyAlignment="1">
      <alignment horizontal="left" wrapText="1"/>
    </xf>
    <xf numFmtId="0" fontId="44" fillId="0" borderId="0" xfId="0" applyNumberFormat="1" applyFont="1" applyFill="1" applyAlignment="1" applyProtection="1">
      <alignment horizontal="left"/>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08"/>
  <sheetViews>
    <sheetView showGridLines="0" showZeros="0" tabSelected="1" view="pageBreakPreview" zoomScale="75" zoomScaleNormal="70" zoomScaleSheetLayoutView="75" zoomScalePageLayoutView="0" workbookViewId="0" topLeftCell="B179">
      <selection activeCell="C186" sqref="C186"/>
    </sheetView>
  </sheetViews>
  <sheetFormatPr defaultColWidth="9.16015625" defaultRowHeight="12.75"/>
  <cols>
    <col min="1" max="1" width="3.83203125" style="15" hidden="1" customWidth="1"/>
    <col min="2" max="2" width="16.5" style="37" customWidth="1"/>
    <col min="3" max="3" width="13.66015625" style="15" customWidth="1"/>
    <col min="4" max="4" width="48.16015625" style="15" customWidth="1"/>
    <col min="5" max="5" width="20.16015625" style="15" customWidth="1"/>
    <col min="6" max="6" width="22.33203125" style="15" customWidth="1"/>
    <col min="7" max="7" width="18.5" style="15" customWidth="1"/>
    <col min="8" max="8" width="17" style="15" customWidth="1"/>
    <col min="9" max="9" width="16.5" style="15" customWidth="1"/>
    <col min="10" max="10" width="19" style="15" customWidth="1"/>
    <col min="11" max="11" width="17.83203125" style="15" customWidth="1"/>
    <col min="12" max="12" width="16.66015625" style="15" customWidth="1"/>
    <col min="13" max="13" width="16.16015625" style="15" customWidth="1"/>
    <col min="14" max="14" width="17.66015625" style="15" customWidth="1"/>
    <col min="15" max="15" width="18" style="15" customWidth="1"/>
    <col min="16" max="16" width="20.5" style="15" customWidth="1"/>
    <col min="17" max="17" width="7.33203125" style="76" customWidth="1"/>
    <col min="18" max="16384" width="9.16015625" style="78" customWidth="1"/>
  </cols>
  <sheetData>
    <row r="1" spans="1:17" s="14" customFormat="1" ht="12.75" customHeight="1">
      <c r="A1" s="2"/>
      <c r="B1" s="154"/>
      <c r="C1" s="2"/>
      <c r="D1" s="2"/>
      <c r="E1" s="2"/>
      <c r="F1" s="2"/>
      <c r="G1" s="2"/>
      <c r="H1" s="2"/>
      <c r="I1" s="2"/>
      <c r="J1" s="2"/>
      <c r="K1" s="2"/>
      <c r="L1" s="2"/>
      <c r="M1" s="2"/>
      <c r="N1" s="2"/>
      <c r="O1" s="2"/>
      <c r="P1" s="2"/>
      <c r="Q1" s="158">
        <v>75</v>
      </c>
    </row>
    <row r="2" spans="12:17" ht="23.25">
      <c r="L2" s="171" t="s">
        <v>470</v>
      </c>
      <c r="M2" s="171"/>
      <c r="N2" s="171"/>
      <c r="O2" s="171"/>
      <c r="P2" s="100"/>
      <c r="Q2" s="158"/>
    </row>
    <row r="3" spans="1:17" s="14" customFormat="1" ht="23.25">
      <c r="A3" s="77"/>
      <c r="B3" s="101"/>
      <c r="C3" s="77"/>
      <c r="D3" s="77"/>
      <c r="E3" s="77"/>
      <c r="F3" s="77"/>
      <c r="G3" s="77"/>
      <c r="H3" s="77"/>
      <c r="I3" s="77"/>
      <c r="J3" s="77"/>
      <c r="K3" s="77"/>
      <c r="L3" s="66" t="s">
        <v>467</v>
      </c>
      <c r="M3" s="66"/>
      <c r="N3" s="66"/>
      <c r="O3" s="66"/>
      <c r="P3" s="66"/>
      <c r="Q3" s="158"/>
    </row>
    <row r="4" spans="12:17" ht="20.25" customHeight="1">
      <c r="L4" s="172" t="s">
        <v>468</v>
      </c>
      <c r="M4" s="172"/>
      <c r="N4" s="172"/>
      <c r="O4" s="172"/>
      <c r="P4" s="172"/>
      <c r="Q4" s="158"/>
    </row>
    <row r="5" spans="1:17" s="14" customFormat="1" ht="20.25" customHeight="1">
      <c r="A5" s="77"/>
      <c r="B5" s="101"/>
      <c r="C5" s="77"/>
      <c r="D5" s="77"/>
      <c r="E5" s="77"/>
      <c r="F5" s="77"/>
      <c r="G5" s="77"/>
      <c r="H5" s="77"/>
      <c r="I5" s="77"/>
      <c r="J5" s="77"/>
      <c r="K5" s="77"/>
      <c r="L5" s="161" t="s">
        <v>469</v>
      </c>
      <c r="M5" s="161"/>
      <c r="N5" s="161"/>
      <c r="O5" s="161"/>
      <c r="P5" s="161"/>
      <c r="Q5" s="158"/>
    </row>
    <row r="6" spans="12:17" ht="23.25">
      <c r="L6" s="66" t="s">
        <v>474</v>
      </c>
      <c r="M6" s="102"/>
      <c r="N6" s="102"/>
      <c r="O6" s="102"/>
      <c r="P6" s="102"/>
      <c r="Q6" s="158"/>
    </row>
    <row r="7" spans="1:17" s="8" customFormat="1" ht="10.5" customHeight="1">
      <c r="A7" s="7"/>
      <c r="B7" s="38"/>
      <c r="C7" s="173"/>
      <c r="D7" s="173"/>
      <c r="E7" s="173"/>
      <c r="F7" s="173"/>
      <c r="G7" s="173"/>
      <c r="H7" s="173"/>
      <c r="I7" s="173"/>
      <c r="J7" s="173"/>
      <c r="K7" s="173"/>
      <c r="L7" s="173"/>
      <c r="M7" s="173"/>
      <c r="N7" s="173"/>
      <c r="O7" s="173"/>
      <c r="P7" s="173"/>
      <c r="Q7" s="158"/>
    </row>
    <row r="8" spans="5:17" ht="15">
      <c r="E8" s="1"/>
      <c r="F8" s="1"/>
      <c r="G8" s="1"/>
      <c r="H8" s="1"/>
      <c r="I8" s="1"/>
      <c r="J8" s="1"/>
      <c r="K8" s="1"/>
      <c r="L8" s="1"/>
      <c r="M8" s="65"/>
      <c r="N8" s="65"/>
      <c r="O8" s="65"/>
      <c r="P8" s="65"/>
      <c r="Q8" s="158"/>
    </row>
    <row r="9" spans="1:17" s="14" customFormat="1" ht="50.25" customHeight="1">
      <c r="A9" s="77"/>
      <c r="B9" s="101"/>
      <c r="C9" s="174" t="s">
        <v>353</v>
      </c>
      <c r="D9" s="174"/>
      <c r="E9" s="174"/>
      <c r="F9" s="174"/>
      <c r="G9" s="174"/>
      <c r="H9" s="174"/>
      <c r="I9" s="174"/>
      <c r="J9" s="174"/>
      <c r="K9" s="174"/>
      <c r="L9" s="174"/>
      <c r="M9" s="174"/>
      <c r="N9" s="174"/>
      <c r="O9" s="174"/>
      <c r="P9" s="174"/>
      <c r="Q9" s="158"/>
    </row>
    <row r="10" spans="1:17" s="14" customFormat="1" ht="11.25" customHeight="1">
      <c r="A10" s="15"/>
      <c r="B10" s="37"/>
      <c r="C10" s="103"/>
      <c r="D10" s="103"/>
      <c r="E10" s="103"/>
      <c r="F10" s="103"/>
      <c r="G10" s="6"/>
      <c r="H10" s="3"/>
      <c r="I10" s="3"/>
      <c r="J10" s="4"/>
      <c r="K10" s="5"/>
      <c r="L10" s="5"/>
      <c r="M10" s="5"/>
      <c r="N10" s="5"/>
      <c r="O10" s="5"/>
      <c r="P10" s="17" t="s">
        <v>12</v>
      </c>
      <c r="Q10" s="158"/>
    </row>
    <row r="11" spans="1:17" s="20" customFormat="1" ht="21.75" customHeight="1">
      <c r="A11" s="18"/>
      <c r="B11" s="168" t="s">
        <v>97</v>
      </c>
      <c r="C11" s="168" t="s">
        <v>11</v>
      </c>
      <c r="D11" s="166" t="s">
        <v>308</v>
      </c>
      <c r="E11" s="166" t="s">
        <v>0</v>
      </c>
      <c r="F11" s="166"/>
      <c r="G11" s="166"/>
      <c r="H11" s="166"/>
      <c r="I11" s="166"/>
      <c r="J11" s="166" t="s">
        <v>1</v>
      </c>
      <c r="K11" s="166"/>
      <c r="L11" s="166"/>
      <c r="M11" s="166"/>
      <c r="N11" s="166"/>
      <c r="O11" s="166"/>
      <c r="P11" s="166" t="s">
        <v>2</v>
      </c>
      <c r="Q11" s="158"/>
    </row>
    <row r="12" spans="1:17" s="20" customFormat="1" ht="16.5" customHeight="1">
      <c r="A12" s="21"/>
      <c r="B12" s="169"/>
      <c r="C12" s="169"/>
      <c r="D12" s="166"/>
      <c r="E12" s="166" t="s">
        <v>3</v>
      </c>
      <c r="F12" s="165" t="s">
        <v>4</v>
      </c>
      <c r="G12" s="167" t="s">
        <v>5</v>
      </c>
      <c r="H12" s="167"/>
      <c r="I12" s="175" t="s">
        <v>6</v>
      </c>
      <c r="J12" s="166" t="s">
        <v>3</v>
      </c>
      <c r="K12" s="165" t="s">
        <v>4</v>
      </c>
      <c r="L12" s="167" t="s">
        <v>5</v>
      </c>
      <c r="M12" s="167"/>
      <c r="N12" s="175" t="s">
        <v>6</v>
      </c>
      <c r="O12" s="19" t="s">
        <v>5</v>
      </c>
      <c r="P12" s="166"/>
      <c r="Q12" s="158"/>
    </row>
    <row r="13" spans="1:17" s="20" customFormat="1" ht="20.25" customHeight="1">
      <c r="A13" s="22"/>
      <c r="B13" s="169"/>
      <c r="C13" s="169"/>
      <c r="D13" s="166"/>
      <c r="E13" s="166"/>
      <c r="F13" s="165"/>
      <c r="G13" s="167" t="s">
        <v>7</v>
      </c>
      <c r="H13" s="167" t="s">
        <v>8</v>
      </c>
      <c r="I13" s="175"/>
      <c r="J13" s="166"/>
      <c r="K13" s="165"/>
      <c r="L13" s="167" t="s">
        <v>7</v>
      </c>
      <c r="M13" s="167" t="s">
        <v>8</v>
      </c>
      <c r="N13" s="175"/>
      <c r="O13" s="166" t="s">
        <v>10</v>
      </c>
      <c r="P13" s="166"/>
      <c r="Q13" s="158"/>
    </row>
    <row r="14" spans="1:17" s="20" customFormat="1" ht="96" customHeight="1">
      <c r="A14" s="23"/>
      <c r="B14" s="170"/>
      <c r="C14" s="170"/>
      <c r="D14" s="166"/>
      <c r="E14" s="166"/>
      <c r="F14" s="165"/>
      <c r="G14" s="167"/>
      <c r="H14" s="167"/>
      <c r="I14" s="175"/>
      <c r="J14" s="166"/>
      <c r="K14" s="165"/>
      <c r="L14" s="167"/>
      <c r="M14" s="167"/>
      <c r="N14" s="175"/>
      <c r="O14" s="166"/>
      <c r="P14" s="166"/>
      <c r="Q14" s="158"/>
    </row>
    <row r="15" spans="1:17" s="26" customFormat="1" ht="28.5">
      <c r="A15" s="24"/>
      <c r="B15" s="36" t="s">
        <v>98</v>
      </c>
      <c r="C15" s="67"/>
      <c r="D15" s="25" t="s">
        <v>307</v>
      </c>
      <c r="E15" s="58">
        <f>E16</f>
        <v>71411195.78999999</v>
      </c>
      <c r="F15" s="58">
        <f aca="true" t="shared" si="0" ref="F15:P15">F16</f>
        <v>53062355.79</v>
      </c>
      <c r="G15" s="58">
        <f t="shared" si="0"/>
        <v>25015688</v>
      </c>
      <c r="H15" s="58">
        <f t="shared" si="0"/>
        <v>2945047.79</v>
      </c>
      <c r="I15" s="58">
        <f t="shared" si="0"/>
        <v>18348840</v>
      </c>
      <c r="J15" s="58">
        <f t="shared" si="0"/>
        <v>57238215.47</v>
      </c>
      <c r="K15" s="58">
        <f t="shared" si="0"/>
        <v>473457.47</v>
      </c>
      <c r="L15" s="58">
        <f t="shared" si="0"/>
        <v>144491</v>
      </c>
      <c r="M15" s="58">
        <f t="shared" si="0"/>
        <v>98348</v>
      </c>
      <c r="N15" s="58">
        <f t="shared" si="0"/>
        <v>56764758</v>
      </c>
      <c r="O15" s="58">
        <f t="shared" si="0"/>
        <v>56764758</v>
      </c>
      <c r="P15" s="58">
        <f t="shared" si="0"/>
        <v>128649411.25999999</v>
      </c>
      <c r="Q15" s="158"/>
    </row>
    <row r="16" spans="1:17" s="96" customFormat="1" ht="30">
      <c r="A16" s="95"/>
      <c r="B16" s="104" t="s">
        <v>99</v>
      </c>
      <c r="C16" s="68"/>
      <c r="D16" s="50" t="s">
        <v>307</v>
      </c>
      <c r="E16" s="70">
        <f>E17+E20+E23+E24+E25+E27+E29+E32+E35+E38+E39+E41+E46+E51+E52+E53+E55+E57+E65+E58+E49+E18+E43+E44+E42+E47+E56+E64</f>
        <v>71411195.78999999</v>
      </c>
      <c r="F16" s="70">
        <f aca="true" t="shared" si="1" ref="F16:P16">F17+F20+F23+F24+F25+F27+F29+F32+F35+F38+F39+F41+F46+F51+F52+F53+F55+F57+F65+F58+F49+F18+F43+F44+F42+F47+F56+F64</f>
        <v>53062355.79</v>
      </c>
      <c r="G16" s="70">
        <f t="shared" si="1"/>
        <v>25015688</v>
      </c>
      <c r="H16" s="70">
        <f t="shared" si="1"/>
        <v>2945047.79</v>
      </c>
      <c r="I16" s="70">
        <f t="shared" si="1"/>
        <v>18348840</v>
      </c>
      <c r="J16" s="70">
        <f t="shared" si="1"/>
        <v>57238215.47</v>
      </c>
      <c r="K16" s="70">
        <f t="shared" si="1"/>
        <v>473457.47</v>
      </c>
      <c r="L16" s="70">
        <f t="shared" si="1"/>
        <v>144491</v>
      </c>
      <c r="M16" s="70">
        <f t="shared" si="1"/>
        <v>98348</v>
      </c>
      <c r="N16" s="70">
        <f t="shared" si="1"/>
        <v>56764758</v>
      </c>
      <c r="O16" s="70">
        <f t="shared" si="1"/>
        <v>56764758</v>
      </c>
      <c r="P16" s="70">
        <f t="shared" si="1"/>
        <v>128649411.25999999</v>
      </c>
      <c r="Q16" s="158"/>
    </row>
    <row r="17" spans="1:17" s="26" customFormat="1" ht="45">
      <c r="A17" s="48"/>
      <c r="B17" s="57" t="s">
        <v>101</v>
      </c>
      <c r="C17" s="45" t="s">
        <v>9</v>
      </c>
      <c r="D17" s="49" t="s">
        <v>100</v>
      </c>
      <c r="E17" s="73">
        <f>F17+I17</f>
        <v>29212649</v>
      </c>
      <c r="F17" s="73">
        <f>27284910+1516344+285000+126395</f>
        <v>29212649</v>
      </c>
      <c r="G17" s="93">
        <f>16195850+1873700</f>
        <v>18069550</v>
      </c>
      <c r="H17" s="73">
        <v>1520550</v>
      </c>
      <c r="I17" s="73"/>
      <c r="J17" s="73">
        <f>K17+N17</f>
        <v>4043480</v>
      </c>
      <c r="K17" s="73"/>
      <c r="L17" s="73"/>
      <c r="M17" s="73"/>
      <c r="N17" s="73">
        <f>1100000+2043480+900000</f>
        <v>4043480</v>
      </c>
      <c r="O17" s="73">
        <f>1100000+2043480+900000</f>
        <v>4043480</v>
      </c>
      <c r="P17" s="73">
        <f>E17+J17</f>
        <v>33256129</v>
      </c>
      <c r="Q17" s="158"/>
    </row>
    <row r="18" spans="1:17" s="26" customFormat="1" ht="210">
      <c r="A18" s="24"/>
      <c r="B18" s="36" t="s">
        <v>334</v>
      </c>
      <c r="C18" s="27"/>
      <c r="D18" s="28" t="s">
        <v>210</v>
      </c>
      <c r="E18" s="35">
        <f>E19</f>
        <v>32500</v>
      </c>
      <c r="F18" s="35">
        <f aca="true" t="shared" si="2" ref="F18:P18">F19</f>
        <v>32500</v>
      </c>
      <c r="G18" s="35">
        <f t="shared" si="2"/>
        <v>0</v>
      </c>
      <c r="H18" s="35">
        <f t="shared" si="2"/>
        <v>0</v>
      </c>
      <c r="I18" s="35">
        <f t="shared" si="2"/>
        <v>0</v>
      </c>
      <c r="J18" s="35">
        <f t="shared" si="2"/>
        <v>0</v>
      </c>
      <c r="K18" s="35">
        <f t="shared" si="2"/>
        <v>0</v>
      </c>
      <c r="L18" s="35">
        <f t="shared" si="2"/>
        <v>0</v>
      </c>
      <c r="M18" s="35">
        <f t="shared" si="2"/>
        <v>0</v>
      </c>
      <c r="N18" s="35">
        <f t="shared" si="2"/>
        <v>0</v>
      </c>
      <c r="O18" s="35">
        <f t="shared" si="2"/>
        <v>0</v>
      </c>
      <c r="P18" s="35">
        <f t="shared" si="2"/>
        <v>32500</v>
      </c>
      <c r="Q18" s="158"/>
    </row>
    <row r="19" spans="1:17" s="96" customFormat="1" ht="45">
      <c r="A19" s="95"/>
      <c r="B19" s="104" t="s">
        <v>335</v>
      </c>
      <c r="C19" s="80" t="s">
        <v>72</v>
      </c>
      <c r="D19" s="81" t="s">
        <v>73</v>
      </c>
      <c r="E19" s="64">
        <f>F19+I19</f>
        <v>32500</v>
      </c>
      <c r="F19" s="73">
        <v>32500</v>
      </c>
      <c r="G19" s="69"/>
      <c r="H19" s="69"/>
      <c r="I19" s="69"/>
      <c r="J19" s="69"/>
      <c r="K19" s="69"/>
      <c r="L19" s="69"/>
      <c r="M19" s="69"/>
      <c r="N19" s="69"/>
      <c r="O19" s="69"/>
      <c r="P19" s="69">
        <f>E19+J19</f>
        <v>32500</v>
      </c>
      <c r="Q19" s="158"/>
    </row>
    <row r="20" spans="1:17" s="26" customFormat="1" ht="30">
      <c r="A20" s="48"/>
      <c r="B20" s="57" t="s">
        <v>102</v>
      </c>
      <c r="C20" s="45"/>
      <c r="D20" s="49" t="s">
        <v>103</v>
      </c>
      <c r="E20" s="73">
        <f>E21+E22</f>
        <v>727000</v>
      </c>
      <c r="F20" s="73">
        <f aca="true" t="shared" si="3" ref="F20:P20">F21+F22</f>
        <v>727000</v>
      </c>
      <c r="G20" s="73">
        <f t="shared" si="3"/>
        <v>492950</v>
      </c>
      <c r="H20" s="73">
        <f t="shared" si="3"/>
        <v>55897</v>
      </c>
      <c r="I20" s="73">
        <f t="shared" si="3"/>
        <v>0</v>
      </c>
      <c r="J20" s="73">
        <f t="shared" si="3"/>
        <v>0</v>
      </c>
      <c r="K20" s="73">
        <f t="shared" si="3"/>
        <v>0</v>
      </c>
      <c r="L20" s="73">
        <f t="shared" si="3"/>
        <v>0</v>
      </c>
      <c r="M20" s="73">
        <f t="shared" si="3"/>
        <v>0</v>
      </c>
      <c r="N20" s="73">
        <f t="shared" si="3"/>
        <v>0</v>
      </c>
      <c r="O20" s="73">
        <f t="shared" si="3"/>
        <v>0</v>
      </c>
      <c r="P20" s="73">
        <f t="shared" si="3"/>
        <v>727000</v>
      </c>
      <c r="Q20" s="158"/>
    </row>
    <row r="21" spans="1:17" s="96" customFormat="1" ht="30">
      <c r="A21" s="95"/>
      <c r="B21" s="104" t="s">
        <v>104</v>
      </c>
      <c r="C21" s="80" t="s">
        <v>15</v>
      </c>
      <c r="D21" s="81" t="s">
        <v>107</v>
      </c>
      <c r="E21" s="64">
        <f>F21+I21</f>
        <v>687000</v>
      </c>
      <c r="F21" s="93">
        <f>847250-160250</f>
        <v>687000</v>
      </c>
      <c r="G21" s="93">
        <f>564500-71550</f>
        <v>492950</v>
      </c>
      <c r="H21" s="73">
        <v>55897</v>
      </c>
      <c r="I21" s="69"/>
      <c r="J21" s="69">
        <f>K21+N21</f>
        <v>0</v>
      </c>
      <c r="K21" s="69"/>
      <c r="L21" s="69"/>
      <c r="M21" s="69"/>
      <c r="N21" s="69"/>
      <c r="O21" s="69"/>
      <c r="P21" s="69">
        <f>E21+J21</f>
        <v>687000</v>
      </c>
      <c r="Q21" s="158"/>
    </row>
    <row r="22" spans="1:17" s="96" customFormat="1" ht="30">
      <c r="A22" s="95"/>
      <c r="B22" s="104" t="s">
        <v>105</v>
      </c>
      <c r="C22" s="80" t="s">
        <v>16</v>
      </c>
      <c r="D22" s="81" t="s">
        <v>108</v>
      </c>
      <c r="E22" s="64">
        <f>F22+I22</f>
        <v>40000</v>
      </c>
      <c r="F22" s="73">
        <v>40000</v>
      </c>
      <c r="G22" s="69"/>
      <c r="H22" s="69"/>
      <c r="I22" s="69"/>
      <c r="J22" s="69">
        <f>K22+N22</f>
        <v>0</v>
      </c>
      <c r="K22" s="69"/>
      <c r="L22" s="69"/>
      <c r="M22" s="69"/>
      <c r="N22" s="69"/>
      <c r="O22" s="69"/>
      <c r="P22" s="69">
        <f>E22+J22</f>
        <v>40000</v>
      </c>
      <c r="Q22" s="158"/>
    </row>
    <row r="23" spans="1:17" s="96" customFormat="1" ht="15">
      <c r="A23" s="95"/>
      <c r="B23" s="57" t="s">
        <v>106</v>
      </c>
      <c r="C23" s="45" t="s">
        <v>17</v>
      </c>
      <c r="D23" s="49" t="s">
        <v>109</v>
      </c>
      <c r="E23" s="73">
        <f>F23+I23</f>
        <v>605000</v>
      </c>
      <c r="F23" s="73">
        <f>105000+500000</f>
        <v>605000</v>
      </c>
      <c r="G23" s="73"/>
      <c r="H23" s="73"/>
      <c r="I23" s="73"/>
      <c r="J23" s="73">
        <f>K23+N23</f>
        <v>0</v>
      </c>
      <c r="K23" s="73"/>
      <c r="L23" s="73"/>
      <c r="M23" s="73"/>
      <c r="N23" s="73"/>
      <c r="O23" s="73"/>
      <c r="P23" s="73">
        <f>E23+J23</f>
        <v>605000</v>
      </c>
      <c r="Q23" s="158"/>
    </row>
    <row r="24" spans="1:17" s="96" customFormat="1" ht="75">
      <c r="A24" s="95"/>
      <c r="B24" s="57" t="s">
        <v>110</v>
      </c>
      <c r="C24" s="45" t="s">
        <v>20</v>
      </c>
      <c r="D24" s="105" t="s">
        <v>111</v>
      </c>
      <c r="E24" s="73">
        <f>F24+I24</f>
        <v>1106888</v>
      </c>
      <c r="F24" s="73">
        <f>189000+917888</f>
        <v>1106888</v>
      </c>
      <c r="G24" s="73"/>
      <c r="H24" s="73"/>
      <c r="I24" s="73"/>
      <c r="J24" s="73">
        <f>K24+N24</f>
        <v>0</v>
      </c>
      <c r="K24" s="73"/>
      <c r="L24" s="73"/>
      <c r="M24" s="73"/>
      <c r="N24" s="73"/>
      <c r="O24" s="73"/>
      <c r="P24" s="73">
        <f>E24+J24</f>
        <v>1106888</v>
      </c>
      <c r="Q24" s="158"/>
    </row>
    <row r="25" spans="1:17" s="96" customFormat="1" ht="30">
      <c r="A25" s="95"/>
      <c r="B25" s="57" t="s">
        <v>112</v>
      </c>
      <c r="C25" s="45" t="s">
        <v>13</v>
      </c>
      <c r="D25" s="49" t="s">
        <v>14</v>
      </c>
      <c r="E25" s="73">
        <f>E26</f>
        <v>176953</v>
      </c>
      <c r="F25" s="73">
        <f aca="true" t="shared" si="4" ref="F25:P25">F26</f>
        <v>176953</v>
      </c>
      <c r="G25" s="73">
        <f t="shared" si="4"/>
        <v>0</v>
      </c>
      <c r="H25" s="73">
        <f t="shared" si="4"/>
        <v>0</v>
      </c>
      <c r="I25" s="73">
        <f t="shared" si="4"/>
        <v>0</v>
      </c>
      <c r="J25" s="73">
        <f t="shared" si="4"/>
        <v>0</v>
      </c>
      <c r="K25" s="73">
        <f t="shared" si="4"/>
        <v>0</v>
      </c>
      <c r="L25" s="73">
        <f t="shared" si="4"/>
        <v>0</v>
      </c>
      <c r="M25" s="73">
        <f t="shared" si="4"/>
        <v>0</v>
      </c>
      <c r="N25" s="73">
        <f t="shared" si="4"/>
        <v>0</v>
      </c>
      <c r="O25" s="73">
        <f t="shared" si="4"/>
        <v>0</v>
      </c>
      <c r="P25" s="73">
        <f t="shared" si="4"/>
        <v>176953</v>
      </c>
      <c r="Q25" s="158"/>
    </row>
    <row r="26" spans="1:17" s="96" customFormat="1" ht="45">
      <c r="A26" s="95"/>
      <c r="B26" s="104" t="s">
        <v>113</v>
      </c>
      <c r="C26" s="80" t="s">
        <v>13</v>
      </c>
      <c r="D26" s="81" t="s">
        <v>355</v>
      </c>
      <c r="E26" s="64">
        <f>F26+I26</f>
        <v>176953</v>
      </c>
      <c r="F26" s="73">
        <f>143404+22688+10861</f>
        <v>176953</v>
      </c>
      <c r="G26" s="70"/>
      <c r="H26" s="70"/>
      <c r="I26" s="70"/>
      <c r="J26" s="64">
        <f>K26+N26</f>
        <v>0</v>
      </c>
      <c r="K26" s="70"/>
      <c r="L26" s="70"/>
      <c r="M26" s="70"/>
      <c r="N26" s="70"/>
      <c r="O26" s="70"/>
      <c r="P26" s="64">
        <f>E26+J26</f>
        <v>176953</v>
      </c>
      <c r="Q26" s="156">
        <v>76</v>
      </c>
    </row>
    <row r="27" spans="1:17" s="26" customFormat="1" ht="15">
      <c r="A27" s="48"/>
      <c r="B27" s="57" t="s">
        <v>114</v>
      </c>
      <c r="C27" s="45" t="s">
        <v>18</v>
      </c>
      <c r="D27" s="49" t="s">
        <v>19</v>
      </c>
      <c r="E27" s="73">
        <f>E28</f>
        <v>509900</v>
      </c>
      <c r="F27" s="73">
        <f aca="true" t="shared" si="5" ref="F27:P27">F28</f>
        <v>509900</v>
      </c>
      <c r="G27" s="73">
        <f t="shared" si="5"/>
        <v>337300</v>
      </c>
      <c r="H27" s="73">
        <f t="shared" si="5"/>
        <v>72433</v>
      </c>
      <c r="I27" s="73">
        <f t="shared" si="5"/>
        <v>0</v>
      </c>
      <c r="J27" s="73">
        <f t="shared" si="5"/>
        <v>9645</v>
      </c>
      <c r="K27" s="73">
        <f t="shared" si="5"/>
        <v>0</v>
      </c>
      <c r="L27" s="73">
        <f t="shared" si="5"/>
        <v>0</v>
      </c>
      <c r="M27" s="73">
        <f t="shared" si="5"/>
        <v>0</v>
      </c>
      <c r="N27" s="73">
        <f t="shared" si="5"/>
        <v>9645</v>
      </c>
      <c r="O27" s="73">
        <f t="shared" si="5"/>
        <v>9645</v>
      </c>
      <c r="P27" s="73">
        <f t="shared" si="5"/>
        <v>519545</v>
      </c>
      <c r="Q27" s="156"/>
    </row>
    <row r="28" spans="1:17" s="96" customFormat="1" ht="45">
      <c r="A28" s="95"/>
      <c r="B28" s="104" t="s">
        <v>115</v>
      </c>
      <c r="C28" s="80" t="s">
        <v>18</v>
      </c>
      <c r="D28" s="81" t="s">
        <v>356</v>
      </c>
      <c r="E28" s="64">
        <f>F28+I28</f>
        <v>509900</v>
      </c>
      <c r="F28" s="93">
        <f>582100-72200</f>
        <v>509900</v>
      </c>
      <c r="G28" s="93">
        <f>354900-17600</f>
        <v>337300</v>
      </c>
      <c r="H28" s="73">
        <v>72433</v>
      </c>
      <c r="I28" s="69"/>
      <c r="J28" s="69">
        <f>K28+N28</f>
        <v>9645</v>
      </c>
      <c r="K28" s="69"/>
      <c r="L28" s="69"/>
      <c r="M28" s="69"/>
      <c r="N28" s="69">
        <v>9645</v>
      </c>
      <c r="O28" s="69">
        <v>9645</v>
      </c>
      <c r="P28" s="69">
        <f>E28+J28</f>
        <v>519545</v>
      </c>
      <c r="Q28" s="156"/>
    </row>
    <row r="29" spans="1:17" s="26" customFormat="1" ht="15">
      <c r="A29" s="48"/>
      <c r="B29" s="42" t="s">
        <v>117</v>
      </c>
      <c r="C29" s="27" t="s">
        <v>23</v>
      </c>
      <c r="D29" s="28" t="s">
        <v>116</v>
      </c>
      <c r="E29" s="35">
        <f>E30+E31</f>
        <v>1663302</v>
      </c>
      <c r="F29" s="35">
        <f aca="true" t="shared" si="6" ref="F29:P29">F30+F31</f>
        <v>1663302</v>
      </c>
      <c r="G29" s="35">
        <f t="shared" si="6"/>
        <v>996160</v>
      </c>
      <c r="H29" s="35">
        <f t="shared" si="6"/>
        <v>91785</v>
      </c>
      <c r="I29" s="35">
        <f t="shared" si="6"/>
        <v>0</v>
      </c>
      <c r="J29" s="35">
        <f t="shared" si="6"/>
        <v>143759</v>
      </c>
      <c r="K29" s="35">
        <f t="shared" si="6"/>
        <v>0</v>
      </c>
      <c r="L29" s="35">
        <f t="shared" si="6"/>
        <v>0</v>
      </c>
      <c r="M29" s="35">
        <f t="shared" si="6"/>
        <v>0</v>
      </c>
      <c r="N29" s="35">
        <f t="shared" si="6"/>
        <v>143759</v>
      </c>
      <c r="O29" s="35">
        <f t="shared" si="6"/>
        <v>143759</v>
      </c>
      <c r="P29" s="35">
        <f t="shared" si="6"/>
        <v>1807061</v>
      </c>
      <c r="Q29" s="156"/>
    </row>
    <row r="30" spans="1:17" s="26" customFormat="1" ht="30">
      <c r="A30" s="24"/>
      <c r="B30" s="80" t="s">
        <v>120</v>
      </c>
      <c r="C30" s="80" t="s">
        <v>23</v>
      </c>
      <c r="D30" s="97" t="s">
        <v>118</v>
      </c>
      <c r="E30" s="73">
        <f>F30+I30</f>
        <v>741266</v>
      </c>
      <c r="F30" s="93">
        <f>720570-85950+1446+105200</f>
        <v>741266</v>
      </c>
      <c r="G30" s="106">
        <f>387400-25042</f>
        <v>362358</v>
      </c>
      <c r="H30" s="107">
        <v>29252</v>
      </c>
      <c r="I30" s="60"/>
      <c r="J30" s="73">
        <f>K30+N30</f>
        <v>123759</v>
      </c>
      <c r="K30" s="73"/>
      <c r="L30" s="73"/>
      <c r="M30" s="73"/>
      <c r="N30" s="107">
        <f>50000+4759+69000</f>
        <v>123759</v>
      </c>
      <c r="O30" s="107">
        <f>50000+4759+69000</f>
        <v>123759</v>
      </c>
      <c r="P30" s="73">
        <f>E30+J30</f>
        <v>865025</v>
      </c>
      <c r="Q30" s="156"/>
    </row>
    <row r="31" spans="1:17" s="26" customFormat="1" ht="30">
      <c r="A31" s="24"/>
      <c r="B31" s="80" t="s">
        <v>121</v>
      </c>
      <c r="C31" s="80" t="s">
        <v>23</v>
      </c>
      <c r="D31" s="97" t="s">
        <v>119</v>
      </c>
      <c r="E31" s="73">
        <f>F31</f>
        <v>922036</v>
      </c>
      <c r="F31" s="73">
        <f>971550-74514+20000+5000</f>
        <v>922036</v>
      </c>
      <c r="G31" s="107">
        <f>621975+11827</f>
        <v>633802</v>
      </c>
      <c r="H31" s="107">
        <v>62533</v>
      </c>
      <c r="I31" s="108"/>
      <c r="J31" s="73">
        <f>K31+N31</f>
        <v>20000</v>
      </c>
      <c r="K31" s="108"/>
      <c r="L31" s="108"/>
      <c r="M31" s="108"/>
      <c r="N31" s="107">
        <v>20000</v>
      </c>
      <c r="O31" s="107">
        <v>20000</v>
      </c>
      <c r="P31" s="73">
        <f>E31+J31</f>
        <v>942036</v>
      </c>
      <c r="Q31" s="156"/>
    </row>
    <row r="32" spans="1:17" s="26" customFormat="1" ht="15" customHeight="1">
      <c r="A32" s="24"/>
      <c r="B32" s="33" t="s">
        <v>122</v>
      </c>
      <c r="C32" s="27"/>
      <c r="D32" s="109" t="s">
        <v>123</v>
      </c>
      <c r="E32" s="47">
        <f>E33+E34</f>
        <v>1023780</v>
      </c>
      <c r="F32" s="47">
        <f aca="true" t="shared" si="7" ref="F32:O32">F33+F34</f>
        <v>1023780</v>
      </c>
      <c r="G32" s="47">
        <f t="shared" si="7"/>
        <v>0</v>
      </c>
      <c r="H32" s="47">
        <f t="shared" si="7"/>
        <v>0</v>
      </c>
      <c r="I32" s="47">
        <f t="shared" si="7"/>
        <v>0</v>
      </c>
      <c r="J32" s="47">
        <f t="shared" si="7"/>
        <v>0</v>
      </c>
      <c r="K32" s="47">
        <f t="shared" si="7"/>
        <v>0</v>
      </c>
      <c r="L32" s="47">
        <f t="shared" si="7"/>
        <v>0</v>
      </c>
      <c r="M32" s="47">
        <f t="shared" si="7"/>
        <v>0</v>
      </c>
      <c r="N32" s="47">
        <f t="shared" si="7"/>
        <v>0</v>
      </c>
      <c r="O32" s="47">
        <f t="shared" si="7"/>
        <v>0</v>
      </c>
      <c r="P32" s="47">
        <f>P33+P34</f>
        <v>1023780</v>
      </c>
      <c r="Q32" s="156"/>
    </row>
    <row r="33" spans="1:17" s="96" customFormat="1" ht="45">
      <c r="A33" s="95"/>
      <c r="B33" s="94" t="s">
        <v>124</v>
      </c>
      <c r="C33" s="84" t="s">
        <v>24</v>
      </c>
      <c r="D33" s="110" t="s">
        <v>126</v>
      </c>
      <c r="E33" s="62">
        <f>F33+I33</f>
        <v>500000</v>
      </c>
      <c r="F33" s="73">
        <v>500000</v>
      </c>
      <c r="G33" s="111"/>
      <c r="H33" s="111"/>
      <c r="I33" s="112"/>
      <c r="J33" s="62">
        <f>K33+N33</f>
        <v>0</v>
      </c>
      <c r="K33" s="62"/>
      <c r="L33" s="62"/>
      <c r="M33" s="62"/>
      <c r="N33" s="61"/>
      <c r="O33" s="61"/>
      <c r="P33" s="62">
        <f>E33+J33</f>
        <v>500000</v>
      </c>
      <c r="Q33" s="156"/>
    </row>
    <row r="34" spans="1:17" s="96" customFormat="1" ht="45">
      <c r="A34" s="95"/>
      <c r="B34" s="94" t="s">
        <v>125</v>
      </c>
      <c r="C34" s="80" t="s">
        <v>25</v>
      </c>
      <c r="D34" s="81" t="s">
        <v>26</v>
      </c>
      <c r="E34" s="64">
        <f>F34+I34</f>
        <v>523780</v>
      </c>
      <c r="F34" s="73">
        <f>500000+16500+7280</f>
        <v>523780</v>
      </c>
      <c r="G34" s="113"/>
      <c r="H34" s="113"/>
      <c r="I34" s="114"/>
      <c r="J34" s="64">
        <f>K34+N34</f>
        <v>0</v>
      </c>
      <c r="K34" s="64"/>
      <c r="L34" s="64"/>
      <c r="M34" s="64"/>
      <c r="N34" s="63"/>
      <c r="O34" s="63"/>
      <c r="P34" s="64">
        <f>E34+J34</f>
        <v>523780</v>
      </c>
      <c r="Q34" s="156"/>
    </row>
    <row r="35" spans="1:17" s="26" customFormat="1" ht="30">
      <c r="A35" s="48"/>
      <c r="B35" s="46" t="s">
        <v>128</v>
      </c>
      <c r="C35" s="45"/>
      <c r="D35" s="49" t="s">
        <v>127</v>
      </c>
      <c r="E35" s="73">
        <f>E36+E37</f>
        <v>9242909</v>
      </c>
      <c r="F35" s="73">
        <f aca="true" t="shared" si="8" ref="F35:P35">F36+F37</f>
        <v>9242909</v>
      </c>
      <c r="G35" s="73">
        <f t="shared" si="8"/>
        <v>3551322</v>
      </c>
      <c r="H35" s="73">
        <f t="shared" si="8"/>
        <v>410216</v>
      </c>
      <c r="I35" s="73">
        <f t="shared" si="8"/>
        <v>0</v>
      </c>
      <c r="J35" s="73">
        <f t="shared" si="8"/>
        <v>210000</v>
      </c>
      <c r="K35" s="73">
        <f t="shared" si="8"/>
        <v>0</v>
      </c>
      <c r="L35" s="73">
        <f t="shared" si="8"/>
        <v>0</v>
      </c>
      <c r="M35" s="73">
        <f t="shared" si="8"/>
        <v>0</v>
      </c>
      <c r="N35" s="73">
        <f t="shared" si="8"/>
        <v>210000</v>
      </c>
      <c r="O35" s="73">
        <f t="shared" si="8"/>
        <v>210000</v>
      </c>
      <c r="P35" s="73">
        <f t="shared" si="8"/>
        <v>9452909</v>
      </c>
      <c r="Q35" s="156"/>
    </row>
    <row r="36" spans="1:17" s="96" customFormat="1" ht="45">
      <c r="A36" s="95"/>
      <c r="B36" s="94" t="s">
        <v>131</v>
      </c>
      <c r="C36" s="80" t="s">
        <v>27</v>
      </c>
      <c r="D36" s="81" t="s">
        <v>129</v>
      </c>
      <c r="E36" s="64">
        <f>F36+I36</f>
        <v>5121691</v>
      </c>
      <c r="F36" s="93">
        <f>5633420-548729+30000+7000</f>
        <v>5121691</v>
      </c>
      <c r="G36" s="93">
        <f>3602473-51151</f>
        <v>3551322</v>
      </c>
      <c r="H36" s="73">
        <v>410216</v>
      </c>
      <c r="I36" s="114"/>
      <c r="J36" s="64">
        <f>K36+N36</f>
        <v>210000</v>
      </c>
      <c r="K36" s="70"/>
      <c r="L36" s="70"/>
      <c r="M36" s="70"/>
      <c r="N36" s="63">
        <f>200000+10000</f>
        <v>210000</v>
      </c>
      <c r="O36" s="63">
        <f>200000+10000</f>
        <v>210000</v>
      </c>
      <c r="P36" s="64">
        <f>E36+J36</f>
        <v>5331691</v>
      </c>
      <c r="Q36" s="156"/>
    </row>
    <row r="37" spans="1:17" s="96" customFormat="1" ht="45">
      <c r="A37" s="95"/>
      <c r="B37" s="94" t="s">
        <v>132</v>
      </c>
      <c r="C37" s="80" t="s">
        <v>30</v>
      </c>
      <c r="D37" s="81" t="s">
        <v>130</v>
      </c>
      <c r="E37" s="64">
        <f>F37+I37</f>
        <v>4121218</v>
      </c>
      <c r="F37" s="73">
        <f>4485660-399442+10000+25000</f>
        <v>4121218</v>
      </c>
      <c r="G37" s="113"/>
      <c r="H37" s="113"/>
      <c r="I37" s="114"/>
      <c r="J37" s="64">
        <f>K37+N37</f>
        <v>0</v>
      </c>
      <c r="K37" s="70"/>
      <c r="L37" s="70"/>
      <c r="M37" s="70"/>
      <c r="N37" s="63"/>
      <c r="O37" s="63"/>
      <c r="P37" s="64">
        <f>E37+J37</f>
        <v>4121218</v>
      </c>
      <c r="Q37" s="156"/>
    </row>
    <row r="38" spans="1:17" s="96" customFormat="1" ht="30">
      <c r="A38" s="95"/>
      <c r="B38" s="46" t="s">
        <v>134</v>
      </c>
      <c r="C38" s="45" t="s">
        <v>29</v>
      </c>
      <c r="D38" s="49" t="s">
        <v>133</v>
      </c>
      <c r="E38" s="73">
        <f>F38+I38</f>
        <v>1718839</v>
      </c>
      <c r="F38" s="93">
        <f>1995340-308001+17000+14500</f>
        <v>1718839</v>
      </c>
      <c r="G38" s="93">
        <f>1058675-128369</f>
        <v>930306</v>
      </c>
      <c r="H38" s="73">
        <v>384290</v>
      </c>
      <c r="I38" s="60"/>
      <c r="J38" s="73">
        <f>K38+N38</f>
        <v>817714</v>
      </c>
      <c r="K38" s="73">
        <v>317714</v>
      </c>
      <c r="L38" s="73">
        <v>144491</v>
      </c>
      <c r="M38" s="73">
        <v>97628</v>
      </c>
      <c r="N38" s="107">
        <v>500000</v>
      </c>
      <c r="O38" s="107">
        <v>500000</v>
      </c>
      <c r="P38" s="73">
        <f>E38+J38</f>
        <v>2536553</v>
      </c>
      <c r="Q38" s="156"/>
    </row>
    <row r="39" spans="1:17" s="26" customFormat="1" ht="15">
      <c r="A39" s="48"/>
      <c r="B39" s="46" t="s">
        <v>135</v>
      </c>
      <c r="C39" s="45" t="s">
        <v>28</v>
      </c>
      <c r="D39" s="49" t="s">
        <v>19</v>
      </c>
      <c r="E39" s="73">
        <f>E40</f>
        <v>2347168</v>
      </c>
      <c r="F39" s="73">
        <f>F40</f>
        <v>2347168</v>
      </c>
      <c r="G39" s="73">
        <f>G40</f>
        <v>0</v>
      </c>
      <c r="H39" s="73">
        <f aca="true" t="shared" si="9" ref="H39:P39">H40</f>
        <v>0</v>
      </c>
      <c r="I39" s="73">
        <f t="shared" si="9"/>
        <v>0</v>
      </c>
      <c r="J39" s="73">
        <f t="shared" si="9"/>
        <v>0</v>
      </c>
      <c r="K39" s="73">
        <f t="shared" si="9"/>
        <v>0</v>
      </c>
      <c r="L39" s="73">
        <f t="shared" si="9"/>
        <v>0</v>
      </c>
      <c r="M39" s="73">
        <f t="shared" si="9"/>
        <v>0</v>
      </c>
      <c r="N39" s="73">
        <f t="shared" si="9"/>
        <v>0</v>
      </c>
      <c r="O39" s="73">
        <f t="shared" si="9"/>
        <v>0</v>
      </c>
      <c r="P39" s="73">
        <f t="shared" si="9"/>
        <v>2347168</v>
      </c>
      <c r="Q39" s="156"/>
    </row>
    <row r="40" spans="1:17" s="26" customFormat="1" ht="45">
      <c r="A40" s="24"/>
      <c r="B40" s="80" t="s">
        <v>136</v>
      </c>
      <c r="C40" s="80" t="s">
        <v>28</v>
      </c>
      <c r="D40" s="97" t="s">
        <v>354</v>
      </c>
      <c r="E40" s="73">
        <f>F40+I40</f>
        <v>2347168</v>
      </c>
      <c r="F40" s="93">
        <f>2545380-198212</f>
        <v>2347168</v>
      </c>
      <c r="G40" s="107"/>
      <c r="H40" s="107"/>
      <c r="I40" s="60"/>
      <c r="J40" s="73">
        <f>K40+N40</f>
        <v>0</v>
      </c>
      <c r="K40" s="58"/>
      <c r="L40" s="58"/>
      <c r="M40" s="58"/>
      <c r="N40" s="107"/>
      <c r="O40" s="107"/>
      <c r="P40" s="73">
        <f>E40+J40</f>
        <v>2347168</v>
      </c>
      <c r="Q40" s="156"/>
    </row>
    <row r="41" spans="1:17" s="26" customFormat="1" ht="15">
      <c r="A41" s="24"/>
      <c r="B41" s="33" t="s">
        <v>138</v>
      </c>
      <c r="C41" s="27" t="s">
        <v>21</v>
      </c>
      <c r="D41" s="28" t="s">
        <v>137</v>
      </c>
      <c r="E41" s="35">
        <f>F41+I41</f>
        <v>162579.79</v>
      </c>
      <c r="F41" s="35">
        <f>125140+37439.79</f>
        <v>162579.79</v>
      </c>
      <c r="G41" s="35"/>
      <c r="H41" s="35">
        <f>124940+37439.79</f>
        <v>162379.79</v>
      </c>
      <c r="I41" s="35"/>
      <c r="J41" s="35">
        <f>K41+N41</f>
        <v>0</v>
      </c>
      <c r="K41" s="35"/>
      <c r="L41" s="35"/>
      <c r="M41" s="35"/>
      <c r="N41" s="35"/>
      <c r="O41" s="35"/>
      <c r="P41" s="35">
        <f>E41+J41</f>
        <v>162579.79</v>
      </c>
      <c r="Q41" s="156"/>
    </row>
    <row r="42" spans="1:17" s="26" customFormat="1" ht="30">
      <c r="A42" s="24"/>
      <c r="B42" s="91" t="s">
        <v>438</v>
      </c>
      <c r="C42" s="27" t="s">
        <v>320</v>
      </c>
      <c r="D42" s="28" t="s">
        <v>321</v>
      </c>
      <c r="E42" s="35">
        <f>F42+I42</f>
        <v>99000</v>
      </c>
      <c r="F42" s="35">
        <v>99000</v>
      </c>
      <c r="G42" s="35"/>
      <c r="H42" s="35"/>
      <c r="I42" s="35"/>
      <c r="J42" s="35"/>
      <c r="K42" s="35"/>
      <c r="L42" s="35"/>
      <c r="M42" s="35"/>
      <c r="N42" s="35"/>
      <c r="O42" s="35"/>
      <c r="P42" s="35">
        <f>E42+J42</f>
        <v>99000</v>
      </c>
      <c r="Q42" s="156"/>
    </row>
    <row r="43" spans="1:17" s="26" customFormat="1" ht="30">
      <c r="A43" s="24"/>
      <c r="B43" s="33" t="s">
        <v>329</v>
      </c>
      <c r="C43" s="27" t="s">
        <v>326</v>
      </c>
      <c r="D43" s="28" t="s">
        <v>328</v>
      </c>
      <c r="E43" s="35">
        <f>F43+I43</f>
        <v>1642000</v>
      </c>
      <c r="F43" s="35"/>
      <c r="G43" s="35"/>
      <c r="H43" s="35"/>
      <c r="I43" s="35">
        <v>1642000</v>
      </c>
      <c r="J43" s="35"/>
      <c r="K43" s="35"/>
      <c r="L43" s="35"/>
      <c r="M43" s="35"/>
      <c r="N43" s="35"/>
      <c r="O43" s="35"/>
      <c r="P43" s="35">
        <f>E43+J43</f>
        <v>1642000</v>
      </c>
      <c r="Q43" s="156"/>
    </row>
    <row r="44" spans="1:17" s="26" customFormat="1" ht="30">
      <c r="A44" s="24"/>
      <c r="B44" s="33" t="s">
        <v>331</v>
      </c>
      <c r="C44" s="27"/>
      <c r="D44" s="28" t="s">
        <v>330</v>
      </c>
      <c r="E44" s="35">
        <f>E45</f>
        <v>3607600</v>
      </c>
      <c r="F44" s="35">
        <f>F45</f>
        <v>0</v>
      </c>
      <c r="G44" s="35">
        <f aca="true" t="shared" si="10" ref="G44:P44">G45</f>
        <v>0</v>
      </c>
      <c r="H44" s="35">
        <f t="shared" si="10"/>
        <v>0</v>
      </c>
      <c r="I44" s="35">
        <f t="shared" si="10"/>
        <v>3607600</v>
      </c>
      <c r="J44" s="35">
        <f t="shared" si="10"/>
        <v>0</v>
      </c>
      <c r="K44" s="35">
        <f t="shared" si="10"/>
        <v>0</v>
      </c>
      <c r="L44" s="35">
        <f t="shared" si="10"/>
        <v>0</v>
      </c>
      <c r="M44" s="35">
        <f t="shared" si="10"/>
        <v>0</v>
      </c>
      <c r="N44" s="35">
        <f t="shared" si="10"/>
        <v>0</v>
      </c>
      <c r="O44" s="35">
        <f t="shared" si="10"/>
        <v>0</v>
      </c>
      <c r="P44" s="35">
        <f t="shared" si="10"/>
        <v>3607600</v>
      </c>
      <c r="Q44" s="156"/>
    </row>
    <row r="45" spans="1:17" s="96" customFormat="1" ht="30">
      <c r="A45" s="95"/>
      <c r="B45" s="94" t="s">
        <v>332</v>
      </c>
      <c r="C45" s="80" t="s">
        <v>327</v>
      </c>
      <c r="D45" s="81" t="s">
        <v>333</v>
      </c>
      <c r="E45" s="64">
        <f>F45+I45</f>
        <v>3607600</v>
      </c>
      <c r="F45" s="64"/>
      <c r="G45" s="64"/>
      <c r="H45" s="64"/>
      <c r="I45" s="73">
        <v>3607600</v>
      </c>
      <c r="J45" s="69"/>
      <c r="K45" s="69"/>
      <c r="L45" s="69"/>
      <c r="M45" s="69"/>
      <c r="N45" s="69"/>
      <c r="O45" s="69"/>
      <c r="P45" s="69">
        <f>E45+J45</f>
        <v>3607600</v>
      </c>
      <c r="Q45" s="156"/>
    </row>
    <row r="46" spans="1:17" s="26" customFormat="1" ht="15">
      <c r="A46" s="48"/>
      <c r="B46" s="46" t="s">
        <v>139</v>
      </c>
      <c r="C46" s="45" t="s">
        <v>31</v>
      </c>
      <c r="D46" s="49" t="s">
        <v>32</v>
      </c>
      <c r="E46" s="73">
        <f>F46+I46</f>
        <v>10651740</v>
      </c>
      <c r="F46" s="73"/>
      <c r="G46" s="58"/>
      <c r="H46" s="58"/>
      <c r="I46" s="73">
        <f>2000000+1600000+2098040+420000+1474800+3058900</f>
        <v>10651740</v>
      </c>
      <c r="J46" s="73">
        <f>K46+N46</f>
        <v>0</v>
      </c>
      <c r="K46" s="73"/>
      <c r="L46" s="73"/>
      <c r="M46" s="73"/>
      <c r="N46" s="73"/>
      <c r="O46" s="73"/>
      <c r="P46" s="73">
        <f>E46+J46</f>
        <v>10651740</v>
      </c>
      <c r="Q46" s="156"/>
    </row>
    <row r="47" spans="1:17" s="26" customFormat="1" ht="30">
      <c r="A47" s="24"/>
      <c r="B47" s="33" t="s">
        <v>445</v>
      </c>
      <c r="C47" s="27" t="s">
        <v>446</v>
      </c>
      <c r="D47" s="28" t="s">
        <v>447</v>
      </c>
      <c r="E47" s="35">
        <f>E48</f>
        <v>2447500</v>
      </c>
      <c r="F47" s="35">
        <f aca="true" t="shared" si="11" ref="F47:P47">F48</f>
        <v>0</v>
      </c>
      <c r="G47" s="35">
        <f t="shared" si="11"/>
        <v>0</v>
      </c>
      <c r="H47" s="35">
        <f t="shared" si="11"/>
        <v>0</v>
      </c>
      <c r="I47" s="35">
        <f t="shared" si="11"/>
        <v>2447500</v>
      </c>
      <c r="J47" s="35">
        <f t="shared" si="11"/>
        <v>0</v>
      </c>
      <c r="K47" s="35">
        <f t="shared" si="11"/>
        <v>0</v>
      </c>
      <c r="L47" s="35">
        <f t="shared" si="11"/>
        <v>0</v>
      </c>
      <c r="M47" s="35">
        <f t="shared" si="11"/>
        <v>0</v>
      </c>
      <c r="N47" s="35">
        <f t="shared" si="11"/>
        <v>0</v>
      </c>
      <c r="O47" s="35">
        <f t="shared" si="11"/>
        <v>0</v>
      </c>
      <c r="P47" s="35">
        <f t="shared" si="11"/>
        <v>2447500</v>
      </c>
      <c r="Q47" s="156"/>
    </row>
    <row r="48" spans="1:17" s="96" customFormat="1" ht="30">
      <c r="A48" s="95"/>
      <c r="B48" s="94" t="s">
        <v>449</v>
      </c>
      <c r="C48" s="80" t="s">
        <v>446</v>
      </c>
      <c r="D48" s="81" t="s">
        <v>448</v>
      </c>
      <c r="E48" s="64">
        <f>F48+I48</f>
        <v>2447500</v>
      </c>
      <c r="F48" s="64"/>
      <c r="G48" s="70"/>
      <c r="H48" s="70"/>
      <c r="I48" s="64">
        <f>350000+156400+1941100</f>
        <v>2447500</v>
      </c>
      <c r="J48" s="64"/>
      <c r="K48" s="64"/>
      <c r="L48" s="64"/>
      <c r="M48" s="64"/>
      <c r="N48" s="64"/>
      <c r="O48" s="64"/>
      <c r="P48" s="64">
        <f>E48+J48</f>
        <v>2447500</v>
      </c>
      <c r="Q48" s="156"/>
    </row>
    <row r="49" spans="1:17" s="26" customFormat="1" ht="15">
      <c r="A49" s="48"/>
      <c r="B49" s="46" t="s">
        <v>316</v>
      </c>
      <c r="C49" s="45"/>
      <c r="D49" s="49" t="s">
        <v>315</v>
      </c>
      <c r="E49" s="73">
        <f>E50</f>
        <v>90300</v>
      </c>
      <c r="F49" s="73">
        <f aca="true" t="shared" si="12" ref="F49:P49">F50</f>
        <v>90300</v>
      </c>
      <c r="G49" s="73">
        <f t="shared" si="12"/>
        <v>0</v>
      </c>
      <c r="H49" s="73">
        <f t="shared" si="12"/>
        <v>0</v>
      </c>
      <c r="I49" s="73">
        <f t="shared" si="12"/>
        <v>0</v>
      </c>
      <c r="J49" s="73">
        <f t="shared" si="12"/>
        <v>0</v>
      </c>
      <c r="K49" s="73">
        <f t="shared" si="12"/>
        <v>0</v>
      </c>
      <c r="L49" s="73">
        <f t="shared" si="12"/>
        <v>0</v>
      </c>
      <c r="M49" s="73">
        <f t="shared" si="12"/>
        <v>0</v>
      </c>
      <c r="N49" s="73">
        <f t="shared" si="12"/>
        <v>0</v>
      </c>
      <c r="O49" s="73">
        <f t="shared" si="12"/>
        <v>0</v>
      </c>
      <c r="P49" s="73">
        <f t="shared" si="12"/>
        <v>90300</v>
      </c>
      <c r="Q49" s="156"/>
    </row>
    <row r="50" spans="1:17" s="96" customFormat="1" ht="15">
      <c r="A50" s="95"/>
      <c r="B50" s="94" t="s">
        <v>318</v>
      </c>
      <c r="C50" s="80" t="s">
        <v>319</v>
      </c>
      <c r="D50" s="81" t="s">
        <v>317</v>
      </c>
      <c r="E50" s="64">
        <f>F50+I50</f>
        <v>90300</v>
      </c>
      <c r="F50" s="73">
        <v>90300</v>
      </c>
      <c r="G50" s="70"/>
      <c r="H50" s="70"/>
      <c r="I50" s="70"/>
      <c r="J50" s="64"/>
      <c r="K50" s="64"/>
      <c r="L50" s="64"/>
      <c r="M50" s="64"/>
      <c r="N50" s="64"/>
      <c r="O50" s="64"/>
      <c r="P50" s="64">
        <f>E50+J50</f>
        <v>90300</v>
      </c>
      <c r="Q50" s="156"/>
    </row>
    <row r="51" spans="1:17" s="26" customFormat="1" ht="30">
      <c r="A51" s="48"/>
      <c r="B51" s="46" t="s">
        <v>141</v>
      </c>
      <c r="C51" s="45" t="s">
        <v>33</v>
      </c>
      <c r="D51" s="49" t="s">
        <v>140</v>
      </c>
      <c r="E51" s="73">
        <f>F51+I51</f>
        <v>85000</v>
      </c>
      <c r="F51" s="73">
        <v>85000</v>
      </c>
      <c r="G51" s="58"/>
      <c r="H51" s="58"/>
      <c r="I51" s="58"/>
      <c r="J51" s="73">
        <f>K51+N51</f>
        <v>0</v>
      </c>
      <c r="K51" s="58"/>
      <c r="L51" s="58"/>
      <c r="M51" s="58"/>
      <c r="N51" s="73"/>
      <c r="O51" s="73"/>
      <c r="P51" s="73">
        <f>E51+J51</f>
        <v>85000</v>
      </c>
      <c r="Q51" s="156"/>
    </row>
    <row r="52" spans="1:17" s="26" customFormat="1" ht="30">
      <c r="A52" s="24"/>
      <c r="B52" s="33" t="s">
        <v>143</v>
      </c>
      <c r="C52" s="27" t="s">
        <v>34</v>
      </c>
      <c r="D52" s="28" t="s">
        <v>142</v>
      </c>
      <c r="E52" s="35">
        <f>F52+I52</f>
        <v>0</v>
      </c>
      <c r="F52" s="58"/>
      <c r="G52" s="58"/>
      <c r="H52" s="58"/>
      <c r="I52" s="58"/>
      <c r="J52" s="73">
        <f>K52+N52</f>
        <v>51400000</v>
      </c>
      <c r="K52" s="58"/>
      <c r="L52" s="58"/>
      <c r="M52" s="58"/>
      <c r="N52" s="73">
        <f>46000000+5400000</f>
        <v>51400000</v>
      </c>
      <c r="O52" s="73">
        <f>46000000+5400000</f>
        <v>51400000</v>
      </c>
      <c r="P52" s="73">
        <f>E52+J52</f>
        <v>51400000</v>
      </c>
      <c r="Q52" s="156"/>
    </row>
    <row r="53" spans="1:17" s="26" customFormat="1" ht="30">
      <c r="A53" s="24"/>
      <c r="B53" s="33" t="s">
        <v>144</v>
      </c>
      <c r="C53" s="27" t="s">
        <v>35</v>
      </c>
      <c r="D53" s="28" t="s">
        <v>36</v>
      </c>
      <c r="E53" s="35">
        <f>E54</f>
        <v>837300</v>
      </c>
      <c r="F53" s="35">
        <f aca="true" t="shared" si="13" ref="F53:P53">F54</f>
        <v>837300</v>
      </c>
      <c r="G53" s="35">
        <f t="shared" si="13"/>
        <v>0</v>
      </c>
      <c r="H53" s="35">
        <f t="shared" si="13"/>
        <v>0</v>
      </c>
      <c r="I53" s="35">
        <f t="shared" si="13"/>
        <v>0</v>
      </c>
      <c r="J53" s="35">
        <f t="shared" si="13"/>
        <v>0</v>
      </c>
      <c r="K53" s="35">
        <f t="shared" si="13"/>
        <v>0</v>
      </c>
      <c r="L53" s="35">
        <f t="shared" si="13"/>
        <v>0</v>
      </c>
      <c r="M53" s="35">
        <f t="shared" si="13"/>
        <v>0</v>
      </c>
      <c r="N53" s="35">
        <f t="shared" si="13"/>
        <v>0</v>
      </c>
      <c r="O53" s="35">
        <f t="shared" si="13"/>
        <v>0</v>
      </c>
      <c r="P53" s="35">
        <f t="shared" si="13"/>
        <v>837300</v>
      </c>
      <c r="Q53" s="156">
        <v>77</v>
      </c>
    </row>
    <row r="54" spans="1:17" s="96" customFormat="1" ht="45">
      <c r="A54" s="95"/>
      <c r="B54" s="94" t="s">
        <v>145</v>
      </c>
      <c r="C54" s="45" t="s">
        <v>35</v>
      </c>
      <c r="D54" s="43" t="s">
        <v>339</v>
      </c>
      <c r="E54" s="35">
        <f>F54+I54</f>
        <v>837300</v>
      </c>
      <c r="F54" s="35">
        <v>837300</v>
      </c>
      <c r="G54" s="58"/>
      <c r="H54" s="58"/>
      <c r="I54" s="58"/>
      <c r="J54" s="73">
        <f>K54+N54</f>
        <v>0</v>
      </c>
      <c r="K54" s="58"/>
      <c r="L54" s="58"/>
      <c r="M54" s="58"/>
      <c r="N54" s="58"/>
      <c r="O54" s="58"/>
      <c r="P54" s="73">
        <f>E54+J54</f>
        <v>837300</v>
      </c>
      <c r="Q54" s="156"/>
    </row>
    <row r="55" spans="1:17" s="26" customFormat="1" ht="45">
      <c r="A55" s="48"/>
      <c r="B55" s="46" t="s">
        <v>149</v>
      </c>
      <c r="C55" s="45" t="s">
        <v>37</v>
      </c>
      <c r="D55" s="49" t="s">
        <v>148</v>
      </c>
      <c r="E55" s="73">
        <f>F55+I55</f>
        <v>162726</v>
      </c>
      <c r="F55" s="73">
        <v>162726</v>
      </c>
      <c r="G55" s="58"/>
      <c r="H55" s="73">
        <v>4300</v>
      </c>
      <c r="I55" s="58"/>
      <c r="J55" s="73">
        <f>K55+N55</f>
        <v>343874</v>
      </c>
      <c r="K55" s="73"/>
      <c r="L55" s="73"/>
      <c r="M55" s="73"/>
      <c r="N55" s="73">
        <v>343874</v>
      </c>
      <c r="O55" s="73">
        <v>343874</v>
      </c>
      <c r="P55" s="73">
        <f>E55+J55</f>
        <v>506600</v>
      </c>
      <c r="Q55" s="156"/>
    </row>
    <row r="56" spans="1:17" s="26" customFormat="1" ht="60">
      <c r="A56" s="24"/>
      <c r="B56" s="99" t="s">
        <v>451</v>
      </c>
      <c r="C56" s="115" t="s">
        <v>452</v>
      </c>
      <c r="D56" s="116" t="s">
        <v>453</v>
      </c>
      <c r="E56" s="35">
        <f>F56+I56</f>
        <v>250000</v>
      </c>
      <c r="F56" s="35">
        <f>100000+150000</f>
        <v>250000</v>
      </c>
      <c r="G56" s="58"/>
      <c r="H56" s="73"/>
      <c r="I56" s="58"/>
      <c r="J56" s="73"/>
      <c r="K56" s="73"/>
      <c r="L56" s="73"/>
      <c r="M56" s="73"/>
      <c r="N56" s="73"/>
      <c r="O56" s="73"/>
      <c r="P56" s="73">
        <f>E56+J56</f>
        <v>250000</v>
      </c>
      <c r="Q56" s="156"/>
    </row>
    <row r="57" spans="1:17" s="26" customFormat="1" ht="15">
      <c r="A57" s="24"/>
      <c r="B57" s="33" t="s">
        <v>147</v>
      </c>
      <c r="C57" s="30" t="s">
        <v>38</v>
      </c>
      <c r="D57" s="28" t="s">
        <v>146</v>
      </c>
      <c r="E57" s="35">
        <f>F57+I57</f>
        <v>897100</v>
      </c>
      <c r="F57" s="89">
        <f>1027600-160500+30000</f>
        <v>897100</v>
      </c>
      <c r="G57" s="89">
        <f>690800-52700</f>
        <v>638100</v>
      </c>
      <c r="H57" s="35">
        <v>46377</v>
      </c>
      <c r="I57" s="35"/>
      <c r="J57" s="35">
        <f>K57+N57</f>
        <v>4700</v>
      </c>
      <c r="K57" s="35">
        <v>4700</v>
      </c>
      <c r="L57" s="35"/>
      <c r="M57" s="35">
        <v>720</v>
      </c>
      <c r="N57" s="35"/>
      <c r="O57" s="35"/>
      <c r="P57" s="35">
        <f>E57+J57</f>
        <v>901800</v>
      </c>
      <c r="Q57" s="156"/>
    </row>
    <row r="58" spans="1:17" s="26" customFormat="1" ht="15">
      <c r="A58" s="24"/>
      <c r="B58" s="33" t="s">
        <v>157</v>
      </c>
      <c r="C58" s="27" t="s">
        <v>42</v>
      </c>
      <c r="D58" s="28" t="s">
        <v>19</v>
      </c>
      <c r="E58" s="35">
        <f>E59+E60+E61+E62+E63</f>
        <v>2111462</v>
      </c>
      <c r="F58" s="35">
        <f aca="true" t="shared" si="14" ref="F58:P58">F59+F60+F61+F62+F63</f>
        <v>2111462</v>
      </c>
      <c r="G58" s="35">
        <f t="shared" si="14"/>
        <v>0</v>
      </c>
      <c r="H58" s="35">
        <f t="shared" si="14"/>
        <v>196820</v>
      </c>
      <c r="I58" s="35">
        <f t="shared" si="14"/>
        <v>0</v>
      </c>
      <c r="J58" s="35">
        <f t="shared" si="14"/>
        <v>114000</v>
      </c>
      <c r="K58" s="35">
        <f t="shared" si="14"/>
        <v>0</v>
      </c>
      <c r="L58" s="35">
        <f t="shared" si="14"/>
        <v>0</v>
      </c>
      <c r="M58" s="35">
        <f t="shared" si="14"/>
        <v>0</v>
      </c>
      <c r="N58" s="35">
        <f t="shared" si="14"/>
        <v>114000</v>
      </c>
      <c r="O58" s="35">
        <f t="shared" si="14"/>
        <v>114000</v>
      </c>
      <c r="P58" s="35">
        <f t="shared" si="14"/>
        <v>2225462</v>
      </c>
      <c r="Q58" s="156"/>
    </row>
    <row r="59" spans="1:17" s="26" customFormat="1" ht="45">
      <c r="A59" s="24"/>
      <c r="B59" s="80" t="s">
        <v>152</v>
      </c>
      <c r="C59" s="86" t="s">
        <v>42</v>
      </c>
      <c r="D59" s="98" t="s">
        <v>336</v>
      </c>
      <c r="E59" s="64">
        <f aca="true" t="shared" si="15" ref="E59:E64">F59+I59</f>
        <v>572644</v>
      </c>
      <c r="F59" s="88">
        <f>572644</f>
        <v>572644</v>
      </c>
      <c r="G59" s="63"/>
      <c r="H59" s="73">
        <v>196820</v>
      </c>
      <c r="I59" s="70"/>
      <c r="J59" s="64">
        <f aca="true" t="shared" si="16" ref="J59:J64">K59+N59</f>
        <v>89000</v>
      </c>
      <c r="K59" s="70"/>
      <c r="L59" s="70"/>
      <c r="M59" s="70"/>
      <c r="N59" s="70">
        <v>89000</v>
      </c>
      <c r="O59" s="70">
        <v>89000</v>
      </c>
      <c r="P59" s="64">
        <f aca="true" t="shared" si="17" ref="P59:P64">E59+J59</f>
        <v>661644</v>
      </c>
      <c r="Q59" s="156"/>
    </row>
    <row r="60" spans="1:17" s="26" customFormat="1" ht="45">
      <c r="A60" s="24"/>
      <c r="B60" s="80" t="s">
        <v>153</v>
      </c>
      <c r="C60" s="86" t="s">
        <v>42</v>
      </c>
      <c r="D60" s="98" t="s">
        <v>337</v>
      </c>
      <c r="E60" s="64">
        <f t="shared" si="15"/>
        <v>80580</v>
      </c>
      <c r="F60" s="64">
        <v>80580</v>
      </c>
      <c r="G60" s="63"/>
      <c r="H60" s="63"/>
      <c r="I60" s="70"/>
      <c r="J60" s="64">
        <f t="shared" si="16"/>
        <v>0</v>
      </c>
      <c r="K60" s="70"/>
      <c r="L60" s="70"/>
      <c r="M60" s="70"/>
      <c r="N60" s="70"/>
      <c r="O60" s="70"/>
      <c r="P60" s="64">
        <f t="shared" si="17"/>
        <v>80580</v>
      </c>
      <c r="Q60" s="156"/>
    </row>
    <row r="61" spans="1:17" s="26" customFormat="1" ht="60">
      <c r="A61" s="24"/>
      <c r="B61" s="80" t="s">
        <v>154</v>
      </c>
      <c r="C61" s="86" t="s">
        <v>42</v>
      </c>
      <c r="D61" s="98" t="s">
        <v>338</v>
      </c>
      <c r="E61" s="64">
        <f t="shared" si="15"/>
        <v>130200</v>
      </c>
      <c r="F61" s="64">
        <v>130200</v>
      </c>
      <c r="G61" s="63"/>
      <c r="H61" s="63"/>
      <c r="I61" s="70"/>
      <c r="J61" s="64">
        <f t="shared" si="16"/>
        <v>25000</v>
      </c>
      <c r="K61" s="70"/>
      <c r="L61" s="70"/>
      <c r="M61" s="70"/>
      <c r="N61" s="70">
        <v>25000</v>
      </c>
      <c r="O61" s="70">
        <v>25000</v>
      </c>
      <c r="P61" s="64">
        <f t="shared" si="17"/>
        <v>155200</v>
      </c>
      <c r="Q61" s="156"/>
    </row>
    <row r="62" spans="1:17" s="26" customFormat="1" ht="45">
      <c r="A62" s="24"/>
      <c r="B62" s="80" t="s">
        <v>155</v>
      </c>
      <c r="C62" s="86" t="s">
        <v>42</v>
      </c>
      <c r="D62" s="98" t="s">
        <v>339</v>
      </c>
      <c r="E62" s="64">
        <f t="shared" si="15"/>
        <v>822500</v>
      </c>
      <c r="F62" s="64">
        <v>822500</v>
      </c>
      <c r="G62" s="63"/>
      <c r="H62" s="63"/>
      <c r="I62" s="70"/>
      <c r="J62" s="64">
        <f t="shared" si="16"/>
        <v>0</v>
      </c>
      <c r="K62" s="70"/>
      <c r="L62" s="70"/>
      <c r="M62" s="70"/>
      <c r="N62" s="35"/>
      <c r="O62" s="35"/>
      <c r="P62" s="64">
        <f t="shared" si="17"/>
        <v>822500</v>
      </c>
      <c r="Q62" s="156"/>
    </row>
    <row r="63" spans="1:17" s="26" customFormat="1" ht="45">
      <c r="A63" s="24"/>
      <c r="B63" s="80" t="s">
        <v>156</v>
      </c>
      <c r="C63" s="86" t="s">
        <v>42</v>
      </c>
      <c r="D63" s="98" t="s">
        <v>340</v>
      </c>
      <c r="E63" s="64">
        <f t="shared" si="15"/>
        <v>505538</v>
      </c>
      <c r="F63" s="64">
        <f>602640-97102</f>
        <v>505538</v>
      </c>
      <c r="G63" s="63"/>
      <c r="H63" s="63"/>
      <c r="I63" s="70"/>
      <c r="J63" s="64">
        <f t="shared" si="16"/>
        <v>0</v>
      </c>
      <c r="K63" s="70"/>
      <c r="L63" s="70"/>
      <c r="M63" s="70"/>
      <c r="N63" s="70"/>
      <c r="O63" s="70"/>
      <c r="P63" s="64">
        <f t="shared" si="17"/>
        <v>505538</v>
      </c>
      <c r="Q63" s="156"/>
    </row>
    <row r="64" spans="1:17" s="26" customFormat="1" ht="30">
      <c r="A64" s="24"/>
      <c r="B64" s="91" t="s">
        <v>456</v>
      </c>
      <c r="C64" s="27" t="s">
        <v>432</v>
      </c>
      <c r="D64" s="28" t="s">
        <v>433</v>
      </c>
      <c r="E64" s="35">
        <f t="shared" si="15"/>
        <v>0</v>
      </c>
      <c r="F64" s="35"/>
      <c r="G64" s="59"/>
      <c r="H64" s="59"/>
      <c r="I64" s="35"/>
      <c r="J64" s="35">
        <f t="shared" si="16"/>
        <v>30600</v>
      </c>
      <c r="K64" s="35">
        <v>30600</v>
      </c>
      <c r="L64" s="35"/>
      <c r="M64" s="35"/>
      <c r="N64" s="35"/>
      <c r="O64" s="35"/>
      <c r="P64" s="35">
        <f t="shared" si="17"/>
        <v>30600</v>
      </c>
      <c r="Q64" s="156"/>
    </row>
    <row r="65" spans="1:17" s="26" customFormat="1" ht="60">
      <c r="A65" s="24"/>
      <c r="B65" s="33" t="s">
        <v>150</v>
      </c>
      <c r="C65" s="27" t="s">
        <v>39</v>
      </c>
      <c r="D65" s="28" t="s">
        <v>40</v>
      </c>
      <c r="E65" s="47">
        <f aca="true" t="shared" si="18" ref="E65:P65">E66</f>
        <v>0</v>
      </c>
      <c r="F65" s="47">
        <f t="shared" si="18"/>
        <v>0</v>
      </c>
      <c r="G65" s="47">
        <f t="shared" si="18"/>
        <v>0</v>
      </c>
      <c r="H65" s="47">
        <f t="shared" si="18"/>
        <v>0</v>
      </c>
      <c r="I65" s="47">
        <f t="shared" si="18"/>
        <v>0</v>
      </c>
      <c r="J65" s="47">
        <f t="shared" si="18"/>
        <v>120443.47</v>
      </c>
      <c r="K65" s="47">
        <f t="shared" si="18"/>
        <v>120443.47</v>
      </c>
      <c r="L65" s="47">
        <f t="shared" si="18"/>
        <v>0</v>
      </c>
      <c r="M65" s="47">
        <f t="shared" si="18"/>
        <v>0</v>
      </c>
      <c r="N65" s="47">
        <f t="shared" si="18"/>
        <v>0</v>
      </c>
      <c r="O65" s="47">
        <f t="shared" si="18"/>
        <v>0</v>
      </c>
      <c r="P65" s="47">
        <f t="shared" si="18"/>
        <v>120443.47</v>
      </c>
      <c r="Q65" s="156"/>
    </row>
    <row r="66" spans="1:17" s="96" customFormat="1" ht="60">
      <c r="A66" s="95"/>
      <c r="B66" s="94" t="s">
        <v>151</v>
      </c>
      <c r="C66" s="80" t="s">
        <v>39</v>
      </c>
      <c r="D66" s="81" t="s">
        <v>40</v>
      </c>
      <c r="E66" s="64">
        <f>F66+I66</f>
        <v>0</v>
      </c>
      <c r="F66" s="64"/>
      <c r="G66" s="64"/>
      <c r="H66" s="64"/>
      <c r="I66" s="64"/>
      <c r="J66" s="64">
        <f>K66+N66</f>
        <v>120443.47</v>
      </c>
      <c r="K66" s="64">
        <f>119543+900.47</f>
        <v>120443.47</v>
      </c>
      <c r="L66" s="64"/>
      <c r="M66" s="64"/>
      <c r="N66" s="64"/>
      <c r="O66" s="64"/>
      <c r="P66" s="64">
        <f>E66+J66</f>
        <v>120443.47</v>
      </c>
      <c r="Q66" s="156"/>
    </row>
    <row r="67" spans="1:17" s="26" customFormat="1" ht="28.5">
      <c r="A67" s="48"/>
      <c r="B67" s="45" t="s">
        <v>168</v>
      </c>
      <c r="C67" s="31"/>
      <c r="D67" s="32" t="s">
        <v>158</v>
      </c>
      <c r="E67" s="58">
        <f>E68</f>
        <v>430366103.89</v>
      </c>
      <c r="F67" s="58">
        <f aca="true" t="shared" si="19" ref="F67:P67">F68</f>
        <v>430366103.89</v>
      </c>
      <c r="G67" s="58">
        <f t="shared" si="19"/>
        <v>249391917</v>
      </c>
      <c r="H67" s="58">
        <f t="shared" si="19"/>
        <v>59900211</v>
      </c>
      <c r="I67" s="58">
        <f t="shared" si="19"/>
        <v>0</v>
      </c>
      <c r="J67" s="58">
        <f t="shared" si="19"/>
        <v>53202558</v>
      </c>
      <c r="K67" s="58">
        <f t="shared" si="19"/>
        <v>36441117</v>
      </c>
      <c r="L67" s="58">
        <f t="shared" si="19"/>
        <v>2470383</v>
      </c>
      <c r="M67" s="58">
        <f t="shared" si="19"/>
        <v>1518188</v>
      </c>
      <c r="N67" s="58">
        <f t="shared" si="19"/>
        <v>16761441</v>
      </c>
      <c r="O67" s="58">
        <f t="shared" si="19"/>
        <v>16336441</v>
      </c>
      <c r="P67" s="58">
        <f t="shared" si="19"/>
        <v>483568661.89</v>
      </c>
      <c r="Q67" s="156"/>
    </row>
    <row r="68" spans="1:17" s="96" customFormat="1" ht="30">
      <c r="A68" s="95"/>
      <c r="B68" s="80" t="s">
        <v>169</v>
      </c>
      <c r="C68" s="51"/>
      <c r="D68" s="52" t="s">
        <v>158</v>
      </c>
      <c r="E68" s="70">
        <f>E70+E71+E72+E74+E76+E78+E80+E81+E82+E83+E84+E86+E87+E88+E79+E90+E91</f>
        <v>430366103.89</v>
      </c>
      <c r="F68" s="70">
        <f aca="true" t="shared" si="20" ref="F68:P68">F70+F71+F72+F74+F76+F78+F80+F81+F82+F83+F84+F86+F87+F88+F79+F90+F91</f>
        <v>430366103.89</v>
      </c>
      <c r="G68" s="70">
        <f t="shared" si="20"/>
        <v>249391917</v>
      </c>
      <c r="H68" s="70">
        <f t="shared" si="20"/>
        <v>59900211</v>
      </c>
      <c r="I68" s="70">
        <f t="shared" si="20"/>
        <v>0</v>
      </c>
      <c r="J68" s="70">
        <f t="shared" si="20"/>
        <v>53202558</v>
      </c>
      <c r="K68" s="70">
        <f t="shared" si="20"/>
        <v>36441117</v>
      </c>
      <c r="L68" s="70">
        <f t="shared" si="20"/>
        <v>2470383</v>
      </c>
      <c r="M68" s="70">
        <f t="shared" si="20"/>
        <v>1518188</v>
      </c>
      <c r="N68" s="70">
        <f t="shared" si="20"/>
        <v>16761441</v>
      </c>
      <c r="O68" s="70">
        <f t="shared" si="20"/>
        <v>16336441</v>
      </c>
      <c r="P68" s="70">
        <f t="shared" si="20"/>
        <v>483568661.89</v>
      </c>
      <c r="Q68" s="156"/>
    </row>
    <row r="69" spans="1:17" s="26" customFormat="1" ht="15">
      <c r="A69" s="48"/>
      <c r="B69" s="54"/>
      <c r="C69" s="31"/>
      <c r="D69" s="49" t="s">
        <v>41</v>
      </c>
      <c r="E69" s="73">
        <f>E73+E75+E77</f>
        <v>193272245.09</v>
      </c>
      <c r="F69" s="73">
        <f aca="true" t="shared" si="21" ref="F69:P69">F73+F75+F77</f>
        <v>193272245.09</v>
      </c>
      <c r="G69" s="73">
        <f t="shared" si="21"/>
        <v>132708061</v>
      </c>
      <c r="H69" s="73">
        <f t="shared" si="21"/>
        <v>28492381</v>
      </c>
      <c r="I69" s="73">
        <f t="shared" si="21"/>
        <v>0</v>
      </c>
      <c r="J69" s="73">
        <f t="shared" si="21"/>
        <v>0</v>
      </c>
      <c r="K69" s="73">
        <f t="shared" si="21"/>
        <v>0</v>
      </c>
      <c r="L69" s="73">
        <f t="shared" si="21"/>
        <v>0</v>
      </c>
      <c r="M69" s="73">
        <f t="shared" si="21"/>
        <v>0</v>
      </c>
      <c r="N69" s="73">
        <f t="shared" si="21"/>
        <v>0</v>
      </c>
      <c r="O69" s="73">
        <f t="shared" si="21"/>
        <v>0</v>
      </c>
      <c r="P69" s="73">
        <f t="shared" si="21"/>
        <v>193272245.09</v>
      </c>
      <c r="Q69" s="156"/>
    </row>
    <row r="70" spans="1:17" s="26" customFormat="1" ht="45">
      <c r="A70" s="24"/>
      <c r="B70" s="36" t="s">
        <v>170</v>
      </c>
      <c r="C70" s="27" t="s">
        <v>9</v>
      </c>
      <c r="D70" s="28" t="s">
        <v>100</v>
      </c>
      <c r="E70" s="35">
        <f>F70+I70</f>
        <v>954900</v>
      </c>
      <c r="F70" s="89">
        <f>1009660-118390+63630</f>
        <v>954900</v>
      </c>
      <c r="G70" s="89">
        <f>667920-18750+52156</f>
        <v>701326</v>
      </c>
      <c r="H70" s="35">
        <v>24724</v>
      </c>
      <c r="I70" s="58"/>
      <c r="J70" s="73">
        <f aca="true" t="shared" si="22" ref="J70:J91">K70+N70</f>
        <v>194000</v>
      </c>
      <c r="K70" s="58"/>
      <c r="L70" s="58"/>
      <c r="M70" s="58"/>
      <c r="N70" s="73">
        <f>170000+24000</f>
        <v>194000</v>
      </c>
      <c r="O70" s="73">
        <f>170000+24000</f>
        <v>194000</v>
      </c>
      <c r="P70" s="73">
        <f aca="true" t="shared" si="23" ref="P70:P83">E70+J70</f>
        <v>1148900</v>
      </c>
      <c r="Q70" s="156"/>
    </row>
    <row r="71" spans="1:17" s="26" customFormat="1" ht="15">
      <c r="A71" s="24"/>
      <c r="B71" s="36" t="s">
        <v>171</v>
      </c>
      <c r="C71" s="27" t="s">
        <v>43</v>
      </c>
      <c r="D71" s="28" t="s">
        <v>159</v>
      </c>
      <c r="E71" s="35">
        <f aca="true" t="shared" si="24" ref="E71:E89">F71+I71</f>
        <v>112931234</v>
      </c>
      <c r="F71" s="89">
        <f>127615802+181800-17960782+85000+2791744+55100+15000+65000+20000+62570</f>
        <v>112931234</v>
      </c>
      <c r="G71" s="89">
        <f>70161106-6341216</f>
        <v>63819890</v>
      </c>
      <c r="H71" s="35">
        <v>19789563</v>
      </c>
      <c r="I71" s="58"/>
      <c r="J71" s="73">
        <f t="shared" si="22"/>
        <v>15167016</v>
      </c>
      <c r="K71" s="73">
        <v>11284686</v>
      </c>
      <c r="L71" s="73"/>
      <c r="M71" s="73"/>
      <c r="N71" s="73">
        <f>2750000+850000+125000+35900+42000+15000+15000+49430</f>
        <v>3882330</v>
      </c>
      <c r="O71" s="73">
        <f>2750000+850000+125000+35900+42000+15000+15000+49430</f>
        <v>3882330</v>
      </c>
      <c r="P71" s="73">
        <f t="shared" si="23"/>
        <v>128098250</v>
      </c>
      <c r="Q71" s="156"/>
    </row>
    <row r="72" spans="1:17" s="26" customFormat="1" ht="75">
      <c r="A72" s="24"/>
      <c r="B72" s="36" t="s">
        <v>172</v>
      </c>
      <c r="C72" s="27" t="s">
        <v>44</v>
      </c>
      <c r="D72" s="28" t="s">
        <v>160</v>
      </c>
      <c r="E72" s="35">
        <f t="shared" si="24"/>
        <v>232423046.14000002</v>
      </c>
      <c r="F72" s="89">
        <f>241356212+318200+8795512-27766183+3940000+192036+4086044+727101.34+332450+191339+19908+164032.8+54675+11719</f>
        <v>232423046.14000002</v>
      </c>
      <c r="G72" s="89">
        <f>142701242+16080119-18252562</f>
        <v>140528799</v>
      </c>
      <c r="H72" s="89">
        <f>31014749+1000000-1000000</f>
        <v>31014749</v>
      </c>
      <c r="I72" s="58"/>
      <c r="J72" s="73">
        <f t="shared" si="22"/>
        <v>29718282</v>
      </c>
      <c r="K72" s="73">
        <v>18497171</v>
      </c>
      <c r="L72" s="73">
        <v>740455</v>
      </c>
      <c r="M72" s="73">
        <v>47940</v>
      </c>
      <c r="N72" s="73">
        <f>6090000+2150000+190000+134464+500000+184300+1498110+185661+148820-15000+78400+88075-11719</f>
        <v>11221111</v>
      </c>
      <c r="O72" s="73">
        <f>6090000+2150000+190000+134464+500000+184300+1498110+185661+148820-15000+78400+88075-11719</f>
        <v>11221111</v>
      </c>
      <c r="P72" s="73">
        <f t="shared" si="23"/>
        <v>262141328.14000002</v>
      </c>
      <c r="Q72" s="156">
        <v>78</v>
      </c>
    </row>
    <row r="73" spans="1:17" s="26" customFormat="1" ht="15">
      <c r="A73" s="24"/>
      <c r="B73" s="40"/>
      <c r="C73" s="27"/>
      <c r="D73" s="28" t="s">
        <v>41</v>
      </c>
      <c r="E73" s="35">
        <f t="shared" si="24"/>
        <v>188621912.34</v>
      </c>
      <c r="F73" s="89">
        <f>179099299+8795512+727101.34</f>
        <v>188621912.34</v>
      </c>
      <c r="G73" s="89">
        <f>113504164+16080119</f>
        <v>129584283</v>
      </c>
      <c r="H73" s="89">
        <f>19360798+1000000+7664491</f>
        <v>28025289</v>
      </c>
      <c r="I73" s="58"/>
      <c r="J73" s="73">
        <f t="shared" si="22"/>
        <v>0</v>
      </c>
      <c r="K73" s="73"/>
      <c r="L73" s="73"/>
      <c r="M73" s="73"/>
      <c r="N73" s="73"/>
      <c r="O73" s="73"/>
      <c r="P73" s="73">
        <f t="shared" si="23"/>
        <v>188621912.34</v>
      </c>
      <c r="Q73" s="156"/>
    </row>
    <row r="74" spans="1:17" s="26" customFormat="1" ht="30">
      <c r="A74" s="24"/>
      <c r="B74" s="36" t="s">
        <v>173</v>
      </c>
      <c r="C74" s="27" t="s">
        <v>45</v>
      </c>
      <c r="D74" s="28" t="s">
        <v>161</v>
      </c>
      <c r="E74" s="35">
        <f t="shared" si="24"/>
        <v>357724</v>
      </c>
      <c r="F74" s="89">
        <f>372150+25184-39610</f>
        <v>357724</v>
      </c>
      <c r="G74" s="89">
        <f>277448+45301-29836</f>
        <v>292913</v>
      </c>
      <c r="H74" s="35"/>
      <c r="I74" s="58"/>
      <c r="J74" s="73">
        <f t="shared" si="22"/>
        <v>0</v>
      </c>
      <c r="K74" s="73"/>
      <c r="L74" s="73"/>
      <c r="M74" s="73"/>
      <c r="N74" s="73"/>
      <c r="O74" s="73"/>
      <c r="P74" s="73">
        <f t="shared" si="23"/>
        <v>357724</v>
      </c>
      <c r="Q74" s="156"/>
    </row>
    <row r="75" spans="1:17" s="26" customFormat="1" ht="15" customHeight="1">
      <c r="A75" s="24"/>
      <c r="B75" s="40"/>
      <c r="C75" s="27"/>
      <c r="D75" s="28" t="s">
        <v>41</v>
      </c>
      <c r="E75" s="35">
        <f t="shared" si="24"/>
        <v>357354</v>
      </c>
      <c r="F75" s="89">
        <f>332170+25184</f>
        <v>357354</v>
      </c>
      <c r="G75" s="89">
        <f>247612+45301</f>
        <v>292913</v>
      </c>
      <c r="H75" s="35"/>
      <c r="I75" s="58"/>
      <c r="J75" s="73">
        <f t="shared" si="22"/>
        <v>0</v>
      </c>
      <c r="K75" s="73"/>
      <c r="L75" s="73"/>
      <c r="M75" s="73"/>
      <c r="N75" s="73"/>
      <c r="O75" s="73">
        <f>N74-N75</f>
        <v>0</v>
      </c>
      <c r="P75" s="73">
        <f t="shared" si="23"/>
        <v>357354</v>
      </c>
      <c r="Q75" s="156"/>
    </row>
    <row r="76" spans="1:17" s="26" customFormat="1" ht="90">
      <c r="A76" s="24"/>
      <c r="B76" s="36" t="s">
        <v>174</v>
      </c>
      <c r="C76" s="27" t="s">
        <v>46</v>
      </c>
      <c r="D76" s="28" t="s">
        <v>162</v>
      </c>
      <c r="E76" s="35">
        <f t="shared" si="24"/>
        <v>4509826.75</v>
      </c>
      <c r="F76" s="89">
        <f>4650387+37304-403808+60000+30000+97943.75+23000+15000</f>
        <v>4509826.75</v>
      </c>
      <c r="G76" s="89">
        <f>2854137+321793-345065</f>
        <v>2830865</v>
      </c>
      <c r="H76" s="35">
        <v>517072</v>
      </c>
      <c r="I76" s="58"/>
      <c r="J76" s="73">
        <f t="shared" si="22"/>
        <v>150000</v>
      </c>
      <c r="K76" s="73"/>
      <c r="L76" s="73"/>
      <c r="M76" s="73"/>
      <c r="N76" s="73">
        <v>150000</v>
      </c>
      <c r="O76" s="73">
        <v>150000</v>
      </c>
      <c r="P76" s="73">
        <f t="shared" si="23"/>
        <v>4659826.75</v>
      </c>
      <c r="Q76" s="156"/>
    </row>
    <row r="77" spans="1:17" s="26" customFormat="1" ht="15" customHeight="1">
      <c r="A77" s="24"/>
      <c r="B77" s="40"/>
      <c r="C77" s="27"/>
      <c r="D77" s="28" t="s">
        <v>41</v>
      </c>
      <c r="E77" s="35">
        <f t="shared" si="24"/>
        <v>4292978.75</v>
      </c>
      <c r="F77" s="89">
        <f>4157731+37304+97943.75</f>
        <v>4292978.75</v>
      </c>
      <c r="G77" s="89">
        <f>2509072+321793</f>
        <v>2830865</v>
      </c>
      <c r="H77" s="35">
        <f>517072-49980</f>
        <v>467092</v>
      </c>
      <c r="I77" s="58"/>
      <c r="J77" s="73">
        <f t="shared" si="22"/>
        <v>0</v>
      </c>
      <c r="K77" s="73"/>
      <c r="L77" s="73"/>
      <c r="M77" s="73"/>
      <c r="N77" s="73"/>
      <c r="O77" s="73"/>
      <c r="P77" s="73">
        <f t="shared" si="23"/>
        <v>4292978.75</v>
      </c>
      <c r="Q77" s="156"/>
    </row>
    <row r="78" spans="1:17" s="26" customFormat="1" ht="45">
      <c r="A78" s="24"/>
      <c r="B78" s="36" t="s">
        <v>175</v>
      </c>
      <c r="C78" s="27" t="s">
        <v>47</v>
      </c>
      <c r="D78" s="28" t="s">
        <v>163</v>
      </c>
      <c r="E78" s="35">
        <f t="shared" si="24"/>
        <v>12432899</v>
      </c>
      <c r="F78" s="89">
        <f>14471495-2278502+222906+17000</f>
        <v>12432899</v>
      </c>
      <c r="G78" s="89">
        <f>9257594-784442</f>
        <v>8473152</v>
      </c>
      <c r="H78" s="35">
        <v>1785662</v>
      </c>
      <c r="I78" s="58"/>
      <c r="J78" s="73">
        <f t="shared" si="22"/>
        <v>525000</v>
      </c>
      <c r="K78" s="73"/>
      <c r="L78" s="73"/>
      <c r="M78" s="73"/>
      <c r="N78" s="73">
        <v>525000</v>
      </c>
      <c r="O78" s="73">
        <v>525000</v>
      </c>
      <c r="P78" s="73">
        <f t="shared" si="23"/>
        <v>12957899</v>
      </c>
      <c r="Q78" s="156"/>
    </row>
    <row r="79" spans="1:17" s="26" customFormat="1" ht="30">
      <c r="A79" s="24"/>
      <c r="B79" s="36" t="s">
        <v>372</v>
      </c>
      <c r="C79" s="27" t="s">
        <v>373</v>
      </c>
      <c r="D79" s="28" t="s">
        <v>374</v>
      </c>
      <c r="E79" s="35">
        <f t="shared" si="24"/>
        <v>55886018</v>
      </c>
      <c r="F79" s="89">
        <v>55886018</v>
      </c>
      <c r="G79" s="89">
        <v>26608329</v>
      </c>
      <c r="H79" s="89">
        <v>6083140</v>
      </c>
      <c r="I79" s="58"/>
      <c r="J79" s="73">
        <f t="shared" si="22"/>
        <v>6764260</v>
      </c>
      <c r="K79" s="73">
        <v>6459260</v>
      </c>
      <c r="L79" s="73">
        <v>1729928</v>
      </c>
      <c r="M79" s="73">
        <v>1470248</v>
      </c>
      <c r="N79" s="73">
        <v>305000</v>
      </c>
      <c r="O79" s="93"/>
      <c r="P79" s="73">
        <f t="shared" si="23"/>
        <v>62650278</v>
      </c>
      <c r="Q79" s="156"/>
    </row>
    <row r="80" spans="1:17" s="26" customFormat="1" ht="45">
      <c r="A80" s="24"/>
      <c r="B80" s="36" t="s">
        <v>176</v>
      </c>
      <c r="C80" s="27" t="s">
        <v>48</v>
      </c>
      <c r="D80" s="28" t="s">
        <v>164</v>
      </c>
      <c r="E80" s="35">
        <f t="shared" si="24"/>
        <v>1772574</v>
      </c>
      <c r="F80" s="89">
        <f>2094920-330296+4000+3950</f>
        <v>1772574</v>
      </c>
      <c r="G80" s="89">
        <f>1451158-100640</f>
        <v>1350518</v>
      </c>
      <c r="H80" s="35">
        <v>79885</v>
      </c>
      <c r="I80" s="58"/>
      <c r="J80" s="73">
        <f t="shared" si="22"/>
        <v>121000</v>
      </c>
      <c r="K80" s="73"/>
      <c r="L80" s="73"/>
      <c r="M80" s="73"/>
      <c r="N80" s="73">
        <f>110000+11000</f>
        <v>121000</v>
      </c>
      <c r="O80" s="73">
        <f>110000+11000</f>
        <v>121000</v>
      </c>
      <c r="P80" s="73">
        <f t="shared" si="23"/>
        <v>1893574</v>
      </c>
      <c r="Q80" s="156"/>
    </row>
    <row r="81" spans="1:17" s="26" customFormat="1" ht="30">
      <c r="A81" s="24"/>
      <c r="B81" s="36" t="s">
        <v>177</v>
      </c>
      <c r="C81" s="27" t="s">
        <v>49</v>
      </c>
      <c r="D81" s="28" t="s">
        <v>165</v>
      </c>
      <c r="E81" s="35">
        <f t="shared" si="24"/>
        <v>1645336</v>
      </c>
      <c r="F81" s="89">
        <f>1911767-371097+104666</f>
        <v>1645336</v>
      </c>
      <c r="G81" s="89">
        <f>1242033-158595+85792</f>
        <v>1169230</v>
      </c>
      <c r="H81" s="35">
        <v>82225</v>
      </c>
      <c r="I81" s="58"/>
      <c r="J81" s="73">
        <f t="shared" si="22"/>
        <v>93000</v>
      </c>
      <c r="K81" s="73"/>
      <c r="L81" s="73"/>
      <c r="M81" s="73"/>
      <c r="N81" s="73">
        <f>75000+18000</f>
        <v>93000</v>
      </c>
      <c r="O81" s="73">
        <f>75000+18000</f>
        <v>93000</v>
      </c>
      <c r="P81" s="73">
        <f t="shared" si="23"/>
        <v>1738336</v>
      </c>
      <c r="Q81" s="156"/>
    </row>
    <row r="82" spans="1:17" s="26" customFormat="1" ht="30">
      <c r="A82" s="24"/>
      <c r="B82" s="36" t="s">
        <v>178</v>
      </c>
      <c r="C82" s="27" t="s">
        <v>50</v>
      </c>
      <c r="D82" s="28" t="s">
        <v>166</v>
      </c>
      <c r="E82" s="35">
        <f t="shared" si="24"/>
        <v>162138</v>
      </c>
      <c r="F82" s="89">
        <f>206673-44535</f>
        <v>162138</v>
      </c>
      <c r="G82" s="89">
        <f>145804-19414</f>
        <v>126390</v>
      </c>
      <c r="H82" s="35">
        <v>5147</v>
      </c>
      <c r="I82" s="58"/>
      <c r="J82" s="73">
        <f t="shared" si="22"/>
        <v>0</v>
      </c>
      <c r="K82" s="73"/>
      <c r="L82" s="73"/>
      <c r="M82" s="73"/>
      <c r="N82" s="73"/>
      <c r="O82" s="73"/>
      <c r="P82" s="73">
        <f t="shared" si="23"/>
        <v>162138</v>
      </c>
      <c r="Q82" s="156"/>
    </row>
    <row r="83" spans="1:17" s="26" customFormat="1" ht="15">
      <c r="A83" s="24"/>
      <c r="B83" s="36" t="s">
        <v>179</v>
      </c>
      <c r="C83" s="27" t="s">
        <v>51</v>
      </c>
      <c r="D83" s="28" t="s">
        <v>167</v>
      </c>
      <c r="E83" s="35">
        <f t="shared" si="24"/>
        <v>2600414</v>
      </c>
      <c r="F83" s="89">
        <f>2955196-425073+45291+15000+10000</f>
        <v>2600414</v>
      </c>
      <c r="G83" s="89">
        <f>1837478-145690</f>
        <v>1691788</v>
      </c>
      <c r="H83" s="35">
        <v>335643</v>
      </c>
      <c r="I83" s="58"/>
      <c r="J83" s="73">
        <f t="shared" si="22"/>
        <v>150000</v>
      </c>
      <c r="K83" s="73"/>
      <c r="L83" s="73"/>
      <c r="M83" s="73"/>
      <c r="N83" s="73">
        <v>150000</v>
      </c>
      <c r="O83" s="73">
        <v>150000</v>
      </c>
      <c r="P83" s="73">
        <f t="shared" si="23"/>
        <v>2750414</v>
      </c>
      <c r="Q83" s="156"/>
    </row>
    <row r="84" spans="1:17" s="26" customFormat="1" ht="15">
      <c r="A84" s="24"/>
      <c r="B84" s="36" t="s">
        <v>180</v>
      </c>
      <c r="C84" s="27" t="s">
        <v>52</v>
      </c>
      <c r="D84" s="28" t="s">
        <v>53</v>
      </c>
      <c r="E84" s="35">
        <f t="shared" si="24"/>
        <v>53240</v>
      </c>
      <c r="F84" s="35">
        <f aca="true" t="shared" si="25" ref="F84:P84">F85</f>
        <v>53240</v>
      </c>
      <c r="G84" s="35">
        <f t="shared" si="25"/>
        <v>0</v>
      </c>
      <c r="H84" s="35">
        <f t="shared" si="25"/>
        <v>0</v>
      </c>
      <c r="I84" s="35">
        <f t="shared" si="25"/>
        <v>0</v>
      </c>
      <c r="J84" s="35">
        <f t="shared" si="22"/>
        <v>0</v>
      </c>
      <c r="K84" s="35">
        <f t="shared" si="25"/>
        <v>0</v>
      </c>
      <c r="L84" s="35">
        <f t="shared" si="25"/>
        <v>0</v>
      </c>
      <c r="M84" s="35">
        <f t="shared" si="25"/>
        <v>0</v>
      </c>
      <c r="N84" s="35">
        <f t="shared" si="25"/>
        <v>0</v>
      </c>
      <c r="O84" s="35">
        <f t="shared" si="25"/>
        <v>0</v>
      </c>
      <c r="P84" s="35">
        <f t="shared" si="25"/>
        <v>53240</v>
      </c>
      <c r="Q84" s="156"/>
    </row>
    <row r="85" spans="1:17" s="96" customFormat="1" ht="45">
      <c r="A85" s="95"/>
      <c r="B85" s="104" t="s">
        <v>181</v>
      </c>
      <c r="C85" s="80" t="s">
        <v>52</v>
      </c>
      <c r="D85" s="97" t="s">
        <v>358</v>
      </c>
      <c r="E85" s="73">
        <f t="shared" si="24"/>
        <v>53240</v>
      </c>
      <c r="F85" s="73">
        <f>73148-19908</f>
        <v>53240</v>
      </c>
      <c r="G85" s="69"/>
      <c r="H85" s="69"/>
      <c r="I85" s="70"/>
      <c r="J85" s="35">
        <f t="shared" si="22"/>
        <v>0</v>
      </c>
      <c r="K85" s="64"/>
      <c r="L85" s="64"/>
      <c r="M85" s="64"/>
      <c r="N85" s="64"/>
      <c r="O85" s="64"/>
      <c r="P85" s="64">
        <f>E85+J85</f>
        <v>53240</v>
      </c>
      <c r="Q85" s="156"/>
    </row>
    <row r="86" spans="1:17" s="26" customFormat="1" ht="49.5" customHeight="1">
      <c r="A86" s="48"/>
      <c r="B86" s="57" t="s">
        <v>183</v>
      </c>
      <c r="C86" s="45" t="s">
        <v>54</v>
      </c>
      <c r="D86" s="49" t="s">
        <v>182</v>
      </c>
      <c r="E86" s="73">
        <f t="shared" si="24"/>
        <v>45250</v>
      </c>
      <c r="F86" s="73">
        <v>45250</v>
      </c>
      <c r="G86" s="73"/>
      <c r="H86" s="73"/>
      <c r="I86" s="58"/>
      <c r="J86" s="73">
        <f t="shared" si="22"/>
        <v>0</v>
      </c>
      <c r="K86" s="73"/>
      <c r="L86" s="73"/>
      <c r="M86" s="73"/>
      <c r="N86" s="73"/>
      <c r="O86" s="73"/>
      <c r="P86" s="73">
        <f>E86+J86</f>
        <v>45250</v>
      </c>
      <c r="Q86" s="156"/>
    </row>
    <row r="87" spans="1:17" s="26" customFormat="1" ht="75">
      <c r="A87" s="24"/>
      <c r="B87" s="36" t="s">
        <v>184</v>
      </c>
      <c r="C87" s="27" t="s">
        <v>20</v>
      </c>
      <c r="D87" s="29" t="s">
        <v>111</v>
      </c>
      <c r="E87" s="35">
        <f t="shared" si="24"/>
        <v>2000000</v>
      </c>
      <c r="F87" s="35">
        <v>2000000</v>
      </c>
      <c r="G87" s="35"/>
      <c r="H87" s="35"/>
      <c r="I87" s="58"/>
      <c r="J87" s="73">
        <f t="shared" si="22"/>
        <v>0</v>
      </c>
      <c r="K87" s="73"/>
      <c r="L87" s="73"/>
      <c r="M87" s="73"/>
      <c r="N87" s="73"/>
      <c r="O87" s="73"/>
      <c r="P87" s="73">
        <f>E87+J87</f>
        <v>2000000</v>
      </c>
      <c r="Q87" s="156"/>
    </row>
    <row r="88" spans="1:17" s="26" customFormat="1" ht="30">
      <c r="A88" s="24"/>
      <c r="B88" s="36" t="s">
        <v>185</v>
      </c>
      <c r="C88" s="27"/>
      <c r="D88" s="34" t="s">
        <v>127</v>
      </c>
      <c r="E88" s="35">
        <f t="shared" si="24"/>
        <v>2591504</v>
      </c>
      <c r="F88" s="35">
        <f aca="true" t="shared" si="26" ref="F88:P88">F89</f>
        <v>2591504</v>
      </c>
      <c r="G88" s="35">
        <f t="shared" si="26"/>
        <v>1798717</v>
      </c>
      <c r="H88" s="35">
        <f t="shared" si="26"/>
        <v>182401</v>
      </c>
      <c r="I88" s="35">
        <f t="shared" si="26"/>
        <v>0</v>
      </c>
      <c r="J88" s="35">
        <f t="shared" si="22"/>
        <v>0</v>
      </c>
      <c r="K88" s="35">
        <f t="shared" si="26"/>
        <v>0</v>
      </c>
      <c r="L88" s="35">
        <f t="shared" si="26"/>
        <v>0</v>
      </c>
      <c r="M88" s="35">
        <f t="shared" si="26"/>
        <v>0</v>
      </c>
      <c r="N88" s="35">
        <f t="shared" si="26"/>
        <v>0</v>
      </c>
      <c r="O88" s="35">
        <f t="shared" si="26"/>
        <v>0</v>
      </c>
      <c r="P88" s="35">
        <f t="shared" si="26"/>
        <v>2591504</v>
      </c>
      <c r="Q88" s="156"/>
    </row>
    <row r="89" spans="1:17" s="96" customFormat="1" ht="45">
      <c r="A89" s="95"/>
      <c r="B89" s="104" t="s">
        <v>186</v>
      </c>
      <c r="C89" s="80" t="s">
        <v>27</v>
      </c>
      <c r="D89" s="81" t="s">
        <v>129</v>
      </c>
      <c r="E89" s="64">
        <f t="shared" si="24"/>
        <v>2591504</v>
      </c>
      <c r="F89" s="93">
        <f>2940630-378096+28970</f>
        <v>2591504</v>
      </c>
      <c r="G89" s="93">
        <f>1887404-88687</f>
        <v>1798717</v>
      </c>
      <c r="H89" s="73">
        <v>182401</v>
      </c>
      <c r="I89" s="70"/>
      <c r="J89" s="35">
        <f t="shared" si="22"/>
        <v>0</v>
      </c>
      <c r="K89" s="70"/>
      <c r="L89" s="70"/>
      <c r="M89" s="70"/>
      <c r="N89" s="70"/>
      <c r="O89" s="70"/>
      <c r="P89" s="64">
        <f>E89+J89</f>
        <v>2591504</v>
      </c>
      <c r="Q89" s="156"/>
    </row>
    <row r="90" spans="1:17" s="96" customFormat="1" ht="30">
      <c r="A90" s="95"/>
      <c r="B90" s="117" t="s">
        <v>436</v>
      </c>
      <c r="C90" s="45" t="s">
        <v>432</v>
      </c>
      <c r="D90" s="49" t="s">
        <v>433</v>
      </c>
      <c r="E90" s="69"/>
      <c r="F90" s="35"/>
      <c r="G90" s="35"/>
      <c r="H90" s="35"/>
      <c r="I90" s="70"/>
      <c r="J90" s="35">
        <f t="shared" si="22"/>
        <v>70000</v>
      </c>
      <c r="K90" s="35">
        <v>40000</v>
      </c>
      <c r="L90" s="35"/>
      <c r="M90" s="35"/>
      <c r="N90" s="35">
        <v>30000</v>
      </c>
      <c r="O90" s="35"/>
      <c r="P90" s="35">
        <f>E90+J90</f>
        <v>70000</v>
      </c>
      <c r="Q90" s="156"/>
    </row>
    <row r="91" spans="1:17" s="96" customFormat="1" ht="15">
      <c r="A91" s="95"/>
      <c r="B91" s="117" t="s">
        <v>437</v>
      </c>
      <c r="C91" s="45" t="s">
        <v>435</v>
      </c>
      <c r="D91" s="49" t="s">
        <v>55</v>
      </c>
      <c r="E91" s="69"/>
      <c r="F91" s="35"/>
      <c r="G91" s="35"/>
      <c r="H91" s="35"/>
      <c r="I91" s="70"/>
      <c r="J91" s="35">
        <f t="shared" si="22"/>
        <v>250000</v>
      </c>
      <c r="K91" s="35">
        <v>160000</v>
      </c>
      <c r="L91" s="35"/>
      <c r="M91" s="35"/>
      <c r="N91" s="35">
        <v>90000</v>
      </c>
      <c r="O91" s="35"/>
      <c r="P91" s="35">
        <f>E91+J91</f>
        <v>250000</v>
      </c>
      <c r="Q91" s="156"/>
    </row>
    <row r="92" spans="1:17" s="26" customFormat="1" ht="28.5">
      <c r="A92" s="48"/>
      <c r="B92" s="57" t="s">
        <v>188</v>
      </c>
      <c r="C92" s="31"/>
      <c r="D92" s="32" t="s">
        <v>187</v>
      </c>
      <c r="E92" s="58">
        <f>E93</f>
        <v>224188894.43</v>
      </c>
      <c r="F92" s="58">
        <f aca="true" t="shared" si="27" ref="F92:P92">F93</f>
        <v>224188894.43</v>
      </c>
      <c r="G92" s="58">
        <f t="shared" si="27"/>
        <v>126678264</v>
      </c>
      <c r="H92" s="58">
        <f t="shared" si="27"/>
        <v>19133584</v>
      </c>
      <c r="I92" s="58">
        <f t="shared" si="27"/>
        <v>0</v>
      </c>
      <c r="J92" s="58">
        <f t="shared" si="27"/>
        <v>34943378</v>
      </c>
      <c r="K92" s="58">
        <f t="shared" si="27"/>
        <v>11785214</v>
      </c>
      <c r="L92" s="58">
        <f t="shared" si="27"/>
        <v>6366242</v>
      </c>
      <c r="M92" s="58">
        <f t="shared" si="27"/>
        <v>500810</v>
      </c>
      <c r="N92" s="58">
        <f t="shared" si="27"/>
        <v>23158164</v>
      </c>
      <c r="O92" s="58">
        <f t="shared" si="27"/>
        <v>23158164</v>
      </c>
      <c r="P92" s="58">
        <f t="shared" si="27"/>
        <v>259132272.43</v>
      </c>
      <c r="Q92" s="156"/>
    </row>
    <row r="93" spans="1:17" s="96" customFormat="1" ht="30">
      <c r="A93" s="95"/>
      <c r="B93" s="57" t="s">
        <v>189</v>
      </c>
      <c r="C93" s="51"/>
      <c r="D93" s="52" t="s">
        <v>187</v>
      </c>
      <c r="E93" s="70">
        <f>E95+E96+E98+E102+E104+E106+E112+E100+E108</f>
        <v>224188894.43</v>
      </c>
      <c r="F93" s="70">
        <f aca="true" t="shared" si="28" ref="F93:P93">F95+F96+F98+F102+F104+F106+F112+F100+F108</f>
        <v>224188894.43</v>
      </c>
      <c r="G93" s="70">
        <f t="shared" si="28"/>
        <v>126678264</v>
      </c>
      <c r="H93" s="70">
        <f t="shared" si="28"/>
        <v>19133584</v>
      </c>
      <c r="I93" s="70">
        <f t="shared" si="28"/>
        <v>0</v>
      </c>
      <c r="J93" s="70">
        <f t="shared" si="28"/>
        <v>34943378</v>
      </c>
      <c r="K93" s="70">
        <f t="shared" si="28"/>
        <v>11785214</v>
      </c>
      <c r="L93" s="70">
        <f t="shared" si="28"/>
        <v>6366242</v>
      </c>
      <c r="M93" s="70">
        <f t="shared" si="28"/>
        <v>500810</v>
      </c>
      <c r="N93" s="70">
        <f t="shared" si="28"/>
        <v>23158164</v>
      </c>
      <c r="O93" s="70">
        <f t="shared" si="28"/>
        <v>23158164</v>
      </c>
      <c r="P93" s="70">
        <f t="shared" si="28"/>
        <v>259132272.43</v>
      </c>
      <c r="Q93" s="156"/>
    </row>
    <row r="94" spans="1:17" s="26" customFormat="1" ht="15" customHeight="1">
      <c r="A94" s="48"/>
      <c r="B94" s="54"/>
      <c r="C94" s="31"/>
      <c r="D94" s="49" t="s">
        <v>96</v>
      </c>
      <c r="E94" s="73">
        <f>E97+E99+E103+E105+E113+E107+E101+E111</f>
        <v>205797569.43</v>
      </c>
      <c r="F94" s="73">
        <f aca="true" t="shared" si="29" ref="F94:P94">F97+F99+F103+F105+F113+F107+F101+F111</f>
        <v>205797569.43</v>
      </c>
      <c r="G94" s="73">
        <f t="shared" si="29"/>
        <v>126307359</v>
      </c>
      <c r="H94" s="73">
        <f t="shared" si="29"/>
        <v>19115405</v>
      </c>
      <c r="I94" s="73">
        <f t="shared" si="29"/>
        <v>0</v>
      </c>
      <c r="J94" s="73">
        <f t="shared" si="29"/>
        <v>0</v>
      </c>
      <c r="K94" s="73">
        <f t="shared" si="29"/>
        <v>0</v>
      </c>
      <c r="L94" s="73">
        <f t="shared" si="29"/>
        <v>0</v>
      </c>
      <c r="M94" s="73">
        <f t="shared" si="29"/>
        <v>0</v>
      </c>
      <c r="N94" s="73">
        <f t="shared" si="29"/>
        <v>0</v>
      </c>
      <c r="O94" s="73">
        <f t="shared" si="29"/>
        <v>0</v>
      </c>
      <c r="P94" s="73">
        <f t="shared" si="29"/>
        <v>205797569.43</v>
      </c>
      <c r="Q94" s="156">
        <v>79</v>
      </c>
    </row>
    <row r="95" spans="1:17" s="26" customFormat="1" ht="60" customHeight="1">
      <c r="A95" s="24"/>
      <c r="B95" s="36" t="s">
        <v>190</v>
      </c>
      <c r="C95" s="27" t="s">
        <v>9</v>
      </c>
      <c r="D95" s="28" t="s">
        <v>100</v>
      </c>
      <c r="E95" s="35">
        <f aca="true" t="shared" si="30" ref="E95:E117">F95+I95</f>
        <v>527067</v>
      </c>
      <c r="F95" s="89">
        <f>501690-36350+9175+52552</f>
        <v>527067</v>
      </c>
      <c r="G95" s="89">
        <f>324260+3570+43075</f>
        <v>370905</v>
      </c>
      <c r="H95" s="35">
        <v>18179</v>
      </c>
      <c r="I95" s="58"/>
      <c r="J95" s="73">
        <f aca="true" t="shared" si="31" ref="J95:J107">K95+N95</f>
        <v>333200</v>
      </c>
      <c r="K95" s="58"/>
      <c r="L95" s="58"/>
      <c r="M95" s="58"/>
      <c r="N95" s="73">
        <f>320200+13000</f>
        <v>333200</v>
      </c>
      <c r="O95" s="73">
        <f>320200+13000</f>
        <v>333200</v>
      </c>
      <c r="P95" s="73">
        <f aca="true" t="shared" si="32" ref="P95:P111">E95+J95</f>
        <v>860267</v>
      </c>
      <c r="Q95" s="156"/>
    </row>
    <row r="96" spans="1:17" s="26" customFormat="1" ht="30">
      <c r="A96" s="24"/>
      <c r="B96" s="36" t="s">
        <v>192</v>
      </c>
      <c r="C96" s="27" t="s">
        <v>56</v>
      </c>
      <c r="D96" s="28" t="s">
        <v>191</v>
      </c>
      <c r="E96" s="35">
        <f t="shared" si="30"/>
        <v>177106558.43</v>
      </c>
      <c r="F96" s="89">
        <f>185364829+8898601-3182667-22578004-57471+416936+263064.43+10000+150000+30000+20000+7536470+25000+57500+152300</f>
        <v>177106558.43</v>
      </c>
      <c r="G96" s="89">
        <f>111910141+7414009-15923234</f>
        <v>103400916</v>
      </c>
      <c r="H96" s="35">
        <v>15447851</v>
      </c>
      <c r="I96" s="58"/>
      <c r="J96" s="73">
        <f t="shared" si="31"/>
        <v>24296082</v>
      </c>
      <c r="K96" s="73">
        <v>7844182</v>
      </c>
      <c r="L96" s="73">
        <v>4083407</v>
      </c>
      <c r="M96" s="73">
        <v>177480</v>
      </c>
      <c r="N96" s="73">
        <f>12000000+4331400+40000+30000+30000+20500</f>
        <v>16451900</v>
      </c>
      <c r="O96" s="73">
        <f>12000000+4331400+40000+30000+30000+20500</f>
        <v>16451900</v>
      </c>
      <c r="P96" s="73">
        <f t="shared" si="32"/>
        <v>201402640.43</v>
      </c>
      <c r="Q96" s="156"/>
    </row>
    <row r="97" spans="1:17" s="26" customFormat="1" ht="15">
      <c r="A97" s="24"/>
      <c r="B97" s="40"/>
      <c r="C97" s="27"/>
      <c r="D97" s="28" t="s">
        <v>96</v>
      </c>
      <c r="E97" s="35">
        <f t="shared" si="30"/>
        <v>162855627.43</v>
      </c>
      <c r="F97" s="89">
        <f>148777515-3182667+263064.43+7536470+8841130+620115</f>
        <v>162855627.43</v>
      </c>
      <c r="G97" s="89">
        <f>95557155+7414009+429752</f>
        <v>103400916</v>
      </c>
      <c r="H97" s="35">
        <f>15388080+59771</f>
        <v>15447851</v>
      </c>
      <c r="I97" s="58"/>
      <c r="J97" s="73">
        <f t="shared" si="31"/>
        <v>0</v>
      </c>
      <c r="K97" s="73"/>
      <c r="L97" s="73"/>
      <c r="M97" s="73"/>
      <c r="N97" s="73"/>
      <c r="O97" s="73"/>
      <c r="P97" s="73">
        <f t="shared" si="32"/>
        <v>162855627.43</v>
      </c>
      <c r="Q97" s="156"/>
    </row>
    <row r="98" spans="1:17" s="26" customFormat="1" ht="30">
      <c r="A98" s="24"/>
      <c r="B98" s="36" t="s">
        <v>194</v>
      </c>
      <c r="C98" s="27" t="s">
        <v>57</v>
      </c>
      <c r="D98" s="28" t="s">
        <v>193</v>
      </c>
      <c r="E98" s="35">
        <f t="shared" si="30"/>
        <v>18320764</v>
      </c>
      <c r="F98" s="89">
        <f>21492078-514223-2712091+15000+4400+25000+10600</f>
        <v>18320764</v>
      </c>
      <c r="G98" s="89">
        <f>12880040+855030-1989840</f>
        <v>11745230</v>
      </c>
      <c r="H98" s="35">
        <v>2655803</v>
      </c>
      <c r="I98" s="58"/>
      <c r="J98" s="73">
        <f t="shared" si="31"/>
        <v>2919304</v>
      </c>
      <c r="K98" s="73">
        <v>25240</v>
      </c>
      <c r="L98" s="73">
        <v>9460</v>
      </c>
      <c r="M98" s="73">
        <v>4150</v>
      </c>
      <c r="N98" s="73">
        <f>1500000+500000+879064+15000</f>
        <v>2894064</v>
      </c>
      <c r="O98" s="73">
        <f>1500000+500000+879064+15000</f>
        <v>2894064</v>
      </c>
      <c r="P98" s="73">
        <f t="shared" si="32"/>
        <v>21240068</v>
      </c>
      <c r="Q98" s="156"/>
    </row>
    <row r="99" spans="1:17" s="26" customFormat="1" ht="15">
      <c r="A99" s="24"/>
      <c r="B99" s="40"/>
      <c r="C99" s="27"/>
      <c r="D99" s="28" t="s">
        <v>96</v>
      </c>
      <c r="E99" s="35">
        <f t="shared" si="30"/>
        <v>17257714</v>
      </c>
      <c r="F99" s="89">
        <f>17756937-514223+15000</f>
        <v>17257714</v>
      </c>
      <c r="G99" s="89">
        <f>10890200+855030</f>
        <v>11745230</v>
      </c>
      <c r="H99" s="35">
        <v>2655803</v>
      </c>
      <c r="I99" s="58"/>
      <c r="J99" s="73">
        <f t="shared" si="31"/>
        <v>0</v>
      </c>
      <c r="K99" s="73"/>
      <c r="L99" s="73"/>
      <c r="M99" s="73"/>
      <c r="N99" s="73"/>
      <c r="O99" s="73"/>
      <c r="P99" s="73">
        <f t="shared" si="32"/>
        <v>17257714</v>
      </c>
      <c r="Q99" s="156"/>
    </row>
    <row r="100" spans="1:17" s="26" customFormat="1" ht="45">
      <c r="A100" s="24"/>
      <c r="B100" s="27" t="s">
        <v>312</v>
      </c>
      <c r="C100" s="27" t="s">
        <v>313</v>
      </c>
      <c r="D100" s="28" t="s">
        <v>314</v>
      </c>
      <c r="E100" s="35">
        <f t="shared" si="30"/>
        <v>1631938</v>
      </c>
      <c r="F100" s="89">
        <f>2196578-72487-512653+1000+19500</f>
        <v>1631938</v>
      </c>
      <c r="G100" s="89">
        <f>1538529+67981-378621</f>
        <v>1227889</v>
      </c>
      <c r="H100" s="35">
        <v>76813</v>
      </c>
      <c r="I100" s="58"/>
      <c r="J100" s="73">
        <f t="shared" si="31"/>
        <v>407000</v>
      </c>
      <c r="K100" s="73">
        <v>407000</v>
      </c>
      <c r="L100" s="73">
        <v>98000</v>
      </c>
      <c r="M100" s="73">
        <v>132800</v>
      </c>
      <c r="N100" s="73">
        <f>N74</f>
        <v>0</v>
      </c>
      <c r="O100" s="73">
        <f>O74</f>
        <v>0</v>
      </c>
      <c r="P100" s="73">
        <f t="shared" si="32"/>
        <v>2038938</v>
      </c>
      <c r="Q100" s="156"/>
    </row>
    <row r="101" spans="1:17" s="26" customFormat="1" ht="15" customHeight="1">
      <c r="A101" s="24"/>
      <c r="B101" s="27"/>
      <c r="C101" s="27"/>
      <c r="D101" s="28" t="s">
        <v>96</v>
      </c>
      <c r="E101" s="35">
        <f t="shared" si="30"/>
        <v>1581988</v>
      </c>
      <c r="F101" s="89">
        <f>1653475-72487+1000</f>
        <v>1581988</v>
      </c>
      <c r="G101" s="89">
        <f>1159908+67981</f>
        <v>1227889</v>
      </c>
      <c r="H101" s="35">
        <v>76813</v>
      </c>
      <c r="I101" s="58"/>
      <c r="J101" s="73">
        <f t="shared" si="31"/>
        <v>0</v>
      </c>
      <c r="K101" s="73">
        <f>K75</f>
        <v>0</v>
      </c>
      <c r="L101" s="73">
        <f>L75</f>
        <v>0</v>
      </c>
      <c r="M101" s="73">
        <f>M75</f>
        <v>0</v>
      </c>
      <c r="N101" s="73">
        <f>N75</f>
        <v>0</v>
      </c>
      <c r="O101" s="73">
        <f>O75</f>
        <v>0</v>
      </c>
      <c r="P101" s="73">
        <f t="shared" si="32"/>
        <v>1581988</v>
      </c>
      <c r="Q101" s="156"/>
    </row>
    <row r="102" spans="1:17" s="26" customFormat="1" ht="30">
      <c r="A102" s="24"/>
      <c r="B102" s="36" t="s">
        <v>196</v>
      </c>
      <c r="C102" s="27" t="s">
        <v>58</v>
      </c>
      <c r="D102" s="28" t="s">
        <v>195</v>
      </c>
      <c r="E102" s="35">
        <f t="shared" si="30"/>
        <v>4298380</v>
      </c>
      <c r="F102" s="89">
        <f>5135524-113812-743432+5000+10000+5100</f>
        <v>4298380</v>
      </c>
      <c r="G102" s="89">
        <f>3329538+233048-545438</f>
        <v>3017148</v>
      </c>
      <c r="H102" s="35">
        <v>339954</v>
      </c>
      <c r="I102" s="58"/>
      <c r="J102" s="73">
        <f t="shared" si="31"/>
        <v>4353292</v>
      </c>
      <c r="K102" s="73">
        <v>3353292</v>
      </c>
      <c r="L102" s="73">
        <v>2153375</v>
      </c>
      <c r="M102" s="73">
        <v>166719</v>
      </c>
      <c r="N102" s="73">
        <v>1000000</v>
      </c>
      <c r="O102" s="73">
        <v>1000000</v>
      </c>
      <c r="P102" s="73">
        <f t="shared" si="32"/>
        <v>8651672</v>
      </c>
      <c r="Q102" s="156"/>
    </row>
    <row r="103" spans="1:17" s="26" customFormat="1" ht="15">
      <c r="A103" s="24"/>
      <c r="B103" s="40"/>
      <c r="C103" s="27"/>
      <c r="D103" s="28" t="s">
        <v>96</v>
      </c>
      <c r="E103" s="35">
        <f t="shared" si="30"/>
        <v>4103275</v>
      </c>
      <c r="F103" s="89">
        <f>4212087-113812+5000</f>
        <v>4103275</v>
      </c>
      <c r="G103" s="89">
        <f>2784100+233048</f>
        <v>3017148</v>
      </c>
      <c r="H103" s="35">
        <v>339954</v>
      </c>
      <c r="I103" s="58"/>
      <c r="J103" s="73">
        <f t="shared" si="31"/>
        <v>0</v>
      </c>
      <c r="K103" s="73"/>
      <c r="L103" s="73"/>
      <c r="M103" s="73"/>
      <c r="N103" s="73"/>
      <c r="O103" s="73"/>
      <c r="P103" s="73">
        <f t="shared" si="32"/>
        <v>4103275</v>
      </c>
      <c r="Q103" s="156"/>
    </row>
    <row r="104" spans="1:17" s="26" customFormat="1" ht="15">
      <c r="A104" s="24"/>
      <c r="B104" s="36" t="s">
        <v>198</v>
      </c>
      <c r="C104" s="27" t="s">
        <v>59</v>
      </c>
      <c r="D104" s="28" t="s">
        <v>197</v>
      </c>
      <c r="E104" s="35">
        <f t="shared" si="30"/>
        <v>9327474</v>
      </c>
      <c r="F104" s="89">
        <f>10647211-240883-1135554+37700+19000</f>
        <v>9327474</v>
      </c>
      <c r="G104" s="35">
        <v>6060985</v>
      </c>
      <c r="H104" s="35">
        <v>564989</v>
      </c>
      <c r="I104" s="58"/>
      <c r="J104" s="73">
        <f t="shared" si="31"/>
        <v>2574500</v>
      </c>
      <c r="K104" s="73">
        <v>155500</v>
      </c>
      <c r="L104" s="73">
        <v>22000</v>
      </c>
      <c r="M104" s="73">
        <v>19661</v>
      </c>
      <c r="N104" s="73">
        <f>1700000+719000</f>
        <v>2419000</v>
      </c>
      <c r="O104" s="73">
        <f>1700000+719000</f>
        <v>2419000</v>
      </c>
      <c r="P104" s="73">
        <f t="shared" si="32"/>
        <v>11901974</v>
      </c>
      <c r="Q104" s="156"/>
    </row>
    <row r="105" spans="1:17" s="26" customFormat="1" ht="15">
      <c r="A105" s="24"/>
      <c r="B105" s="40"/>
      <c r="C105" s="27"/>
      <c r="D105" s="28" t="s">
        <v>96</v>
      </c>
      <c r="E105" s="35">
        <f t="shared" si="30"/>
        <v>8308340</v>
      </c>
      <c r="F105" s="89">
        <f>8511523-240883+37700</f>
        <v>8308340</v>
      </c>
      <c r="G105" s="35">
        <v>6060985</v>
      </c>
      <c r="H105" s="35">
        <v>564989</v>
      </c>
      <c r="I105" s="58"/>
      <c r="J105" s="73">
        <f t="shared" si="31"/>
        <v>0</v>
      </c>
      <c r="K105" s="58"/>
      <c r="L105" s="58"/>
      <c r="M105" s="58"/>
      <c r="N105" s="58"/>
      <c r="O105" s="58"/>
      <c r="P105" s="73">
        <f t="shared" si="32"/>
        <v>8308340</v>
      </c>
      <c r="Q105" s="156"/>
    </row>
    <row r="106" spans="1:17" s="26" customFormat="1" ht="75">
      <c r="A106" s="24"/>
      <c r="B106" s="27" t="s">
        <v>205</v>
      </c>
      <c r="C106" s="27" t="s">
        <v>61</v>
      </c>
      <c r="D106" s="28" t="s">
        <v>62</v>
      </c>
      <c r="E106" s="35">
        <f t="shared" si="30"/>
        <v>650274</v>
      </c>
      <c r="F106" s="89">
        <f>701177-6802-44101</f>
        <v>650274</v>
      </c>
      <c r="G106" s="89">
        <f>430788+37639-32613</f>
        <v>435814</v>
      </c>
      <c r="H106" s="35">
        <v>18580</v>
      </c>
      <c r="I106" s="58"/>
      <c r="J106" s="73">
        <f t="shared" si="31"/>
        <v>40000</v>
      </c>
      <c r="K106" s="58"/>
      <c r="L106" s="58"/>
      <c r="M106" s="58"/>
      <c r="N106" s="73">
        <v>40000</v>
      </c>
      <c r="O106" s="73">
        <v>40000</v>
      </c>
      <c r="P106" s="73">
        <f t="shared" si="32"/>
        <v>690274</v>
      </c>
      <c r="Q106" s="156"/>
    </row>
    <row r="107" spans="1:17" s="26" customFormat="1" ht="15">
      <c r="A107" s="24"/>
      <c r="B107" s="40"/>
      <c r="C107" s="27"/>
      <c r="D107" s="28" t="s">
        <v>96</v>
      </c>
      <c r="E107" s="35">
        <f t="shared" si="30"/>
        <v>575270</v>
      </c>
      <c r="F107" s="89">
        <f>582072-6802</f>
        <v>575270</v>
      </c>
      <c r="G107" s="89">
        <f>398175+37639</f>
        <v>435814</v>
      </c>
      <c r="H107" s="35">
        <v>18580</v>
      </c>
      <c r="I107" s="58"/>
      <c r="J107" s="73">
        <f t="shared" si="31"/>
        <v>0</v>
      </c>
      <c r="K107" s="58"/>
      <c r="L107" s="58"/>
      <c r="M107" s="58"/>
      <c r="N107" s="58"/>
      <c r="O107" s="58"/>
      <c r="P107" s="73">
        <f t="shared" si="32"/>
        <v>575270</v>
      </c>
      <c r="Q107" s="156"/>
    </row>
    <row r="108" spans="1:17" s="26" customFormat="1" ht="30">
      <c r="A108" s="24"/>
      <c r="B108" s="40">
        <v>1412210</v>
      </c>
      <c r="C108" s="27"/>
      <c r="D108" s="28" t="s">
        <v>369</v>
      </c>
      <c r="E108" s="35">
        <f>E110</f>
        <v>10347290</v>
      </c>
      <c r="F108" s="35">
        <f aca="true" t="shared" si="33" ref="F108:P109">F110</f>
        <v>10347290</v>
      </c>
      <c r="G108" s="35">
        <f t="shared" si="33"/>
        <v>0</v>
      </c>
      <c r="H108" s="35">
        <f t="shared" si="33"/>
        <v>0</v>
      </c>
      <c r="I108" s="35">
        <f t="shared" si="33"/>
        <v>0</v>
      </c>
      <c r="J108" s="35">
        <f t="shared" si="33"/>
        <v>0</v>
      </c>
      <c r="K108" s="35">
        <f t="shared" si="33"/>
        <v>0</v>
      </c>
      <c r="L108" s="35">
        <f t="shared" si="33"/>
        <v>0</v>
      </c>
      <c r="M108" s="35">
        <f t="shared" si="33"/>
        <v>0</v>
      </c>
      <c r="N108" s="35">
        <f t="shared" si="33"/>
        <v>0</v>
      </c>
      <c r="O108" s="35">
        <f t="shared" si="33"/>
        <v>0</v>
      </c>
      <c r="P108" s="35">
        <f t="shared" si="32"/>
        <v>10347290</v>
      </c>
      <c r="Q108" s="156"/>
    </row>
    <row r="109" spans="1:17" s="26" customFormat="1" ht="15">
      <c r="A109" s="24"/>
      <c r="B109" s="40"/>
      <c r="C109" s="27"/>
      <c r="D109" s="28" t="s">
        <v>96</v>
      </c>
      <c r="E109" s="35">
        <f>E111</f>
        <v>10347290</v>
      </c>
      <c r="F109" s="35">
        <f t="shared" si="33"/>
        <v>10347290</v>
      </c>
      <c r="G109" s="35">
        <f t="shared" si="33"/>
        <v>0</v>
      </c>
      <c r="H109" s="35">
        <f t="shared" si="33"/>
        <v>0</v>
      </c>
      <c r="I109" s="35">
        <f t="shared" si="33"/>
        <v>0</v>
      </c>
      <c r="J109" s="35">
        <f t="shared" si="33"/>
        <v>0</v>
      </c>
      <c r="K109" s="35">
        <f t="shared" si="33"/>
        <v>0</v>
      </c>
      <c r="L109" s="35">
        <f t="shared" si="33"/>
        <v>0</v>
      </c>
      <c r="M109" s="35">
        <f t="shared" si="33"/>
        <v>0</v>
      </c>
      <c r="N109" s="35">
        <f t="shared" si="33"/>
        <v>0</v>
      </c>
      <c r="O109" s="35">
        <f t="shared" si="33"/>
        <v>0</v>
      </c>
      <c r="P109" s="35">
        <f t="shared" si="33"/>
        <v>10347290</v>
      </c>
      <c r="Q109" s="156"/>
    </row>
    <row r="110" spans="1:17" s="26" customFormat="1" ht="45">
      <c r="A110" s="24"/>
      <c r="B110" s="79">
        <v>1412214</v>
      </c>
      <c r="C110" s="80" t="s">
        <v>370</v>
      </c>
      <c r="D110" s="81" t="s">
        <v>371</v>
      </c>
      <c r="E110" s="64">
        <f t="shared" si="30"/>
        <v>10347290</v>
      </c>
      <c r="F110" s="88">
        <f>4846847+371153+5129290</f>
        <v>10347290</v>
      </c>
      <c r="G110" s="64"/>
      <c r="H110" s="64"/>
      <c r="I110" s="70"/>
      <c r="J110" s="64">
        <f>J113+J115</f>
        <v>0</v>
      </c>
      <c r="K110" s="70"/>
      <c r="L110" s="70"/>
      <c r="M110" s="70"/>
      <c r="N110" s="70"/>
      <c r="O110" s="70"/>
      <c r="P110" s="64">
        <f t="shared" si="32"/>
        <v>10347290</v>
      </c>
      <c r="Q110" s="156"/>
    </row>
    <row r="111" spans="1:17" s="26" customFormat="1" ht="15">
      <c r="A111" s="24"/>
      <c r="B111" s="79"/>
      <c r="C111" s="80"/>
      <c r="D111" s="81" t="s">
        <v>96</v>
      </c>
      <c r="E111" s="64">
        <f t="shared" si="30"/>
        <v>10347290</v>
      </c>
      <c r="F111" s="88">
        <f>5129290+5218000</f>
        <v>10347290</v>
      </c>
      <c r="G111" s="64"/>
      <c r="H111" s="64"/>
      <c r="I111" s="70"/>
      <c r="J111" s="64"/>
      <c r="K111" s="70"/>
      <c r="L111" s="70"/>
      <c r="M111" s="70"/>
      <c r="N111" s="70"/>
      <c r="O111" s="70"/>
      <c r="P111" s="64">
        <f t="shared" si="32"/>
        <v>10347290</v>
      </c>
      <c r="Q111" s="156"/>
    </row>
    <row r="112" spans="1:17" s="26" customFormat="1" ht="15">
      <c r="A112" s="24"/>
      <c r="B112" s="36" t="s">
        <v>200</v>
      </c>
      <c r="C112" s="27" t="s">
        <v>60</v>
      </c>
      <c r="D112" s="28" t="s">
        <v>199</v>
      </c>
      <c r="E112" s="35">
        <f t="shared" si="30"/>
        <v>1979149</v>
      </c>
      <c r="F112" s="35">
        <f>F114+F116</f>
        <v>1979149</v>
      </c>
      <c r="G112" s="35">
        <f aca="true" t="shared" si="34" ref="G112:P113">G114+G116</f>
        <v>419377</v>
      </c>
      <c r="H112" s="35">
        <f t="shared" si="34"/>
        <v>11415</v>
      </c>
      <c r="I112" s="35">
        <f t="shared" si="34"/>
        <v>0</v>
      </c>
      <c r="J112" s="35">
        <f t="shared" si="34"/>
        <v>20000</v>
      </c>
      <c r="K112" s="35">
        <f t="shared" si="34"/>
        <v>0</v>
      </c>
      <c r="L112" s="35">
        <f t="shared" si="34"/>
        <v>0</v>
      </c>
      <c r="M112" s="35">
        <f t="shared" si="34"/>
        <v>0</v>
      </c>
      <c r="N112" s="35">
        <f t="shared" si="34"/>
        <v>20000</v>
      </c>
      <c r="O112" s="35">
        <f t="shared" si="34"/>
        <v>20000</v>
      </c>
      <c r="P112" s="35">
        <f t="shared" si="34"/>
        <v>1999149</v>
      </c>
      <c r="Q112" s="156"/>
    </row>
    <row r="113" spans="1:17" s="26" customFormat="1" ht="15">
      <c r="A113" s="24"/>
      <c r="B113" s="40"/>
      <c r="C113" s="27"/>
      <c r="D113" s="28" t="s">
        <v>96</v>
      </c>
      <c r="E113" s="35">
        <f t="shared" si="30"/>
        <v>768065</v>
      </c>
      <c r="F113" s="35">
        <f>F115+F117</f>
        <v>768065</v>
      </c>
      <c r="G113" s="35">
        <f t="shared" si="34"/>
        <v>419377</v>
      </c>
      <c r="H113" s="35">
        <f t="shared" si="34"/>
        <v>11415</v>
      </c>
      <c r="I113" s="35">
        <f t="shared" si="34"/>
        <v>0</v>
      </c>
      <c r="J113" s="35">
        <f t="shared" si="34"/>
        <v>0</v>
      </c>
      <c r="K113" s="35">
        <f t="shared" si="34"/>
        <v>0</v>
      </c>
      <c r="L113" s="35">
        <f t="shared" si="34"/>
        <v>0</v>
      </c>
      <c r="M113" s="35">
        <f t="shared" si="34"/>
        <v>0</v>
      </c>
      <c r="N113" s="35">
        <f t="shared" si="34"/>
        <v>0</v>
      </c>
      <c r="O113" s="35">
        <f t="shared" si="34"/>
        <v>0</v>
      </c>
      <c r="P113" s="35">
        <f t="shared" si="34"/>
        <v>768065</v>
      </c>
      <c r="Q113" s="156"/>
    </row>
    <row r="114" spans="1:17" s="96" customFormat="1" ht="30">
      <c r="A114" s="95"/>
      <c r="B114" s="87" t="s">
        <v>203</v>
      </c>
      <c r="C114" s="80" t="s">
        <v>60</v>
      </c>
      <c r="D114" s="81" t="s">
        <v>201</v>
      </c>
      <c r="E114" s="64">
        <f t="shared" si="30"/>
        <v>553055</v>
      </c>
      <c r="F114" s="88">
        <f>605063-9626-42382</f>
        <v>553055</v>
      </c>
      <c r="G114" s="88">
        <f>415979+34677-31279</f>
        <v>419377</v>
      </c>
      <c r="H114" s="64">
        <v>11415</v>
      </c>
      <c r="I114" s="70"/>
      <c r="J114" s="64">
        <f>K114+N114</f>
        <v>20000</v>
      </c>
      <c r="K114" s="70"/>
      <c r="L114" s="70"/>
      <c r="M114" s="70"/>
      <c r="N114" s="70">
        <v>20000</v>
      </c>
      <c r="O114" s="70">
        <v>20000</v>
      </c>
      <c r="P114" s="64">
        <f>E114+J114</f>
        <v>573055</v>
      </c>
      <c r="Q114" s="156"/>
    </row>
    <row r="115" spans="1:17" s="96" customFormat="1" ht="15">
      <c r="A115" s="95"/>
      <c r="B115" s="80"/>
      <c r="C115" s="80"/>
      <c r="D115" s="81" t="s">
        <v>96</v>
      </c>
      <c r="E115" s="64">
        <f t="shared" si="30"/>
        <v>530552</v>
      </c>
      <c r="F115" s="88">
        <f>540178-9626</f>
        <v>530552</v>
      </c>
      <c r="G115" s="88">
        <f>384700+34677</f>
        <v>419377</v>
      </c>
      <c r="H115" s="64">
        <v>11415</v>
      </c>
      <c r="I115" s="70"/>
      <c r="J115" s="64">
        <f>K115+N115</f>
        <v>0</v>
      </c>
      <c r="K115" s="70"/>
      <c r="L115" s="70"/>
      <c r="M115" s="70"/>
      <c r="N115" s="70"/>
      <c r="O115" s="70"/>
      <c r="P115" s="64">
        <f>E115+J115</f>
        <v>530552</v>
      </c>
      <c r="Q115" s="156"/>
    </row>
    <row r="116" spans="1:17" s="96" customFormat="1" ht="30">
      <c r="A116" s="95"/>
      <c r="B116" s="80" t="s">
        <v>204</v>
      </c>
      <c r="C116" s="80" t="s">
        <v>60</v>
      </c>
      <c r="D116" s="81" t="s">
        <v>202</v>
      </c>
      <c r="E116" s="64">
        <f t="shared" si="30"/>
        <v>1426094</v>
      </c>
      <c r="F116" s="64">
        <f>1276094+150000</f>
        <v>1426094</v>
      </c>
      <c r="G116" s="64"/>
      <c r="H116" s="64"/>
      <c r="I116" s="70"/>
      <c r="J116" s="64">
        <f>K116+N116</f>
        <v>0</v>
      </c>
      <c r="K116" s="70"/>
      <c r="L116" s="70"/>
      <c r="M116" s="70"/>
      <c r="N116" s="70"/>
      <c r="O116" s="70"/>
      <c r="P116" s="64">
        <f>E116+J116</f>
        <v>1426094</v>
      </c>
      <c r="Q116" s="156"/>
    </row>
    <row r="117" spans="1:17" s="96" customFormat="1" ht="15">
      <c r="A117" s="95"/>
      <c r="B117" s="79"/>
      <c r="C117" s="80"/>
      <c r="D117" s="81" t="s">
        <v>96</v>
      </c>
      <c r="E117" s="64">
        <f t="shared" si="30"/>
        <v>237513</v>
      </c>
      <c r="F117" s="64">
        <v>237513</v>
      </c>
      <c r="G117" s="64"/>
      <c r="H117" s="64"/>
      <c r="I117" s="70"/>
      <c r="J117" s="64">
        <f>K117+N117</f>
        <v>0</v>
      </c>
      <c r="K117" s="70"/>
      <c r="L117" s="70"/>
      <c r="M117" s="70"/>
      <c r="N117" s="70"/>
      <c r="O117" s="70"/>
      <c r="P117" s="64">
        <f>E117+J117</f>
        <v>237513</v>
      </c>
      <c r="Q117" s="156"/>
    </row>
    <row r="118" spans="1:17" s="26" customFormat="1" ht="28.5">
      <c r="A118" s="48"/>
      <c r="B118" s="57" t="s">
        <v>207</v>
      </c>
      <c r="C118" s="31"/>
      <c r="D118" s="32" t="s">
        <v>206</v>
      </c>
      <c r="E118" s="58">
        <f>E119</f>
        <v>707093315.0699999</v>
      </c>
      <c r="F118" s="58">
        <f aca="true" t="shared" si="35" ref="F118:P118">F119</f>
        <v>707093315.0699999</v>
      </c>
      <c r="G118" s="58">
        <f t="shared" si="35"/>
        <v>16370922.86</v>
      </c>
      <c r="H118" s="58">
        <f t="shared" si="35"/>
        <v>653269</v>
      </c>
      <c r="I118" s="58">
        <f t="shared" si="35"/>
        <v>0</v>
      </c>
      <c r="J118" s="58">
        <f t="shared" si="35"/>
        <v>911300</v>
      </c>
      <c r="K118" s="58">
        <f t="shared" si="35"/>
        <v>27800</v>
      </c>
      <c r="L118" s="58">
        <f t="shared" si="35"/>
        <v>18822</v>
      </c>
      <c r="M118" s="58">
        <f t="shared" si="35"/>
        <v>0</v>
      </c>
      <c r="N118" s="58">
        <f t="shared" si="35"/>
        <v>883500</v>
      </c>
      <c r="O118" s="58">
        <f t="shared" si="35"/>
        <v>883500</v>
      </c>
      <c r="P118" s="58">
        <f t="shared" si="35"/>
        <v>708004615.0699999</v>
      </c>
      <c r="Q118" s="156"/>
    </row>
    <row r="119" spans="1:17" s="96" customFormat="1" ht="30">
      <c r="A119" s="95"/>
      <c r="B119" s="104" t="s">
        <v>208</v>
      </c>
      <c r="C119" s="51"/>
      <c r="D119" s="52" t="s">
        <v>206</v>
      </c>
      <c r="E119" s="70">
        <f aca="true" t="shared" si="36" ref="E119:P119">E121+E149+E171+E175+E177+E181+E182+E186+E189+E192+E185+E122+E124+E139+E151+E172+E174</f>
        <v>707093315.0699999</v>
      </c>
      <c r="F119" s="70">
        <f t="shared" si="36"/>
        <v>707093315.0699999</v>
      </c>
      <c r="G119" s="70">
        <f t="shared" si="36"/>
        <v>16370922.86</v>
      </c>
      <c r="H119" s="70">
        <f t="shared" si="36"/>
        <v>653269</v>
      </c>
      <c r="I119" s="70">
        <f t="shared" si="36"/>
        <v>0</v>
      </c>
      <c r="J119" s="70">
        <f t="shared" si="36"/>
        <v>911300</v>
      </c>
      <c r="K119" s="70">
        <f t="shared" si="36"/>
        <v>27800</v>
      </c>
      <c r="L119" s="70">
        <f t="shared" si="36"/>
        <v>18822</v>
      </c>
      <c r="M119" s="70">
        <f t="shared" si="36"/>
        <v>0</v>
      </c>
      <c r="N119" s="70">
        <f t="shared" si="36"/>
        <v>883500</v>
      </c>
      <c r="O119" s="70">
        <f t="shared" si="36"/>
        <v>883500</v>
      </c>
      <c r="P119" s="70">
        <f t="shared" si="36"/>
        <v>708004615.0699999</v>
      </c>
      <c r="Q119" s="156"/>
    </row>
    <row r="120" spans="1:17" s="96" customFormat="1" ht="15">
      <c r="A120" s="95"/>
      <c r="B120" s="104"/>
      <c r="C120" s="51"/>
      <c r="D120" s="28" t="s">
        <v>41</v>
      </c>
      <c r="E120" s="70">
        <f aca="true" t="shared" si="37" ref="E120:P120">E123+E125+E140+E152+E173</f>
        <v>674554730</v>
      </c>
      <c r="F120" s="70">
        <f t="shared" si="37"/>
        <v>674554730</v>
      </c>
      <c r="G120" s="70">
        <f t="shared" si="37"/>
        <v>0</v>
      </c>
      <c r="H120" s="70">
        <f t="shared" si="37"/>
        <v>0</v>
      </c>
      <c r="I120" s="70">
        <f t="shared" si="37"/>
        <v>0</v>
      </c>
      <c r="J120" s="70">
        <f t="shared" si="37"/>
        <v>0</v>
      </c>
      <c r="K120" s="70">
        <f t="shared" si="37"/>
        <v>0</v>
      </c>
      <c r="L120" s="70">
        <f t="shared" si="37"/>
        <v>0</v>
      </c>
      <c r="M120" s="70">
        <f t="shared" si="37"/>
        <v>0</v>
      </c>
      <c r="N120" s="70">
        <f t="shared" si="37"/>
        <v>0</v>
      </c>
      <c r="O120" s="70">
        <f t="shared" si="37"/>
        <v>0</v>
      </c>
      <c r="P120" s="70">
        <f t="shared" si="37"/>
        <v>674554730</v>
      </c>
      <c r="Q120" s="156"/>
    </row>
    <row r="121" spans="1:17" s="26" customFormat="1" ht="45" customHeight="1">
      <c r="A121" s="48"/>
      <c r="B121" s="57" t="s">
        <v>209</v>
      </c>
      <c r="C121" s="45" t="s">
        <v>9</v>
      </c>
      <c r="D121" s="49" t="s">
        <v>100</v>
      </c>
      <c r="E121" s="73">
        <f>F121+I121</f>
        <v>14424045</v>
      </c>
      <c r="F121" s="93">
        <f>15846830-1812790+360005+30000</f>
        <v>14424045</v>
      </c>
      <c r="G121" s="93">
        <f>10990800-210790</f>
        <v>10780010</v>
      </c>
      <c r="H121" s="73">
        <v>369473</v>
      </c>
      <c r="I121" s="73"/>
      <c r="J121" s="73">
        <f>K121+N121</f>
        <v>200000</v>
      </c>
      <c r="K121" s="73"/>
      <c r="L121" s="73"/>
      <c r="M121" s="73"/>
      <c r="N121" s="73">
        <v>200000</v>
      </c>
      <c r="O121" s="73">
        <v>200000</v>
      </c>
      <c r="P121" s="73">
        <f>E121+J121</f>
        <v>14624045</v>
      </c>
      <c r="Q121" s="156"/>
    </row>
    <row r="122" spans="1:17" s="26" customFormat="1" ht="76.5" customHeight="1">
      <c r="A122" s="24"/>
      <c r="B122" s="36" t="s">
        <v>402</v>
      </c>
      <c r="C122" s="27" t="s">
        <v>403</v>
      </c>
      <c r="D122" s="28" t="s">
        <v>404</v>
      </c>
      <c r="E122" s="35">
        <f aca="true" t="shared" si="38" ref="E122:E141">F122+I122</f>
        <v>1678900</v>
      </c>
      <c r="F122" s="35">
        <v>1678900</v>
      </c>
      <c r="G122" s="35"/>
      <c r="H122" s="35"/>
      <c r="I122" s="35"/>
      <c r="J122" s="35"/>
      <c r="K122" s="35"/>
      <c r="L122" s="35"/>
      <c r="M122" s="35"/>
      <c r="N122" s="35"/>
      <c r="O122" s="35"/>
      <c r="P122" s="35">
        <f aca="true" t="shared" si="39" ref="P122:P138">E122+J122</f>
        <v>1678900</v>
      </c>
      <c r="Q122" s="156"/>
    </row>
    <row r="123" spans="1:17" s="26" customFormat="1" ht="20.25" customHeight="1">
      <c r="A123" s="24"/>
      <c r="B123" s="40"/>
      <c r="C123" s="27"/>
      <c r="D123" s="28" t="s">
        <v>41</v>
      </c>
      <c r="E123" s="35">
        <f t="shared" si="38"/>
        <v>1678900</v>
      </c>
      <c r="F123" s="35">
        <v>1678900</v>
      </c>
      <c r="G123" s="35"/>
      <c r="H123" s="35"/>
      <c r="I123" s="35"/>
      <c r="J123" s="35"/>
      <c r="K123" s="35"/>
      <c r="L123" s="35"/>
      <c r="M123" s="35"/>
      <c r="N123" s="35"/>
      <c r="O123" s="35"/>
      <c r="P123" s="35">
        <f t="shared" si="39"/>
        <v>1678900</v>
      </c>
      <c r="Q123" s="156"/>
    </row>
    <row r="124" spans="1:17" s="26" customFormat="1" ht="90">
      <c r="A124" s="24"/>
      <c r="B124" s="40">
        <v>1513010</v>
      </c>
      <c r="C124" s="27"/>
      <c r="D124" s="28" t="s">
        <v>405</v>
      </c>
      <c r="E124" s="35">
        <f>E126+E128+E131+E133+E135+E137</f>
        <v>412917900</v>
      </c>
      <c r="F124" s="35">
        <f aca="true" t="shared" si="40" ref="F124:P124">F126+F128+F131+F133+F135+F137</f>
        <v>412917900</v>
      </c>
      <c r="G124" s="35">
        <f t="shared" si="40"/>
        <v>0</v>
      </c>
      <c r="H124" s="35">
        <f t="shared" si="40"/>
        <v>0</v>
      </c>
      <c r="I124" s="35">
        <f t="shared" si="40"/>
        <v>0</v>
      </c>
      <c r="J124" s="35">
        <f t="shared" si="40"/>
        <v>0</v>
      </c>
      <c r="K124" s="35">
        <f t="shared" si="40"/>
        <v>0</v>
      </c>
      <c r="L124" s="35">
        <f t="shared" si="40"/>
        <v>0</v>
      </c>
      <c r="M124" s="35">
        <f t="shared" si="40"/>
        <v>0</v>
      </c>
      <c r="N124" s="35">
        <f t="shared" si="40"/>
        <v>0</v>
      </c>
      <c r="O124" s="35">
        <f t="shared" si="40"/>
        <v>0</v>
      </c>
      <c r="P124" s="35">
        <f t="shared" si="40"/>
        <v>412917900</v>
      </c>
      <c r="Q124" s="156">
        <v>80</v>
      </c>
    </row>
    <row r="125" spans="1:17" s="26" customFormat="1" ht="15">
      <c r="A125" s="24"/>
      <c r="B125" s="40"/>
      <c r="C125" s="27"/>
      <c r="D125" s="28" t="s">
        <v>41</v>
      </c>
      <c r="E125" s="35">
        <f>E127+E130+E132+E134+E136+E138</f>
        <v>412917900</v>
      </c>
      <c r="F125" s="35">
        <f aca="true" t="shared" si="41" ref="F125:P125">F127+F130+F132+F134+F136+F138</f>
        <v>412917900</v>
      </c>
      <c r="G125" s="35">
        <f t="shared" si="41"/>
        <v>0</v>
      </c>
      <c r="H125" s="35">
        <f t="shared" si="41"/>
        <v>0</v>
      </c>
      <c r="I125" s="35">
        <f t="shared" si="41"/>
        <v>0</v>
      </c>
      <c r="J125" s="35">
        <f t="shared" si="41"/>
        <v>0</v>
      </c>
      <c r="K125" s="35">
        <f t="shared" si="41"/>
        <v>0</v>
      </c>
      <c r="L125" s="35">
        <f t="shared" si="41"/>
        <v>0</v>
      </c>
      <c r="M125" s="35">
        <f t="shared" si="41"/>
        <v>0</v>
      </c>
      <c r="N125" s="35">
        <f t="shared" si="41"/>
        <v>0</v>
      </c>
      <c r="O125" s="35">
        <f t="shared" si="41"/>
        <v>0</v>
      </c>
      <c r="P125" s="35">
        <f t="shared" si="41"/>
        <v>412917900</v>
      </c>
      <c r="Q125" s="156"/>
    </row>
    <row r="126" spans="1:17" s="26" customFormat="1" ht="257.25" customHeight="1">
      <c r="A126" s="24"/>
      <c r="B126" s="79">
        <v>1513011</v>
      </c>
      <c r="C126" s="80" t="s">
        <v>406</v>
      </c>
      <c r="D126" s="81" t="s">
        <v>407</v>
      </c>
      <c r="E126" s="73">
        <f>F126+I126</f>
        <v>35619200</v>
      </c>
      <c r="F126" s="73">
        <v>35619200</v>
      </c>
      <c r="G126" s="73"/>
      <c r="H126" s="73"/>
      <c r="I126" s="73"/>
      <c r="J126" s="73"/>
      <c r="K126" s="73"/>
      <c r="L126" s="73"/>
      <c r="M126" s="73"/>
      <c r="N126" s="73"/>
      <c r="O126" s="73"/>
      <c r="P126" s="73">
        <f t="shared" si="39"/>
        <v>35619200</v>
      </c>
      <c r="Q126" s="156"/>
    </row>
    <row r="127" spans="1:17" s="26" customFormat="1" ht="24.75" customHeight="1">
      <c r="A127" s="24"/>
      <c r="B127" s="79"/>
      <c r="C127" s="80"/>
      <c r="D127" s="81" t="s">
        <v>41</v>
      </c>
      <c r="E127" s="73">
        <f>F127+I127</f>
        <v>35619200</v>
      </c>
      <c r="F127" s="73">
        <v>35619200</v>
      </c>
      <c r="G127" s="73"/>
      <c r="H127" s="73"/>
      <c r="I127" s="73"/>
      <c r="J127" s="73"/>
      <c r="K127" s="73"/>
      <c r="L127" s="73"/>
      <c r="M127" s="73"/>
      <c r="N127" s="73"/>
      <c r="O127" s="73"/>
      <c r="P127" s="73">
        <f t="shared" si="39"/>
        <v>35619200</v>
      </c>
      <c r="Q127" s="156"/>
    </row>
    <row r="128" spans="1:17" s="26" customFormat="1" ht="213" customHeight="1">
      <c r="A128" s="24"/>
      <c r="B128" s="162">
        <v>1513012</v>
      </c>
      <c r="C128" s="164" t="s">
        <v>408</v>
      </c>
      <c r="D128" s="118" t="s">
        <v>409</v>
      </c>
      <c r="E128" s="159">
        <f>F128+I128</f>
        <v>5469100</v>
      </c>
      <c r="F128" s="159">
        <v>5469100</v>
      </c>
      <c r="G128" s="119"/>
      <c r="H128" s="119"/>
      <c r="I128" s="119"/>
      <c r="J128" s="119"/>
      <c r="K128" s="119"/>
      <c r="L128" s="119"/>
      <c r="M128" s="119"/>
      <c r="N128" s="119"/>
      <c r="O128" s="119"/>
      <c r="P128" s="159">
        <f t="shared" si="39"/>
        <v>5469100</v>
      </c>
      <c r="Q128" s="156"/>
    </row>
    <row r="129" spans="1:17" s="26" customFormat="1" ht="300">
      <c r="A129" s="24"/>
      <c r="B129" s="163"/>
      <c r="C129" s="163"/>
      <c r="D129" s="120" t="s">
        <v>410</v>
      </c>
      <c r="E129" s="160"/>
      <c r="F129" s="160"/>
      <c r="G129" s="121"/>
      <c r="H129" s="121"/>
      <c r="I129" s="121"/>
      <c r="J129" s="121"/>
      <c r="K129" s="121"/>
      <c r="L129" s="121"/>
      <c r="M129" s="121"/>
      <c r="N129" s="121"/>
      <c r="O129" s="121"/>
      <c r="P129" s="160"/>
      <c r="Q129" s="156">
        <v>81</v>
      </c>
    </row>
    <row r="130" spans="1:17" s="26" customFormat="1" ht="15">
      <c r="A130" s="24"/>
      <c r="B130" s="79"/>
      <c r="C130" s="84"/>
      <c r="D130" s="81" t="s">
        <v>41</v>
      </c>
      <c r="E130" s="73">
        <f t="shared" si="38"/>
        <v>5469100</v>
      </c>
      <c r="F130" s="73">
        <v>5469100</v>
      </c>
      <c r="G130" s="73"/>
      <c r="H130" s="73"/>
      <c r="I130" s="73"/>
      <c r="J130" s="73"/>
      <c r="K130" s="73"/>
      <c r="L130" s="73"/>
      <c r="M130" s="73"/>
      <c r="N130" s="73"/>
      <c r="O130" s="73"/>
      <c r="P130" s="73">
        <f t="shared" si="39"/>
        <v>5469100</v>
      </c>
      <c r="Q130" s="156"/>
    </row>
    <row r="131" spans="1:17" s="26" customFormat="1" ht="112.5" customHeight="1">
      <c r="A131" s="24"/>
      <c r="B131" s="79">
        <v>1513013</v>
      </c>
      <c r="C131" s="80" t="s">
        <v>411</v>
      </c>
      <c r="D131" s="81" t="s">
        <v>412</v>
      </c>
      <c r="E131" s="73">
        <f t="shared" si="38"/>
        <v>4278400</v>
      </c>
      <c r="F131" s="73">
        <v>4278400</v>
      </c>
      <c r="G131" s="73"/>
      <c r="H131" s="73"/>
      <c r="I131" s="73"/>
      <c r="J131" s="73"/>
      <c r="K131" s="73"/>
      <c r="L131" s="73"/>
      <c r="M131" s="73"/>
      <c r="N131" s="73"/>
      <c r="O131" s="73"/>
      <c r="P131" s="73">
        <f t="shared" si="39"/>
        <v>4278400</v>
      </c>
      <c r="Q131" s="156"/>
    </row>
    <row r="132" spans="1:17" s="26" customFormat="1" ht="15">
      <c r="A132" s="24"/>
      <c r="B132" s="79"/>
      <c r="C132" s="80"/>
      <c r="D132" s="81" t="s">
        <v>41</v>
      </c>
      <c r="E132" s="73">
        <f t="shared" si="38"/>
        <v>4278400</v>
      </c>
      <c r="F132" s="73">
        <v>4278400</v>
      </c>
      <c r="G132" s="73"/>
      <c r="H132" s="73"/>
      <c r="I132" s="73"/>
      <c r="J132" s="73"/>
      <c r="K132" s="73"/>
      <c r="L132" s="73"/>
      <c r="M132" s="73"/>
      <c r="N132" s="73"/>
      <c r="O132" s="73"/>
      <c r="P132" s="73">
        <f t="shared" si="39"/>
        <v>4278400</v>
      </c>
      <c r="Q132" s="156"/>
    </row>
    <row r="133" spans="1:17" s="26" customFormat="1" ht="212.25" customHeight="1">
      <c r="A133" s="24"/>
      <c r="B133" s="79">
        <v>1513014</v>
      </c>
      <c r="C133" s="80" t="s">
        <v>413</v>
      </c>
      <c r="D133" s="81" t="s">
        <v>414</v>
      </c>
      <c r="E133" s="73">
        <f t="shared" si="38"/>
        <v>110300</v>
      </c>
      <c r="F133" s="73">
        <v>110300</v>
      </c>
      <c r="G133" s="73"/>
      <c r="H133" s="73"/>
      <c r="I133" s="73"/>
      <c r="J133" s="73"/>
      <c r="K133" s="73"/>
      <c r="L133" s="73"/>
      <c r="M133" s="73"/>
      <c r="N133" s="73"/>
      <c r="O133" s="73"/>
      <c r="P133" s="73">
        <f t="shared" si="39"/>
        <v>110300</v>
      </c>
      <c r="Q133" s="156"/>
    </row>
    <row r="134" spans="1:17" s="26" customFormat="1" ht="15">
      <c r="A134" s="24"/>
      <c r="B134" s="79"/>
      <c r="C134" s="80"/>
      <c r="D134" s="81" t="s">
        <v>41</v>
      </c>
      <c r="E134" s="73">
        <f t="shared" si="38"/>
        <v>110300</v>
      </c>
      <c r="F134" s="73">
        <v>110300</v>
      </c>
      <c r="G134" s="73"/>
      <c r="H134" s="73"/>
      <c r="I134" s="73"/>
      <c r="J134" s="73"/>
      <c r="K134" s="73"/>
      <c r="L134" s="73"/>
      <c r="M134" s="73"/>
      <c r="N134" s="73"/>
      <c r="O134" s="73"/>
      <c r="P134" s="73">
        <f t="shared" si="39"/>
        <v>110300</v>
      </c>
      <c r="Q134" s="156"/>
    </row>
    <row r="135" spans="1:17" s="26" customFormat="1" ht="30">
      <c r="A135" s="24"/>
      <c r="B135" s="79">
        <v>1513015</v>
      </c>
      <c r="C135" s="80" t="s">
        <v>415</v>
      </c>
      <c r="D135" s="81" t="s">
        <v>416</v>
      </c>
      <c r="E135" s="73">
        <f t="shared" si="38"/>
        <v>2195200</v>
      </c>
      <c r="F135" s="73">
        <v>2195200</v>
      </c>
      <c r="G135" s="73"/>
      <c r="H135" s="73"/>
      <c r="I135" s="73"/>
      <c r="J135" s="73"/>
      <c r="K135" s="73"/>
      <c r="L135" s="73"/>
      <c r="M135" s="73"/>
      <c r="N135" s="73"/>
      <c r="O135" s="73"/>
      <c r="P135" s="73">
        <f t="shared" si="39"/>
        <v>2195200</v>
      </c>
      <c r="Q135" s="156"/>
    </row>
    <row r="136" spans="1:17" s="26" customFormat="1" ht="15">
      <c r="A136" s="24"/>
      <c r="B136" s="79"/>
      <c r="C136" s="80"/>
      <c r="D136" s="81" t="s">
        <v>41</v>
      </c>
      <c r="E136" s="73">
        <f t="shared" si="38"/>
        <v>2195200</v>
      </c>
      <c r="F136" s="73">
        <v>2195200</v>
      </c>
      <c r="G136" s="73"/>
      <c r="H136" s="73"/>
      <c r="I136" s="73"/>
      <c r="J136" s="73"/>
      <c r="K136" s="73"/>
      <c r="L136" s="73"/>
      <c r="M136" s="73"/>
      <c r="N136" s="73"/>
      <c r="O136" s="73"/>
      <c r="P136" s="73">
        <f t="shared" si="39"/>
        <v>2195200</v>
      </c>
      <c r="Q136" s="156"/>
    </row>
    <row r="137" spans="1:17" s="26" customFormat="1" ht="45">
      <c r="A137" s="24"/>
      <c r="B137" s="79">
        <v>1513016</v>
      </c>
      <c r="C137" s="80" t="s">
        <v>417</v>
      </c>
      <c r="D137" s="81" t="s">
        <v>418</v>
      </c>
      <c r="E137" s="73">
        <f t="shared" si="38"/>
        <v>365245700</v>
      </c>
      <c r="F137" s="73">
        <v>365245700</v>
      </c>
      <c r="G137" s="73"/>
      <c r="H137" s="73"/>
      <c r="I137" s="73"/>
      <c r="J137" s="73"/>
      <c r="K137" s="73"/>
      <c r="L137" s="73"/>
      <c r="M137" s="73"/>
      <c r="N137" s="73"/>
      <c r="O137" s="73"/>
      <c r="P137" s="73">
        <f t="shared" si="39"/>
        <v>365245700</v>
      </c>
      <c r="Q137" s="156"/>
    </row>
    <row r="138" spans="1:17" s="26" customFormat="1" ht="15">
      <c r="A138" s="24"/>
      <c r="B138" s="79"/>
      <c r="C138" s="80"/>
      <c r="D138" s="81" t="s">
        <v>41</v>
      </c>
      <c r="E138" s="73">
        <f t="shared" si="38"/>
        <v>365245700</v>
      </c>
      <c r="F138" s="73">
        <v>365245700</v>
      </c>
      <c r="G138" s="73"/>
      <c r="H138" s="73"/>
      <c r="I138" s="73"/>
      <c r="J138" s="73"/>
      <c r="K138" s="73"/>
      <c r="L138" s="73"/>
      <c r="M138" s="73"/>
      <c r="N138" s="73"/>
      <c r="O138" s="73"/>
      <c r="P138" s="73">
        <f t="shared" si="39"/>
        <v>365245700</v>
      </c>
      <c r="Q138" s="156"/>
    </row>
    <row r="139" spans="1:17" s="26" customFormat="1" ht="40.5" customHeight="1">
      <c r="A139" s="24"/>
      <c r="B139" s="40">
        <v>1513020</v>
      </c>
      <c r="C139" s="85"/>
      <c r="D139" s="28" t="s">
        <v>419</v>
      </c>
      <c r="E139" s="35">
        <f>E141+E143+E145+E147</f>
        <v>164830</v>
      </c>
      <c r="F139" s="35">
        <f aca="true" t="shared" si="42" ref="F139:P139">F141+F143+F145+F147</f>
        <v>164830</v>
      </c>
      <c r="G139" s="35">
        <f t="shared" si="42"/>
        <v>0</v>
      </c>
      <c r="H139" s="35">
        <f t="shared" si="42"/>
        <v>0</v>
      </c>
      <c r="I139" s="35">
        <f t="shared" si="42"/>
        <v>0</v>
      </c>
      <c r="J139" s="35">
        <f t="shared" si="42"/>
        <v>0</v>
      </c>
      <c r="K139" s="35">
        <f t="shared" si="42"/>
        <v>0</v>
      </c>
      <c r="L139" s="35">
        <f t="shared" si="42"/>
        <v>0</v>
      </c>
      <c r="M139" s="35">
        <f t="shared" si="42"/>
        <v>0</v>
      </c>
      <c r="N139" s="35">
        <f t="shared" si="42"/>
        <v>0</v>
      </c>
      <c r="O139" s="35">
        <f t="shared" si="42"/>
        <v>0</v>
      </c>
      <c r="P139" s="35">
        <f t="shared" si="42"/>
        <v>164830</v>
      </c>
      <c r="Q139" s="156">
        <v>82</v>
      </c>
    </row>
    <row r="140" spans="1:17" s="26" customFormat="1" ht="15">
      <c r="A140" s="24"/>
      <c r="B140" s="40"/>
      <c r="C140" s="85"/>
      <c r="D140" s="28" t="s">
        <v>41</v>
      </c>
      <c r="E140" s="35">
        <f>E142+E144+E146+E148</f>
        <v>164830</v>
      </c>
      <c r="F140" s="35">
        <f aca="true" t="shared" si="43" ref="F140:P140">F142+F144+F146+F148</f>
        <v>164830</v>
      </c>
      <c r="G140" s="35">
        <f t="shared" si="43"/>
        <v>0</v>
      </c>
      <c r="H140" s="35">
        <f t="shared" si="43"/>
        <v>0</v>
      </c>
      <c r="I140" s="35">
        <f t="shared" si="43"/>
        <v>0</v>
      </c>
      <c r="J140" s="35">
        <f t="shared" si="43"/>
        <v>0</v>
      </c>
      <c r="K140" s="35">
        <f t="shared" si="43"/>
        <v>0</v>
      </c>
      <c r="L140" s="35">
        <f t="shared" si="43"/>
        <v>0</v>
      </c>
      <c r="M140" s="35">
        <f t="shared" si="43"/>
        <v>0</v>
      </c>
      <c r="N140" s="35">
        <f t="shared" si="43"/>
        <v>0</v>
      </c>
      <c r="O140" s="35">
        <f t="shared" si="43"/>
        <v>0</v>
      </c>
      <c r="P140" s="35">
        <f t="shared" si="43"/>
        <v>164830</v>
      </c>
      <c r="Q140" s="156"/>
    </row>
    <row r="141" spans="1:17" s="26" customFormat="1" ht="231.75" customHeight="1">
      <c r="A141" s="24"/>
      <c r="B141" s="79">
        <v>1513021</v>
      </c>
      <c r="C141" s="80" t="s">
        <v>420</v>
      </c>
      <c r="D141" s="81" t="s">
        <v>421</v>
      </c>
      <c r="E141" s="73">
        <f t="shared" si="38"/>
        <v>22188.3</v>
      </c>
      <c r="F141" s="73">
        <f>16975+5213.3</f>
        <v>22188.3</v>
      </c>
      <c r="G141" s="73"/>
      <c r="H141" s="73"/>
      <c r="I141" s="73"/>
      <c r="J141" s="73"/>
      <c r="K141" s="73"/>
      <c r="L141" s="73"/>
      <c r="M141" s="73"/>
      <c r="N141" s="73"/>
      <c r="O141" s="73"/>
      <c r="P141" s="73">
        <f aca="true" t="shared" si="44" ref="P141:P147">F141+J141</f>
        <v>22188.3</v>
      </c>
      <c r="Q141" s="156"/>
    </row>
    <row r="142" spans="1:17" s="26" customFormat="1" ht="15">
      <c r="A142" s="24"/>
      <c r="B142" s="79"/>
      <c r="C142" s="80"/>
      <c r="D142" s="81" t="s">
        <v>41</v>
      </c>
      <c r="E142" s="73">
        <f>F142+I142</f>
        <v>22188.3</v>
      </c>
      <c r="F142" s="73">
        <f>16975+5213.3</f>
        <v>22188.3</v>
      </c>
      <c r="G142" s="73"/>
      <c r="H142" s="73"/>
      <c r="I142" s="73"/>
      <c r="J142" s="73"/>
      <c r="K142" s="73"/>
      <c r="L142" s="73"/>
      <c r="M142" s="73"/>
      <c r="N142" s="73"/>
      <c r="O142" s="73"/>
      <c r="P142" s="73">
        <f t="shared" si="44"/>
        <v>22188.3</v>
      </c>
      <c r="Q142" s="156"/>
    </row>
    <row r="143" spans="1:17" s="26" customFormat="1" ht="120">
      <c r="A143" s="24"/>
      <c r="B143" s="79">
        <v>1513023</v>
      </c>
      <c r="C143" s="80" t="s">
        <v>427</v>
      </c>
      <c r="D143" s="81" t="s">
        <v>426</v>
      </c>
      <c r="E143" s="73">
        <f>F143-I143</f>
        <v>788</v>
      </c>
      <c r="F143" s="73">
        <v>788</v>
      </c>
      <c r="G143" s="73"/>
      <c r="H143" s="73"/>
      <c r="I143" s="73"/>
      <c r="J143" s="73"/>
      <c r="K143" s="73"/>
      <c r="L143" s="73"/>
      <c r="M143" s="73"/>
      <c r="N143" s="73"/>
      <c r="O143" s="73"/>
      <c r="P143" s="73">
        <f t="shared" si="44"/>
        <v>788</v>
      </c>
      <c r="Q143" s="156"/>
    </row>
    <row r="144" spans="1:17" s="26" customFormat="1" ht="15">
      <c r="A144" s="24"/>
      <c r="B144" s="79"/>
      <c r="C144" s="80"/>
      <c r="D144" s="81" t="s">
        <v>41</v>
      </c>
      <c r="E144" s="73">
        <f>F144-I144</f>
        <v>788</v>
      </c>
      <c r="F144" s="73">
        <v>788</v>
      </c>
      <c r="G144" s="73"/>
      <c r="H144" s="73"/>
      <c r="I144" s="73"/>
      <c r="J144" s="73"/>
      <c r="K144" s="73"/>
      <c r="L144" s="73"/>
      <c r="M144" s="73"/>
      <c r="N144" s="73"/>
      <c r="O144" s="73"/>
      <c r="P144" s="73">
        <f t="shared" si="44"/>
        <v>788</v>
      </c>
      <c r="Q144" s="156"/>
    </row>
    <row r="145" spans="1:17" s="26" customFormat="1" ht="45" customHeight="1">
      <c r="A145" s="24"/>
      <c r="B145" s="79">
        <v>1513025</v>
      </c>
      <c r="C145" s="86" t="s">
        <v>422</v>
      </c>
      <c r="D145" s="81" t="s">
        <v>423</v>
      </c>
      <c r="E145" s="73">
        <f>F145+I145</f>
        <v>7515.26</v>
      </c>
      <c r="F145" s="73">
        <f>4412+3103.26</f>
        <v>7515.26</v>
      </c>
      <c r="G145" s="73"/>
      <c r="H145" s="73"/>
      <c r="I145" s="73"/>
      <c r="J145" s="73"/>
      <c r="K145" s="73"/>
      <c r="L145" s="73"/>
      <c r="M145" s="73"/>
      <c r="N145" s="73"/>
      <c r="O145" s="73"/>
      <c r="P145" s="73">
        <f t="shared" si="44"/>
        <v>7515.26</v>
      </c>
      <c r="Q145" s="156"/>
    </row>
    <row r="146" spans="1:17" s="26" customFormat="1" ht="15">
      <c r="A146" s="24"/>
      <c r="B146" s="79"/>
      <c r="C146" s="86"/>
      <c r="D146" s="81" t="s">
        <v>41</v>
      </c>
      <c r="E146" s="73">
        <f>F146+I146</f>
        <v>7515.26</v>
      </c>
      <c r="F146" s="73">
        <f>4412+3103.26</f>
        <v>7515.26</v>
      </c>
      <c r="G146" s="73"/>
      <c r="H146" s="73"/>
      <c r="I146" s="73"/>
      <c r="J146" s="73"/>
      <c r="K146" s="73"/>
      <c r="L146" s="73"/>
      <c r="M146" s="73"/>
      <c r="N146" s="73"/>
      <c r="O146" s="73"/>
      <c r="P146" s="73">
        <f t="shared" si="44"/>
        <v>7515.26</v>
      </c>
      <c r="Q146" s="156"/>
    </row>
    <row r="147" spans="1:17" s="26" customFormat="1" ht="60">
      <c r="A147" s="24"/>
      <c r="B147" s="79">
        <v>1513026</v>
      </c>
      <c r="C147" s="80" t="s">
        <v>424</v>
      </c>
      <c r="D147" s="81" t="s">
        <v>425</v>
      </c>
      <c r="E147" s="73">
        <f>F147+I147</f>
        <v>134338.44</v>
      </c>
      <c r="F147" s="73">
        <f>82655+51683.44</f>
        <v>134338.44</v>
      </c>
      <c r="G147" s="73"/>
      <c r="H147" s="73"/>
      <c r="I147" s="73"/>
      <c r="J147" s="73"/>
      <c r="K147" s="73"/>
      <c r="L147" s="73"/>
      <c r="M147" s="73"/>
      <c r="N147" s="73"/>
      <c r="O147" s="73"/>
      <c r="P147" s="73">
        <f t="shared" si="44"/>
        <v>134338.44</v>
      </c>
      <c r="Q147" s="156"/>
    </row>
    <row r="148" spans="1:17" s="26" customFormat="1" ht="15">
      <c r="A148" s="24"/>
      <c r="B148" s="79"/>
      <c r="C148" s="80"/>
      <c r="D148" s="81" t="s">
        <v>41</v>
      </c>
      <c r="E148" s="73">
        <f>F148+I148</f>
        <v>134338.44</v>
      </c>
      <c r="F148" s="73">
        <f>82655+51683.44</f>
        <v>134338.44</v>
      </c>
      <c r="G148" s="73"/>
      <c r="H148" s="73"/>
      <c r="I148" s="73"/>
      <c r="J148" s="73"/>
      <c r="K148" s="73"/>
      <c r="L148" s="73"/>
      <c r="M148" s="73"/>
      <c r="N148" s="73"/>
      <c r="O148" s="73"/>
      <c r="P148" s="73">
        <f>F148+J148</f>
        <v>134338.44</v>
      </c>
      <c r="Q148" s="156"/>
    </row>
    <row r="149" spans="1:18" s="44" customFormat="1" ht="210">
      <c r="A149" s="55"/>
      <c r="B149" s="40">
        <v>1513030</v>
      </c>
      <c r="D149" s="28" t="s">
        <v>210</v>
      </c>
      <c r="E149" s="47">
        <f>E150</f>
        <v>130000</v>
      </c>
      <c r="F149" s="47">
        <f aca="true" t="shared" si="45" ref="F149:P149">F150</f>
        <v>130000</v>
      </c>
      <c r="G149" s="47">
        <f t="shared" si="45"/>
        <v>0</v>
      </c>
      <c r="H149" s="47">
        <f t="shared" si="45"/>
        <v>0</v>
      </c>
      <c r="I149" s="47">
        <f t="shared" si="45"/>
        <v>0</v>
      </c>
      <c r="J149" s="47">
        <f t="shared" si="45"/>
        <v>0</v>
      </c>
      <c r="K149" s="47">
        <f t="shared" si="45"/>
        <v>0</v>
      </c>
      <c r="L149" s="47">
        <f t="shared" si="45"/>
        <v>0</v>
      </c>
      <c r="M149" s="47">
        <f t="shared" si="45"/>
        <v>0</v>
      </c>
      <c r="N149" s="47">
        <f t="shared" si="45"/>
        <v>0</v>
      </c>
      <c r="O149" s="47">
        <f t="shared" si="45"/>
        <v>0</v>
      </c>
      <c r="P149" s="47">
        <f t="shared" si="45"/>
        <v>130000</v>
      </c>
      <c r="Q149" s="156"/>
      <c r="R149" s="56"/>
    </row>
    <row r="150" spans="1:17" s="83" customFormat="1" ht="45">
      <c r="A150" s="82"/>
      <c r="B150" s="79">
        <v>1513038</v>
      </c>
      <c r="C150" s="80" t="s">
        <v>72</v>
      </c>
      <c r="D150" s="81" t="s">
        <v>73</v>
      </c>
      <c r="E150" s="64">
        <f>F150+I150</f>
        <v>130000</v>
      </c>
      <c r="F150" s="64">
        <v>130000</v>
      </c>
      <c r="G150" s="70"/>
      <c r="H150" s="70"/>
      <c r="I150" s="70"/>
      <c r="J150" s="71">
        <f>K150+N150</f>
        <v>0</v>
      </c>
      <c r="K150" s="70"/>
      <c r="L150" s="70"/>
      <c r="M150" s="70"/>
      <c r="N150" s="70"/>
      <c r="O150" s="70"/>
      <c r="P150" s="64">
        <f>E150+J150</f>
        <v>130000</v>
      </c>
      <c r="Q150" s="156">
        <v>83</v>
      </c>
    </row>
    <row r="151" spans="1:17" s="83" customFormat="1" ht="60">
      <c r="A151" s="82"/>
      <c r="B151" s="122">
        <v>1513040</v>
      </c>
      <c r="C151" s="108"/>
      <c r="D151" s="49" t="s">
        <v>381</v>
      </c>
      <c r="E151" s="73">
        <f>E153+E155+E157+E159+E161+E163+E165+E167+E169</f>
        <v>252564100</v>
      </c>
      <c r="F151" s="73">
        <f aca="true" t="shared" si="46" ref="F151:P151">F153+F155+F157+F159+F161+F163+F165+F167+F169</f>
        <v>252564100</v>
      </c>
      <c r="G151" s="73">
        <f t="shared" si="46"/>
        <v>0</v>
      </c>
      <c r="H151" s="73">
        <f t="shared" si="46"/>
        <v>0</v>
      </c>
      <c r="I151" s="73">
        <f t="shared" si="46"/>
        <v>0</v>
      </c>
      <c r="J151" s="73">
        <f t="shared" si="46"/>
        <v>0</v>
      </c>
      <c r="K151" s="73">
        <f t="shared" si="46"/>
        <v>0</v>
      </c>
      <c r="L151" s="73">
        <f t="shared" si="46"/>
        <v>0</v>
      </c>
      <c r="M151" s="73">
        <f t="shared" si="46"/>
        <v>0</v>
      </c>
      <c r="N151" s="73">
        <f t="shared" si="46"/>
        <v>0</v>
      </c>
      <c r="O151" s="73">
        <f t="shared" si="46"/>
        <v>0</v>
      </c>
      <c r="P151" s="73">
        <f t="shared" si="46"/>
        <v>252564100</v>
      </c>
      <c r="Q151" s="156"/>
    </row>
    <row r="152" spans="1:17" s="83" customFormat="1" ht="15">
      <c r="A152" s="82"/>
      <c r="B152" s="108"/>
      <c r="C152" s="108"/>
      <c r="D152" s="49" t="s">
        <v>41</v>
      </c>
      <c r="E152" s="73">
        <f>E154+E156+E158+E160+E162+E164+E166+E168+E170</f>
        <v>252564100</v>
      </c>
      <c r="F152" s="73">
        <f aca="true" t="shared" si="47" ref="F152:P152">F154+F156+F158+F160+F162+F164+F166+F168+F170</f>
        <v>252564100</v>
      </c>
      <c r="G152" s="73">
        <f t="shared" si="47"/>
        <v>0</v>
      </c>
      <c r="H152" s="73">
        <f t="shared" si="47"/>
        <v>0</v>
      </c>
      <c r="I152" s="73">
        <f t="shared" si="47"/>
        <v>0</v>
      </c>
      <c r="J152" s="73">
        <f t="shared" si="47"/>
        <v>0</v>
      </c>
      <c r="K152" s="73">
        <f t="shared" si="47"/>
        <v>0</v>
      </c>
      <c r="L152" s="73">
        <f t="shared" si="47"/>
        <v>0</v>
      </c>
      <c r="M152" s="73">
        <f t="shared" si="47"/>
        <v>0</v>
      </c>
      <c r="N152" s="73">
        <f t="shared" si="47"/>
        <v>0</v>
      </c>
      <c r="O152" s="73">
        <f t="shared" si="47"/>
        <v>0</v>
      </c>
      <c r="P152" s="73">
        <f t="shared" si="47"/>
        <v>252564100</v>
      </c>
      <c r="Q152" s="156"/>
    </row>
    <row r="153" spans="1:17" s="83" customFormat="1" ht="30">
      <c r="A153" s="82"/>
      <c r="B153" s="79">
        <v>1513041</v>
      </c>
      <c r="C153" s="80" t="s">
        <v>382</v>
      </c>
      <c r="D153" s="81" t="s">
        <v>383</v>
      </c>
      <c r="E153" s="64">
        <f aca="true" t="shared" si="48" ref="E153:E170">F153+I153</f>
        <v>2957400</v>
      </c>
      <c r="F153" s="64">
        <v>2957400</v>
      </c>
      <c r="G153" s="70"/>
      <c r="H153" s="70"/>
      <c r="I153" s="70"/>
      <c r="J153" s="71"/>
      <c r="K153" s="70"/>
      <c r="L153" s="70"/>
      <c r="M153" s="70"/>
      <c r="N153" s="70"/>
      <c r="O153" s="70"/>
      <c r="P153" s="64">
        <f aca="true" t="shared" si="49" ref="P153:P168">E153+J153</f>
        <v>2957400</v>
      </c>
      <c r="Q153" s="156"/>
    </row>
    <row r="154" spans="1:17" s="83" customFormat="1" ht="15">
      <c r="A154" s="82"/>
      <c r="B154" s="79"/>
      <c r="C154" s="80"/>
      <c r="D154" s="81" t="s">
        <v>41</v>
      </c>
      <c r="E154" s="64">
        <f t="shared" si="48"/>
        <v>2957400</v>
      </c>
      <c r="F154" s="64">
        <v>2957400</v>
      </c>
      <c r="G154" s="70"/>
      <c r="H154" s="70"/>
      <c r="I154" s="70"/>
      <c r="J154" s="71"/>
      <c r="K154" s="70"/>
      <c r="L154" s="70"/>
      <c r="M154" s="70"/>
      <c r="N154" s="70"/>
      <c r="O154" s="70"/>
      <c r="P154" s="64">
        <f t="shared" si="49"/>
        <v>2957400</v>
      </c>
      <c r="Q154" s="156"/>
    </row>
    <row r="155" spans="1:17" s="83" customFormat="1" ht="30">
      <c r="A155" s="82"/>
      <c r="B155" s="79">
        <v>1513042</v>
      </c>
      <c r="C155" s="80" t="s">
        <v>384</v>
      </c>
      <c r="D155" s="81" t="s">
        <v>385</v>
      </c>
      <c r="E155" s="64">
        <f t="shared" si="48"/>
        <v>2340000</v>
      </c>
      <c r="F155" s="64">
        <v>2340000</v>
      </c>
      <c r="G155" s="70"/>
      <c r="H155" s="70"/>
      <c r="I155" s="70"/>
      <c r="J155" s="71"/>
      <c r="K155" s="70"/>
      <c r="L155" s="70"/>
      <c r="M155" s="70"/>
      <c r="N155" s="70"/>
      <c r="O155" s="70"/>
      <c r="P155" s="64">
        <f t="shared" si="49"/>
        <v>2340000</v>
      </c>
      <c r="Q155" s="156"/>
    </row>
    <row r="156" spans="1:17" s="83" customFormat="1" ht="15">
      <c r="A156" s="82"/>
      <c r="B156" s="79"/>
      <c r="C156" s="80"/>
      <c r="D156" s="81" t="s">
        <v>41</v>
      </c>
      <c r="E156" s="64">
        <f t="shared" si="48"/>
        <v>2340000</v>
      </c>
      <c r="F156" s="64">
        <v>2340000</v>
      </c>
      <c r="G156" s="70"/>
      <c r="H156" s="70"/>
      <c r="I156" s="70"/>
      <c r="J156" s="71"/>
      <c r="K156" s="70"/>
      <c r="L156" s="70"/>
      <c r="M156" s="70"/>
      <c r="N156" s="70"/>
      <c r="O156" s="70"/>
      <c r="P156" s="64">
        <f t="shared" si="49"/>
        <v>2340000</v>
      </c>
      <c r="Q156" s="156"/>
    </row>
    <row r="157" spans="1:17" s="83" customFormat="1" ht="30">
      <c r="A157" s="82"/>
      <c r="B157" s="79">
        <v>1513043</v>
      </c>
      <c r="C157" s="80" t="s">
        <v>386</v>
      </c>
      <c r="D157" s="81" t="s">
        <v>387</v>
      </c>
      <c r="E157" s="64">
        <f t="shared" si="48"/>
        <v>132914300</v>
      </c>
      <c r="F157" s="64">
        <v>132914300</v>
      </c>
      <c r="G157" s="70"/>
      <c r="H157" s="70"/>
      <c r="I157" s="70"/>
      <c r="J157" s="71"/>
      <c r="K157" s="70"/>
      <c r="L157" s="70"/>
      <c r="M157" s="70"/>
      <c r="N157" s="70"/>
      <c r="O157" s="70"/>
      <c r="P157" s="64">
        <f t="shared" si="49"/>
        <v>132914300</v>
      </c>
      <c r="Q157" s="156"/>
    </row>
    <row r="158" spans="1:17" s="83" customFormat="1" ht="15">
      <c r="A158" s="82"/>
      <c r="B158" s="79"/>
      <c r="C158" s="80"/>
      <c r="D158" s="81" t="s">
        <v>41</v>
      </c>
      <c r="E158" s="64">
        <f t="shared" si="48"/>
        <v>132914300</v>
      </c>
      <c r="F158" s="64">
        <v>132914300</v>
      </c>
      <c r="G158" s="70"/>
      <c r="H158" s="70"/>
      <c r="I158" s="70"/>
      <c r="J158" s="71"/>
      <c r="K158" s="70"/>
      <c r="L158" s="70"/>
      <c r="M158" s="70"/>
      <c r="N158" s="70"/>
      <c r="O158" s="70"/>
      <c r="P158" s="64">
        <f t="shared" si="49"/>
        <v>132914300</v>
      </c>
      <c r="Q158" s="156"/>
    </row>
    <row r="159" spans="1:17" s="83" customFormat="1" ht="30">
      <c r="A159" s="82"/>
      <c r="B159" s="79">
        <v>1513044</v>
      </c>
      <c r="C159" s="80" t="s">
        <v>388</v>
      </c>
      <c r="D159" s="81" t="s">
        <v>389</v>
      </c>
      <c r="E159" s="64">
        <f t="shared" si="48"/>
        <v>4769000</v>
      </c>
      <c r="F159" s="64">
        <v>4769000</v>
      </c>
      <c r="G159" s="70"/>
      <c r="H159" s="70"/>
      <c r="I159" s="70"/>
      <c r="J159" s="71"/>
      <c r="K159" s="70"/>
      <c r="L159" s="70"/>
      <c r="M159" s="70"/>
      <c r="N159" s="70"/>
      <c r="O159" s="70"/>
      <c r="P159" s="64">
        <f t="shared" si="49"/>
        <v>4769000</v>
      </c>
      <c r="Q159" s="156"/>
    </row>
    <row r="160" spans="1:17" s="83" customFormat="1" ht="15">
      <c r="A160" s="82"/>
      <c r="B160" s="79"/>
      <c r="C160" s="80"/>
      <c r="D160" s="81" t="s">
        <v>41</v>
      </c>
      <c r="E160" s="64">
        <f t="shared" si="48"/>
        <v>4769000</v>
      </c>
      <c r="F160" s="64">
        <v>4769000</v>
      </c>
      <c r="G160" s="70"/>
      <c r="H160" s="70"/>
      <c r="I160" s="70"/>
      <c r="J160" s="71"/>
      <c r="K160" s="70"/>
      <c r="L160" s="70"/>
      <c r="M160" s="70"/>
      <c r="N160" s="70"/>
      <c r="O160" s="70"/>
      <c r="P160" s="64">
        <f t="shared" si="49"/>
        <v>4769000</v>
      </c>
      <c r="Q160" s="156"/>
    </row>
    <row r="161" spans="1:17" s="83" customFormat="1" ht="30">
      <c r="A161" s="82"/>
      <c r="B161" s="79">
        <v>1513045</v>
      </c>
      <c r="C161" s="80" t="s">
        <v>390</v>
      </c>
      <c r="D161" s="81" t="s">
        <v>391</v>
      </c>
      <c r="E161" s="64">
        <f t="shared" si="48"/>
        <v>22750500</v>
      </c>
      <c r="F161" s="64">
        <v>22750500</v>
      </c>
      <c r="G161" s="70"/>
      <c r="H161" s="70"/>
      <c r="I161" s="70"/>
      <c r="J161" s="71"/>
      <c r="K161" s="70"/>
      <c r="L161" s="70"/>
      <c r="M161" s="70"/>
      <c r="N161" s="70"/>
      <c r="O161" s="70"/>
      <c r="P161" s="64">
        <f t="shared" si="49"/>
        <v>22750500</v>
      </c>
      <c r="Q161" s="156"/>
    </row>
    <row r="162" spans="1:17" s="83" customFormat="1" ht="15">
      <c r="A162" s="82"/>
      <c r="B162" s="79"/>
      <c r="C162" s="80"/>
      <c r="D162" s="81" t="s">
        <v>41</v>
      </c>
      <c r="E162" s="64">
        <f t="shared" si="48"/>
        <v>22750500</v>
      </c>
      <c r="F162" s="64">
        <v>22750500</v>
      </c>
      <c r="G162" s="70"/>
      <c r="H162" s="70"/>
      <c r="I162" s="70"/>
      <c r="J162" s="71"/>
      <c r="K162" s="70"/>
      <c r="L162" s="70"/>
      <c r="M162" s="70"/>
      <c r="N162" s="70"/>
      <c r="O162" s="70"/>
      <c r="P162" s="64">
        <f t="shared" si="49"/>
        <v>22750500</v>
      </c>
      <c r="Q162" s="156"/>
    </row>
    <row r="163" spans="1:17" s="83" customFormat="1" ht="30">
      <c r="A163" s="82"/>
      <c r="B163" s="79">
        <v>1513046</v>
      </c>
      <c r="C163" s="80" t="s">
        <v>392</v>
      </c>
      <c r="D163" s="81" t="s">
        <v>393</v>
      </c>
      <c r="E163" s="64">
        <f t="shared" si="48"/>
        <v>2174200</v>
      </c>
      <c r="F163" s="64">
        <v>2174200</v>
      </c>
      <c r="G163" s="70"/>
      <c r="H163" s="70"/>
      <c r="I163" s="70"/>
      <c r="J163" s="71"/>
      <c r="K163" s="70"/>
      <c r="L163" s="70"/>
      <c r="M163" s="70"/>
      <c r="N163" s="70"/>
      <c r="O163" s="70"/>
      <c r="P163" s="64">
        <f t="shared" si="49"/>
        <v>2174200</v>
      </c>
      <c r="Q163" s="156"/>
    </row>
    <row r="164" spans="1:17" s="83" customFormat="1" ht="15">
      <c r="A164" s="82"/>
      <c r="B164" s="79"/>
      <c r="C164" s="80"/>
      <c r="D164" s="81" t="s">
        <v>41</v>
      </c>
      <c r="E164" s="64">
        <f t="shared" si="48"/>
        <v>2174200</v>
      </c>
      <c r="F164" s="64">
        <v>2174200</v>
      </c>
      <c r="G164" s="70"/>
      <c r="H164" s="70"/>
      <c r="I164" s="70"/>
      <c r="J164" s="71"/>
      <c r="K164" s="70"/>
      <c r="L164" s="70"/>
      <c r="M164" s="70"/>
      <c r="N164" s="70"/>
      <c r="O164" s="70"/>
      <c r="P164" s="64">
        <f t="shared" si="49"/>
        <v>2174200</v>
      </c>
      <c r="Q164" s="156"/>
    </row>
    <row r="165" spans="1:17" s="83" customFormat="1" ht="30">
      <c r="A165" s="82"/>
      <c r="B165" s="79">
        <v>1513047</v>
      </c>
      <c r="C165" s="80" t="s">
        <v>394</v>
      </c>
      <c r="D165" s="81" t="s">
        <v>395</v>
      </c>
      <c r="E165" s="64">
        <f t="shared" si="48"/>
        <v>312200</v>
      </c>
      <c r="F165" s="64">
        <v>312200</v>
      </c>
      <c r="G165" s="70"/>
      <c r="H165" s="70"/>
      <c r="I165" s="70"/>
      <c r="J165" s="71"/>
      <c r="K165" s="70"/>
      <c r="L165" s="70"/>
      <c r="M165" s="70"/>
      <c r="N165" s="70"/>
      <c r="O165" s="70"/>
      <c r="P165" s="64">
        <f t="shared" si="49"/>
        <v>312200</v>
      </c>
      <c r="Q165" s="156"/>
    </row>
    <row r="166" spans="1:17" s="83" customFormat="1" ht="15">
      <c r="A166" s="82"/>
      <c r="B166" s="79"/>
      <c r="C166" s="80"/>
      <c r="D166" s="81" t="s">
        <v>41</v>
      </c>
      <c r="E166" s="64">
        <f t="shared" si="48"/>
        <v>312200</v>
      </c>
      <c r="F166" s="64">
        <v>312200</v>
      </c>
      <c r="G166" s="70"/>
      <c r="H166" s="70"/>
      <c r="I166" s="70"/>
      <c r="J166" s="71"/>
      <c r="K166" s="70"/>
      <c r="L166" s="70"/>
      <c r="M166" s="70"/>
      <c r="N166" s="70"/>
      <c r="O166" s="70"/>
      <c r="P166" s="64">
        <f t="shared" si="49"/>
        <v>312200</v>
      </c>
      <c r="Q166" s="156"/>
    </row>
    <row r="167" spans="1:17" s="83" customFormat="1" ht="30">
      <c r="A167" s="82"/>
      <c r="B167" s="79">
        <v>1513048</v>
      </c>
      <c r="C167" s="80" t="s">
        <v>396</v>
      </c>
      <c r="D167" s="81" t="s">
        <v>397</v>
      </c>
      <c r="E167" s="64">
        <f t="shared" si="48"/>
        <v>41101000</v>
      </c>
      <c r="F167" s="64">
        <v>41101000</v>
      </c>
      <c r="G167" s="70"/>
      <c r="H167" s="70"/>
      <c r="I167" s="70"/>
      <c r="J167" s="71"/>
      <c r="K167" s="70"/>
      <c r="L167" s="70"/>
      <c r="M167" s="70"/>
      <c r="N167" s="70"/>
      <c r="O167" s="70"/>
      <c r="P167" s="64">
        <f t="shared" si="49"/>
        <v>41101000</v>
      </c>
      <c r="Q167" s="156"/>
    </row>
    <row r="168" spans="1:17" s="83" customFormat="1" ht="15">
      <c r="A168" s="82"/>
      <c r="B168" s="79"/>
      <c r="C168" s="80"/>
      <c r="D168" s="81" t="s">
        <v>41</v>
      </c>
      <c r="E168" s="64">
        <f t="shared" si="48"/>
        <v>41101000</v>
      </c>
      <c r="F168" s="64">
        <v>41101000</v>
      </c>
      <c r="G168" s="70"/>
      <c r="H168" s="70"/>
      <c r="I168" s="70"/>
      <c r="J168" s="71"/>
      <c r="K168" s="70"/>
      <c r="L168" s="70"/>
      <c r="M168" s="70"/>
      <c r="N168" s="70"/>
      <c r="O168" s="70"/>
      <c r="P168" s="64">
        <f t="shared" si="49"/>
        <v>41101000</v>
      </c>
      <c r="Q168" s="156"/>
    </row>
    <row r="169" spans="1:17" s="83" customFormat="1" ht="45">
      <c r="A169" s="82"/>
      <c r="B169" s="79">
        <v>1513049</v>
      </c>
      <c r="C169" s="80" t="s">
        <v>398</v>
      </c>
      <c r="D169" s="81" t="s">
        <v>399</v>
      </c>
      <c r="E169" s="64">
        <f t="shared" si="48"/>
        <v>43245500</v>
      </c>
      <c r="F169" s="64">
        <v>43245500</v>
      </c>
      <c r="G169" s="70"/>
      <c r="H169" s="70"/>
      <c r="I169" s="70"/>
      <c r="J169" s="71"/>
      <c r="K169" s="70"/>
      <c r="L169" s="70"/>
      <c r="M169" s="70"/>
      <c r="N169" s="70"/>
      <c r="O169" s="70"/>
      <c r="P169" s="64">
        <f aca="true" t="shared" si="50" ref="P169:P174">E169+J169</f>
        <v>43245500</v>
      </c>
      <c r="Q169" s="156"/>
    </row>
    <row r="170" spans="1:17" s="83" customFormat="1" ht="15">
      <c r="A170" s="82"/>
      <c r="B170" s="79"/>
      <c r="C170" s="80"/>
      <c r="D170" s="81" t="s">
        <v>41</v>
      </c>
      <c r="E170" s="64">
        <f t="shared" si="48"/>
        <v>43245500</v>
      </c>
      <c r="F170" s="64">
        <v>43245500</v>
      </c>
      <c r="G170" s="70"/>
      <c r="H170" s="70"/>
      <c r="I170" s="70"/>
      <c r="J170" s="71"/>
      <c r="K170" s="70"/>
      <c r="L170" s="70"/>
      <c r="M170" s="70"/>
      <c r="N170" s="70"/>
      <c r="O170" s="70"/>
      <c r="P170" s="64">
        <f t="shared" si="50"/>
        <v>43245500</v>
      </c>
      <c r="Q170" s="156"/>
    </row>
    <row r="171" spans="1:17" s="26" customFormat="1" ht="45">
      <c r="A171" s="48"/>
      <c r="B171" s="54">
        <v>1513050</v>
      </c>
      <c r="C171" s="45" t="s">
        <v>63</v>
      </c>
      <c r="D171" s="49" t="s">
        <v>211</v>
      </c>
      <c r="E171" s="73">
        <f>F171+I171</f>
        <v>882700</v>
      </c>
      <c r="F171" s="93">
        <f>250000+382700+240900+9100</f>
        <v>882700</v>
      </c>
      <c r="G171" s="73"/>
      <c r="H171" s="73"/>
      <c r="I171" s="73"/>
      <c r="J171" s="123">
        <f>K171+N171</f>
        <v>0</v>
      </c>
      <c r="K171" s="73"/>
      <c r="L171" s="73"/>
      <c r="M171" s="73"/>
      <c r="N171" s="73"/>
      <c r="O171" s="73"/>
      <c r="P171" s="73">
        <f t="shared" si="50"/>
        <v>882700</v>
      </c>
      <c r="Q171" s="156"/>
    </row>
    <row r="172" spans="1:17" s="26" customFormat="1" ht="30">
      <c r="A172" s="24"/>
      <c r="B172" s="92">
        <v>1513080</v>
      </c>
      <c r="C172" s="27" t="s">
        <v>400</v>
      </c>
      <c r="D172" s="28" t="s">
        <v>401</v>
      </c>
      <c r="E172" s="35">
        <f>F172+I172</f>
        <v>7229000</v>
      </c>
      <c r="F172" s="35">
        <v>7229000</v>
      </c>
      <c r="G172" s="35"/>
      <c r="H172" s="35"/>
      <c r="I172" s="35"/>
      <c r="J172" s="72"/>
      <c r="K172" s="35"/>
      <c r="L172" s="35"/>
      <c r="M172" s="35"/>
      <c r="N172" s="35"/>
      <c r="O172" s="35"/>
      <c r="P172" s="35">
        <f t="shared" si="50"/>
        <v>7229000</v>
      </c>
      <c r="Q172" s="156"/>
    </row>
    <row r="173" spans="1:17" s="26" customFormat="1" ht="15">
      <c r="A173" s="24"/>
      <c r="B173" s="92"/>
      <c r="C173" s="27"/>
      <c r="D173" s="28" t="s">
        <v>41</v>
      </c>
      <c r="E173" s="35">
        <f>F173+I173</f>
        <v>7229000</v>
      </c>
      <c r="F173" s="35">
        <v>7229000</v>
      </c>
      <c r="G173" s="35"/>
      <c r="H173" s="35"/>
      <c r="I173" s="35"/>
      <c r="J173" s="72"/>
      <c r="K173" s="35"/>
      <c r="L173" s="35"/>
      <c r="M173" s="35"/>
      <c r="N173" s="35"/>
      <c r="O173" s="35"/>
      <c r="P173" s="35">
        <f t="shared" si="50"/>
        <v>7229000</v>
      </c>
      <c r="Q173" s="156"/>
    </row>
    <row r="174" spans="1:17" s="26" customFormat="1" ht="30">
      <c r="A174" s="24"/>
      <c r="B174" s="92">
        <v>1513090</v>
      </c>
      <c r="C174" s="27" t="s">
        <v>375</v>
      </c>
      <c r="D174" s="28" t="s">
        <v>376</v>
      </c>
      <c r="E174" s="35">
        <f>F174+I174</f>
        <v>181400</v>
      </c>
      <c r="F174" s="89">
        <v>181400</v>
      </c>
      <c r="G174" s="35"/>
      <c r="H174" s="35"/>
      <c r="I174" s="35"/>
      <c r="J174" s="72">
        <f>K174+N174</f>
        <v>0</v>
      </c>
      <c r="K174" s="35"/>
      <c r="L174" s="35"/>
      <c r="M174" s="35"/>
      <c r="N174" s="35"/>
      <c r="O174" s="35"/>
      <c r="P174" s="35">
        <f t="shared" si="50"/>
        <v>181400</v>
      </c>
      <c r="Q174" s="156"/>
    </row>
    <row r="175" spans="1:17" s="26" customFormat="1" ht="60">
      <c r="A175" s="24"/>
      <c r="B175" s="40">
        <v>1513100</v>
      </c>
      <c r="C175" s="44"/>
      <c r="D175" s="28" t="s">
        <v>212</v>
      </c>
      <c r="E175" s="47">
        <f>E176</f>
        <v>5915300</v>
      </c>
      <c r="F175" s="47">
        <f aca="true" t="shared" si="51" ref="F175:P175">F176</f>
        <v>5915300</v>
      </c>
      <c r="G175" s="47">
        <f t="shared" si="51"/>
        <v>4389500</v>
      </c>
      <c r="H175" s="47">
        <f t="shared" si="51"/>
        <v>156566</v>
      </c>
      <c r="I175" s="47">
        <f t="shared" si="51"/>
        <v>0</v>
      </c>
      <c r="J175" s="47">
        <f t="shared" si="51"/>
        <v>467800</v>
      </c>
      <c r="K175" s="47">
        <f t="shared" si="51"/>
        <v>27800</v>
      </c>
      <c r="L175" s="47">
        <f t="shared" si="51"/>
        <v>18822</v>
      </c>
      <c r="M175" s="47">
        <f t="shared" si="51"/>
        <v>0</v>
      </c>
      <c r="N175" s="47">
        <f t="shared" si="51"/>
        <v>440000</v>
      </c>
      <c r="O175" s="47">
        <f t="shared" si="51"/>
        <v>440000</v>
      </c>
      <c r="P175" s="47">
        <f t="shared" si="51"/>
        <v>6383100</v>
      </c>
      <c r="Q175" s="156"/>
    </row>
    <row r="176" spans="1:17" s="96" customFormat="1" ht="75">
      <c r="A176" s="95"/>
      <c r="B176" s="79">
        <v>1513104</v>
      </c>
      <c r="C176" s="80" t="s">
        <v>66</v>
      </c>
      <c r="D176" s="81" t="s">
        <v>213</v>
      </c>
      <c r="E176" s="64">
        <f>F176+I176</f>
        <v>5915300</v>
      </c>
      <c r="F176" s="88">
        <f>6697900+170500-1363300+11000+380200+13000+6000</f>
        <v>5915300</v>
      </c>
      <c r="G176" s="88">
        <f>4614400+54100-591900+312900</f>
        <v>4389500</v>
      </c>
      <c r="H176" s="64">
        <f>154005+2561</f>
        <v>156566</v>
      </c>
      <c r="I176" s="64"/>
      <c r="J176" s="71">
        <f>K176+N176</f>
        <v>467800</v>
      </c>
      <c r="K176" s="64">
        <v>27800</v>
      </c>
      <c r="L176" s="64">
        <v>18822</v>
      </c>
      <c r="M176" s="64"/>
      <c r="N176" s="64">
        <f>297000+11000+132000</f>
        <v>440000</v>
      </c>
      <c r="O176" s="64">
        <f>297000+11000+132000</f>
        <v>440000</v>
      </c>
      <c r="P176" s="64">
        <f>E176+J176</f>
        <v>6383100</v>
      </c>
      <c r="Q176" s="156"/>
    </row>
    <row r="177" spans="1:17" s="26" customFormat="1" ht="90">
      <c r="A177" s="48"/>
      <c r="B177" s="54">
        <v>1513180</v>
      </c>
      <c r="C177" s="108"/>
      <c r="D177" s="49" t="s">
        <v>214</v>
      </c>
      <c r="E177" s="124">
        <f>E178+E179+E180</f>
        <v>1564275</v>
      </c>
      <c r="F177" s="124">
        <f aca="true" t="shared" si="52" ref="F177:P177">F178+F179+F180</f>
        <v>1564275</v>
      </c>
      <c r="G177" s="124">
        <f t="shared" si="52"/>
        <v>0</v>
      </c>
      <c r="H177" s="124">
        <f t="shared" si="52"/>
        <v>0</v>
      </c>
      <c r="I177" s="124">
        <f t="shared" si="52"/>
        <v>0</v>
      </c>
      <c r="J177" s="124">
        <f t="shared" si="52"/>
        <v>0</v>
      </c>
      <c r="K177" s="124">
        <f t="shared" si="52"/>
        <v>0</v>
      </c>
      <c r="L177" s="124">
        <f t="shared" si="52"/>
        <v>0</v>
      </c>
      <c r="M177" s="124">
        <f t="shared" si="52"/>
        <v>0</v>
      </c>
      <c r="N177" s="124">
        <f t="shared" si="52"/>
        <v>0</v>
      </c>
      <c r="O177" s="124">
        <f t="shared" si="52"/>
        <v>0</v>
      </c>
      <c r="P177" s="124">
        <f t="shared" si="52"/>
        <v>1564275</v>
      </c>
      <c r="Q177" s="156">
        <v>84</v>
      </c>
    </row>
    <row r="178" spans="1:17" s="96" customFormat="1" ht="90">
      <c r="A178" s="95"/>
      <c r="B178" s="79">
        <v>1513181</v>
      </c>
      <c r="C178" s="80" t="s">
        <v>67</v>
      </c>
      <c r="D178" s="81" t="s">
        <v>215</v>
      </c>
      <c r="E178" s="64">
        <f>F178+I178</f>
        <v>1397200</v>
      </c>
      <c r="F178" s="64">
        <v>1397200</v>
      </c>
      <c r="G178" s="64"/>
      <c r="H178" s="64"/>
      <c r="I178" s="64"/>
      <c r="J178" s="71">
        <f>K178+N178</f>
        <v>0</v>
      </c>
      <c r="K178" s="64"/>
      <c r="L178" s="64"/>
      <c r="M178" s="64"/>
      <c r="N178" s="64"/>
      <c r="O178" s="64"/>
      <c r="P178" s="64">
        <f>E178+J178</f>
        <v>1397200</v>
      </c>
      <c r="Q178" s="156"/>
    </row>
    <row r="179" spans="1:17" s="96" customFormat="1" ht="75">
      <c r="A179" s="95"/>
      <c r="B179" s="79">
        <v>1513182</v>
      </c>
      <c r="C179" s="80" t="s">
        <v>377</v>
      </c>
      <c r="D179" s="81" t="s">
        <v>378</v>
      </c>
      <c r="E179" s="64">
        <f>F179+I179</f>
        <v>162275</v>
      </c>
      <c r="F179" s="88">
        <v>162275</v>
      </c>
      <c r="G179" s="64"/>
      <c r="H179" s="64"/>
      <c r="I179" s="64"/>
      <c r="J179" s="71"/>
      <c r="K179" s="64"/>
      <c r="L179" s="64"/>
      <c r="M179" s="64"/>
      <c r="N179" s="64"/>
      <c r="O179" s="64"/>
      <c r="P179" s="64">
        <f>E179+J179</f>
        <v>162275</v>
      </c>
      <c r="Q179" s="156"/>
    </row>
    <row r="180" spans="1:17" s="96" customFormat="1" ht="30">
      <c r="A180" s="95"/>
      <c r="B180" s="79">
        <v>1513183</v>
      </c>
      <c r="C180" s="80" t="s">
        <v>379</v>
      </c>
      <c r="D180" s="81" t="s">
        <v>380</v>
      </c>
      <c r="E180" s="64">
        <f>F180+I180</f>
        <v>4800</v>
      </c>
      <c r="F180" s="88">
        <v>4800</v>
      </c>
      <c r="G180" s="64"/>
      <c r="H180" s="64"/>
      <c r="I180" s="64"/>
      <c r="J180" s="71"/>
      <c r="K180" s="64"/>
      <c r="L180" s="64"/>
      <c r="M180" s="64"/>
      <c r="N180" s="64"/>
      <c r="O180" s="64"/>
      <c r="P180" s="64">
        <f>E180+J180</f>
        <v>4800</v>
      </c>
      <c r="Q180" s="156"/>
    </row>
    <row r="181" spans="1:17" s="26" customFormat="1" ht="90">
      <c r="A181" s="48"/>
      <c r="B181" s="54">
        <v>1513190</v>
      </c>
      <c r="C181" s="45" t="s">
        <v>68</v>
      </c>
      <c r="D181" s="49" t="s">
        <v>216</v>
      </c>
      <c r="E181" s="73">
        <f>F181+I181</f>
        <v>2482439</v>
      </c>
      <c r="F181" s="73">
        <f>2446698+35741</f>
        <v>2482439</v>
      </c>
      <c r="G181" s="73"/>
      <c r="H181" s="73"/>
      <c r="I181" s="73"/>
      <c r="J181" s="123">
        <f>K181+N181</f>
        <v>0</v>
      </c>
      <c r="K181" s="73"/>
      <c r="L181" s="73"/>
      <c r="M181" s="73"/>
      <c r="N181" s="73"/>
      <c r="O181" s="73"/>
      <c r="P181" s="73">
        <f>E181+J181</f>
        <v>2482439</v>
      </c>
      <c r="Q181" s="156"/>
    </row>
    <row r="182" spans="1:17" s="26" customFormat="1" ht="15">
      <c r="A182" s="24"/>
      <c r="B182" s="40">
        <v>1513200</v>
      </c>
      <c r="C182" s="44"/>
      <c r="D182" s="28" t="s">
        <v>217</v>
      </c>
      <c r="E182" s="47">
        <f>E183+E184</f>
        <v>1785704</v>
      </c>
      <c r="F182" s="47">
        <f aca="true" t="shared" si="53" ref="F182:P182">F183+F184</f>
        <v>1785704</v>
      </c>
      <c r="G182" s="47">
        <f t="shared" si="53"/>
        <v>0</v>
      </c>
      <c r="H182" s="47">
        <f t="shared" si="53"/>
        <v>0</v>
      </c>
      <c r="I182" s="47">
        <f t="shared" si="53"/>
        <v>0</v>
      </c>
      <c r="J182" s="47">
        <f t="shared" si="53"/>
        <v>0</v>
      </c>
      <c r="K182" s="47">
        <f t="shared" si="53"/>
        <v>0</v>
      </c>
      <c r="L182" s="47">
        <f t="shared" si="53"/>
        <v>0</v>
      </c>
      <c r="M182" s="47">
        <f t="shared" si="53"/>
        <v>0</v>
      </c>
      <c r="N182" s="47">
        <f t="shared" si="53"/>
        <v>0</v>
      </c>
      <c r="O182" s="47">
        <f t="shared" si="53"/>
        <v>0</v>
      </c>
      <c r="P182" s="47">
        <f t="shared" si="53"/>
        <v>1785704</v>
      </c>
      <c r="Q182" s="156"/>
    </row>
    <row r="183" spans="1:17" s="96" customFormat="1" ht="30">
      <c r="A183" s="95"/>
      <c r="B183" s="79">
        <v>1513201</v>
      </c>
      <c r="C183" s="80" t="s">
        <v>64</v>
      </c>
      <c r="D183" s="81" t="s">
        <v>65</v>
      </c>
      <c r="E183" s="64">
        <f>F183+I183</f>
        <v>986804</v>
      </c>
      <c r="F183" s="64">
        <f>902586+88819-4601</f>
        <v>986804</v>
      </c>
      <c r="G183" s="64"/>
      <c r="H183" s="64"/>
      <c r="I183" s="64"/>
      <c r="J183" s="71">
        <f>K183+N183</f>
        <v>0</v>
      </c>
      <c r="K183" s="64"/>
      <c r="L183" s="64"/>
      <c r="M183" s="64"/>
      <c r="N183" s="64"/>
      <c r="O183" s="64"/>
      <c r="P183" s="64">
        <f>E183+J183</f>
        <v>986804</v>
      </c>
      <c r="Q183" s="156"/>
    </row>
    <row r="184" spans="1:17" s="26" customFormat="1" ht="60">
      <c r="A184" s="48"/>
      <c r="B184" s="53">
        <v>1513202</v>
      </c>
      <c r="C184" s="27" t="s">
        <v>69</v>
      </c>
      <c r="D184" s="81" t="s">
        <v>218</v>
      </c>
      <c r="E184" s="64">
        <f>F184+I184</f>
        <v>798900</v>
      </c>
      <c r="F184" s="64">
        <v>798900</v>
      </c>
      <c r="G184" s="64"/>
      <c r="H184" s="64"/>
      <c r="I184" s="64"/>
      <c r="J184" s="71">
        <f>K184+N184</f>
        <v>0</v>
      </c>
      <c r="K184" s="64"/>
      <c r="L184" s="64"/>
      <c r="M184" s="64"/>
      <c r="N184" s="64"/>
      <c r="O184" s="64"/>
      <c r="P184" s="64">
        <f>E184+J184</f>
        <v>798900</v>
      </c>
      <c r="Q184" s="156"/>
    </row>
    <row r="185" spans="1:17" s="26" customFormat="1" ht="45">
      <c r="A185" s="24"/>
      <c r="B185" s="40">
        <v>1513220</v>
      </c>
      <c r="C185" s="27" t="s">
        <v>365</v>
      </c>
      <c r="D185" s="28" t="s">
        <v>366</v>
      </c>
      <c r="E185" s="35">
        <f>F185+I185</f>
        <v>111717</v>
      </c>
      <c r="F185" s="89">
        <f>54417+57300+30000-30000</f>
        <v>111717</v>
      </c>
      <c r="G185" s="35"/>
      <c r="H185" s="35"/>
      <c r="I185" s="35"/>
      <c r="J185" s="72"/>
      <c r="K185" s="35"/>
      <c r="L185" s="35"/>
      <c r="M185" s="35"/>
      <c r="N185" s="35"/>
      <c r="O185" s="35"/>
      <c r="P185" s="64">
        <f>E185+J185</f>
        <v>111717</v>
      </c>
      <c r="Q185" s="156"/>
    </row>
    <row r="186" spans="1:17" s="26" customFormat="1" ht="15">
      <c r="A186" s="24"/>
      <c r="B186" s="40">
        <v>1513300</v>
      </c>
      <c r="C186" s="27" t="s">
        <v>70</v>
      </c>
      <c r="D186" s="28" t="s">
        <v>71</v>
      </c>
      <c r="E186" s="35">
        <f>E187+E188</f>
        <v>1474000</v>
      </c>
      <c r="F186" s="35">
        <f aca="true" t="shared" si="54" ref="F186:P186">F187+F188</f>
        <v>1474000</v>
      </c>
      <c r="G186" s="35">
        <f t="shared" si="54"/>
        <v>894200</v>
      </c>
      <c r="H186" s="35">
        <f t="shared" si="54"/>
        <v>127230</v>
      </c>
      <c r="I186" s="35">
        <f t="shared" si="54"/>
        <v>0</v>
      </c>
      <c r="J186" s="35">
        <f t="shared" si="54"/>
        <v>243500</v>
      </c>
      <c r="K186" s="35">
        <f t="shared" si="54"/>
        <v>0</v>
      </c>
      <c r="L186" s="35">
        <f t="shared" si="54"/>
        <v>0</v>
      </c>
      <c r="M186" s="35">
        <f t="shared" si="54"/>
        <v>0</v>
      </c>
      <c r="N186" s="35">
        <f t="shared" si="54"/>
        <v>243500</v>
      </c>
      <c r="O186" s="35">
        <f t="shared" si="54"/>
        <v>243500</v>
      </c>
      <c r="P186" s="35">
        <f t="shared" si="54"/>
        <v>1717500</v>
      </c>
      <c r="Q186" s="156"/>
    </row>
    <row r="187" spans="1:17" s="26" customFormat="1" ht="30">
      <c r="A187" s="24"/>
      <c r="B187" s="80" t="s">
        <v>219</v>
      </c>
      <c r="C187" s="80" t="s">
        <v>70</v>
      </c>
      <c r="D187" s="81" t="s">
        <v>367</v>
      </c>
      <c r="E187" s="35">
        <f>F187+I187</f>
        <v>1279000</v>
      </c>
      <c r="F187" s="89">
        <f>1424500-209500+19000+33000+7000+195000+5000-195000</f>
        <v>1279000</v>
      </c>
      <c r="G187" s="35">
        <f>826600-77400+145000-145000</f>
        <v>749200</v>
      </c>
      <c r="H187" s="35">
        <v>127230</v>
      </c>
      <c r="I187" s="47"/>
      <c r="J187" s="47">
        <f>K187+N187</f>
        <v>200000</v>
      </c>
      <c r="K187" s="47"/>
      <c r="L187" s="47"/>
      <c r="M187" s="47"/>
      <c r="N187" s="35">
        <f>200000+43500-43500</f>
        <v>200000</v>
      </c>
      <c r="O187" s="35">
        <f>200000+43500-43500</f>
        <v>200000</v>
      </c>
      <c r="P187" s="47">
        <f>E187+N187</f>
        <v>1479000</v>
      </c>
      <c r="Q187" s="156"/>
    </row>
    <row r="188" spans="1:17" s="26" customFormat="1" ht="75">
      <c r="A188" s="24"/>
      <c r="B188" s="80" t="s">
        <v>476</v>
      </c>
      <c r="C188" s="80" t="s">
        <v>70</v>
      </c>
      <c r="D188" s="81" t="s">
        <v>477</v>
      </c>
      <c r="E188" s="35">
        <f>F188+I188</f>
        <v>195000</v>
      </c>
      <c r="F188" s="89">
        <v>195000</v>
      </c>
      <c r="G188" s="35">
        <v>145000</v>
      </c>
      <c r="H188" s="35"/>
      <c r="I188" s="47"/>
      <c r="J188" s="47">
        <f>K188+N188</f>
        <v>43500</v>
      </c>
      <c r="K188" s="47"/>
      <c r="L188" s="47"/>
      <c r="M188" s="47"/>
      <c r="N188" s="35">
        <v>43500</v>
      </c>
      <c r="O188" s="35">
        <v>43500</v>
      </c>
      <c r="P188" s="47">
        <f>E188+N188</f>
        <v>238500</v>
      </c>
      <c r="Q188" s="156"/>
    </row>
    <row r="189" spans="1:17" s="26" customFormat="1" ht="30">
      <c r="A189" s="24"/>
      <c r="B189" s="27" t="s">
        <v>221</v>
      </c>
      <c r="C189" s="27" t="s">
        <v>13</v>
      </c>
      <c r="D189" s="28" t="s">
        <v>14</v>
      </c>
      <c r="E189" s="35">
        <f>E190+E191</f>
        <v>3212102</v>
      </c>
      <c r="F189" s="35">
        <f>F190+F191</f>
        <v>3212102</v>
      </c>
      <c r="G189" s="35">
        <f aca="true" t="shared" si="55" ref="G189:P189">G190+G191</f>
        <v>0</v>
      </c>
      <c r="H189" s="35">
        <f t="shared" si="55"/>
        <v>0</v>
      </c>
      <c r="I189" s="35">
        <f t="shared" si="55"/>
        <v>0</v>
      </c>
      <c r="J189" s="35">
        <f t="shared" si="55"/>
        <v>0</v>
      </c>
      <c r="K189" s="35">
        <f t="shared" si="55"/>
        <v>0</v>
      </c>
      <c r="L189" s="35">
        <f t="shared" si="55"/>
        <v>0</v>
      </c>
      <c r="M189" s="35">
        <f t="shared" si="55"/>
        <v>0</v>
      </c>
      <c r="N189" s="35">
        <f t="shared" si="55"/>
        <v>0</v>
      </c>
      <c r="O189" s="35">
        <f t="shared" si="55"/>
        <v>0</v>
      </c>
      <c r="P189" s="35">
        <f t="shared" si="55"/>
        <v>3212102</v>
      </c>
      <c r="Q189" s="156"/>
    </row>
    <row r="190" spans="1:17" s="96" customFormat="1" ht="45">
      <c r="A190" s="95"/>
      <c r="B190" s="80" t="s">
        <v>220</v>
      </c>
      <c r="C190" s="80" t="s">
        <v>13</v>
      </c>
      <c r="D190" s="81" t="s">
        <v>359</v>
      </c>
      <c r="E190" s="64">
        <f>F190+I190</f>
        <v>2881802</v>
      </c>
      <c r="F190" s="88">
        <f>1730323+45128+130000+224000+90870+18000+360000+108700+51390+68890-4499+59000</f>
        <v>2881802</v>
      </c>
      <c r="G190" s="64"/>
      <c r="H190" s="64"/>
      <c r="I190" s="64"/>
      <c r="J190" s="71">
        <f>K190+N190</f>
        <v>0</v>
      </c>
      <c r="K190" s="64"/>
      <c r="L190" s="64"/>
      <c r="M190" s="64"/>
      <c r="N190" s="64"/>
      <c r="O190" s="64"/>
      <c r="P190" s="64">
        <f>E190+J190</f>
        <v>2881802</v>
      </c>
      <c r="Q190" s="156"/>
    </row>
    <row r="191" spans="1:17" s="96" customFormat="1" ht="40.5" customHeight="1">
      <c r="A191" s="95"/>
      <c r="B191" s="80" t="s">
        <v>444</v>
      </c>
      <c r="C191" s="80" t="s">
        <v>13</v>
      </c>
      <c r="D191" s="81" t="s">
        <v>443</v>
      </c>
      <c r="E191" s="64">
        <f>F191+I191</f>
        <v>330300</v>
      </c>
      <c r="F191" s="88">
        <v>330300</v>
      </c>
      <c r="G191" s="64"/>
      <c r="H191" s="64"/>
      <c r="I191" s="64"/>
      <c r="J191" s="71"/>
      <c r="K191" s="64"/>
      <c r="L191" s="64"/>
      <c r="M191" s="64"/>
      <c r="N191" s="64"/>
      <c r="O191" s="64"/>
      <c r="P191" s="64">
        <f>E191+J191</f>
        <v>330300</v>
      </c>
      <c r="Q191" s="156"/>
    </row>
    <row r="192" spans="1:17" s="26" customFormat="1" ht="30">
      <c r="A192" s="48"/>
      <c r="B192" s="45" t="s">
        <v>341</v>
      </c>
      <c r="C192" s="45" t="s">
        <v>342</v>
      </c>
      <c r="D192" s="49" t="s">
        <v>357</v>
      </c>
      <c r="E192" s="69">
        <f>F192+H192</f>
        <v>374903.07</v>
      </c>
      <c r="F192" s="155">
        <f>160429-16831+231305.07</f>
        <v>374903.07</v>
      </c>
      <c r="G192" s="47">
        <f>117703+189509.86</f>
        <v>307212.86</v>
      </c>
      <c r="H192" s="47"/>
      <c r="I192" s="47"/>
      <c r="J192" s="47">
        <f>K192+N192</f>
        <v>0</v>
      </c>
      <c r="K192" s="47"/>
      <c r="L192" s="47"/>
      <c r="M192" s="47"/>
      <c r="N192" s="47"/>
      <c r="O192" s="47"/>
      <c r="P192" s="47">
        <f>J192+E192</f>
        <v>374903.07</v>
      </c>
      <c r="Q192" s="156"/>
    </row>
    <row r="193" spans="1:17" s="26" customFormat="1" ht="28.5">
      <c r="A193" s="24"/>
      <c r="B193" s="27" t="s">
        <v>222</v>
      </c>
      <c r="C193" s="31"/>
      <c r="D193" s="32" t="s">
        <v>224</v>
      </c>
      <c r="E193" s="58">
        <f>E194</f>
        <v>1027450</v>
      </c>
      <c r="F193" s="58">
        <f aca="true" t="shared" si="56" ref="F193:P193">F194</f>
        <v>1027450</v>
      </c>
      <c r="G193" s="58">
        <f t="shared" si="56"/>
        <v>749890</v>
      </c>
      <c r="H193" s="58">
        <f t="shared" si="56"/>
        <v>32719</v>
      </c>
      <c r="I193" s="58">
        <f t="shared" si="56"/>
        <v>0</v>
      </c>
      <c r="J193" s="58">
        <f t="shared" si="56"/>
        <v>18000</v>
      </c>
      <c r="K193" s="58">
        <f t="shared" si="56"/>
        <v>0</v>
      </c>
      <c r="L193" s="58">
        <f t="shared" si="56"/>
        <v>0</v>
      </c>
      <c r="M193" s="58">
        <f t="shared" si="56"/>
        <v>0</v>
      </c>
      <c r="N193" s="58">
        <f t="shared" si="56"/>
        <v>18000</v>
      </c>
      <c r="O193" s="58">
        <f t="shared" si="56"/>
        <v>18000</v>
      </c>
      <c r="P193" s="58">
        <f t="shared" si="56"/>
        <v>1045450</v>
      </c>
      <c r="Q193" s="156"/>
    </row>
    <row r="194" spans="1:17" s="96" customFormat="1" ht="30">
      <c r="A194" s="95"/>
      <c r="B194" s="80" t="s">
        <v>223</v>
      </c>
      <c r="C194" s="51"/>
      <c r="D194" s="52" t="s">
        <v>224</v>
      </c>
      <c r="E194" s="70">
        <f>E195+E196</f>
        <v>1027450</v>
      </c>
      <c r="F194" s="70">
        <f aca="true" t="shared" si="57" ref="F194:P194">F195+F196</f>
        <v>1027450</v>
      </c>
      <c r="G194" s="70">
        <f t="shared" si="57"/>
        <v>749890</v>
      </c>
      <c r="H194" s="70">
        <f t="shared" si="57"/>
        <v>32719</v>
      </c>
      <c r="I194" s="70">
        <f t="shared" si="57"/>
        <v>0</v>
      </c>
      <c r="J194" s="70">
        <f t="shared" si="57"/>
        <v>18000</v>
      </c>
      <c r="K194" s="70">
        <f t="shared" si="57"/>
        <v>0</v>
      </c>
      <c r="L194" s="70">
        <f t="shared" si="57"/>
        <v>0</v>
      </c>
      <c r="M194" s="70">
        <f t="shared" si="57"/>
        <v>0</v>
      </c>
      <c r="N194" s="70">
        <f t="shared" si="57"/>
        <v>18000</v>
      </c>
      <c r="O194" s="70">
        <f t="shared" si="57"/>
        <v>18000</v>
      </c>
      <c r="P194" s="70">
        <f t="shared" si="57"/>
        <v>1045450</v>
      </c>
      <c r="Q194" s="156"/>
    </row>
    <row r="195" spans="1:17" s="26" customFormat="1" ht="45">
      <c r="A195" s="48"/>
      <c r="B195" s="57" t="s">
        <v>225</v>
      </c>
      <c r="C195" s="45" t="s">
        <v>9</v>
      </c>
      <c r="D195" s="49" t="s">
        <v>100</v>
      </c>
      <c r="E195" s="73">
        <f>F195+I195</f>
        <v>977450</v>
      </c>
      <c r="F195" s="93">
        <f>1121770-144320</f>
        <v>977450</v>
      </c>
      <c r="G195" s="93">
        <f>782730-32840</f>
        <v>749890</v>
      </c>
      <c r="H195" s="73">
        <v>32719</v>
      </c>
      <c r="I195" s="73"/>
      <c r="J195" s="73">
        <f>K195+N195</f>
        <v>18000</v>
      </c>
      <c r="K195" s="73"/>
      <c r="L195" s="73"/>
      <c r="M195" s="73"/>
      <c r="N195" s="73">
        <v>18000</v>
      </c>
      <c r="O195" s="73">
        <v>18000</v>
      </c>
      <c r="P195" s="73">
        <f>E195+J195</f>
        <v>995450</v>
      </c>
      <c r="Q195" s="156">
        <v>85</v>
      </c>
    </row>
    <row r="196" spans="1:17" s="26" customFormat="1" ht="30">
      <c r="A196" s="24"/>
      <c r="B196" s="36" t="s">
        <v>230</v>
      </c>
      <c r="C196" s="27"/>
      <c r="D196" s="28" t="s">
        <v>229</v>
      </c>
      <c r="E196" s="35">
        <f>E197</f>
        <v>50000</v>
      </c>
      <c r="F196" s="35">
        <f aca="true" t="shared" si="58" ref="F196:P196">F197</f>
        <v>50000</v>
      </c>
      <c r="G196" s="35">
        <f t="shared" si="58"/>
        <v>0</v>
      </c>
      <c r="H196" s="35">
        <f t="shared" si="58"/>
        <v>0</v>
      </c>
      <c r="I196" s="35">
        <f t="shared" si="58"/>
        <v>0</v>
      </c>
      <c r="J196" s="35">
        <f t="shared" si="58"/>
        <v>0</v>
      </c>
      <c r="K196" s="35">
        <f t="shared" si="58"/>
        <v>0</v>
      </c>
      <c r="L196" s="35">
        <f t="shared" si="58"/>
        <v>0</v>
      </c>
      <c r="M196" s="35">
        <f t="shared" si="58"/>
        <v>0</v>
      </c>
      <c r="N196" s="35">
        <f t="shared" si="58"/>
        <v>0</v>
      </c>
      <c r="O196" s="35">
        <f t="shared" si="58"/>
        <v>0</v>
      </c>
      <c r="P196" s="35">
        <f t="shared" si="58"/>
        <v>50000</v>
      </c>
      <c r="Q196" s="156"/>
    </row>
    <row r="197" spans="1:17" s="96" customFormat="1" ht="30">
      <c r="A197" s="95"/>
      <c r="B197" s="104" t="s">
        <v>227</v>
      </c>
      <c r="C197" s="80" t="s">
        <v>74</v>
      </c>
      <c r="D197" s="81" t="s">
        <v>226</v>
      </c>
      <c r="E197" s="64">
        <f>F197+I197</f>
        <v>50000</v>
      </c>
      <c r="F197" s="64">
        <v>50000</v>
      </c>
      <c r="G197" s="70"/>
      <c r="H197" s="70"/>
      <c r="I197" s="70"/>
      <c r="J197" s="64">
        <f>K197+N197</f>
        <v>0</v>
      </c>
      <c r="K197" s="70"/>
      <c r="L197" s="70"/>
      <c r="M197" s="70"/>
      <c r="N197" s="70"/>
      <c r="O197" s="70"/>
      <c r="P197" s="64">
        <f>E197+J197</f>
        <v>50000</v>
      </c>
      <c r="Q197" s="156"/>
    </row>
    <row r="198" spans="1:17" s="26" customFormat="1" ht="28.5">
      <c r="A198" s="48"/>
      <c r="B198" s="57" t="s">
        <v>231</v>
      </c>
      <c r="C198" s="31"/>
      <c r="D198" s="32" t="s">
        <v>228</v>
      </c>
      <c r="E198" s="58">
        <f>E199</f>
        <v>29607579</v>
      </c>
      <c r="F198" s="58">
        <f aca="true" t="shared" si="59" ref="F198:P198">F199</f>
        <v>29607579</v>
      </c>
      <c r="G198" s="58">
        <f t="shared" si="59"/>
        <v>20982910</v>
      </c>
      <c r="H198" s="58">
        <f t="shared" si="59"/>
        <v>1776764</v>
      </c>
      <c r="I198" s="58">
        <f t="shared" si="59"/>
        <v>0</v>
      </c>
      <c r="J198" s="58">
        <f t="shared" si="59"/>
        <v>2498420</v>
      </c>
      <c r="K198" s="58">
        <f t="shared" si="59"/>
        <v>1320320</v>
      </c>
      <c r="L198" s="58">
        <f t="shared" si="59"/>
        <v>953732</v>
      </c>
      <c r="M198" s="58">
        <f t="shared" si="59"/>
        <v>0</v>
      </c>
      <c r="N198" s="58">
        <f t="shared" si="59"/>
        <v>1178100</v>
      </c>
      <c r="O198" s="58">
        <f t="shared" si="59"/>
        <v>1173500</v>
      </c>
      <c r="P198" s="58">
        <f t="shared" si="59"/>
        <v>32105999</v>
      </c>
      <c r="Q198" s="156"/>
    </row>
    <row r="199" spans="1:17" s="96" customFormat="1" ht="30">
      <c r="A199" s="95"/>
      <c r="B199" s="104" t="s">
        <v>232</v>
      </c>
      <c r="C199" s="51"/>
      <c r="D199" s="52" t="s">
        <v>228</v>
      </c>
      <c r="E199" s="70">
        <f aca="true" t="shared" si="60" ref="E199:P199">E200+E201+E202+E203+E204</f>
        <v>29607579</v>
      </c>
      <c r="F199" s="70">
        <f t="shared" si="60"/>
        <v>29607579</v>
      </c>
      <c r="G199" s="70">
        <f t="shared" si="60"/>
        <v>20982910</v>
      </c>
      <c r="H199" s="70">
        <f t="shared" si="60"/>
        <v>1776764</v>
      </c>
      <c r="I199" s="70">
        <f t="shared" si="60"/>
        <v>0</v>
      </c>
      <c r="J199" s="70">
        <f t="shared" si="60"/>
        <v>2498420</v>
      </c>
      <c r="K199" s="70">
        <f t="shared" si="60"/>
        <v>1320320</v>
      </c>
      <c r="L199" s="70">
        <f t="shared" si="60"/>
        <v>953732</v>
      </c>
      <c r="M199" s="70">
        <f t="shared" si="60"/>
        <v>0</v>
      </c>
      <c r="N199" s="70">
        <f t="shared" si="60"/>
        <v>1178100</v>
      </c>
      <c r="O199" s="70">
        <f t="shared" si="60"/>
        <v>1173500</v>
      </c>
      <c r="P199" s="70">
        <f t="shared" si="60"/>
        <v>32105999</v>
      </c>
      <c r="Q199" s="156"/>
    </row>
    <row r="200" spans="1:17" s="26" customFormat="1" ht="45">
      <c r="A200" s="48"/>
      <c r="B200" s="57" t="s">
        <v>233</v>
      </c>
      <c r="C200" s="45" t="s">
        <v>9</v>
      </c>
      <c r="D200" s="49" t="s">
        <v>100</v>
      </c>
      <c r="E200" s="73">
        <f>F200+I200</f>
        <v>448680</v>
      </c>
      <c r="F200" s="93">
        <f>514810-66130</f>
        <v>448680</v>
      </c>
      <c r="G200" s="93">
        <f>324590-16160</f>
        <v>308430</v>
      </c>
      <c r="H200" s="73">
        <v>13469</v>
      </c>
      <c r="I200" s="73"/>
      <c r="J200" s="73">
        <f>K200+N200</f>
        <v>20000</v>
      </c>
      <c r="K200" s="73"/>
      <c r="L200" s="73"/>
      <c r="M200" s="73"/>
      <c r="N200" s="73">
        <v>20000</v>
      </c>
      <c r="O200" s="73">
        <v>20000</v>
      </c>
      <c r="P200" s="73">
        <f>E200+J200</f>
        <v>468680</v>
      </c>
      <c r="Q200" s="156"/>
    </row>
    <row r="201" spans="1:17" s="26" customFormat="1" ht="30">
      <c r="A201" s="24"/>
      <c r="B201" s="36" t="s">
        <v>235</v>
      </c>
      <c r="C201" s="27" t="s">
        <v>75</v>
      </c>
      <c r="D201" s="28" t="s">
        <v>234</v>
      </c>
      <c r="E201" s="35">
        <f>F201+I201</f>
        <v>1030000</v>
      </c>
      <c r="F201" s="59">
        <f>1000000+30000</f>
        <v>1030000</v>
      </c>
      <c r="G201" s="59"/>
      <c r="H201" s="59"/>
      <c r="I201" s="59"/>
      <c r="J201" s="35">
        <f>K201+N201</f>
        <v>0</v>
      </c>
      <c r="K201" s="58"/>
      <c r="L201" s="58"/>
      <c r="M201" s="58"/>
      <c r="N201" s="58"/>
      <c r="O201" s="58"/>
      <c r="P201" s="73">
        <f>E201+J201</f>
        <v>1030000</v>
      </c>
      <c r="Q201" s="156"/>
    </row>
    <row r="202" spans="1:17" s="26" customFormat="1" ht="15">
      <c r="A202" s="24"/>
      <c r="B202" s="36" t="s">
        <v>237</v>
      </c>
      <c r="C202" s="27" t="s">
        <v>76</v>
      </c>
      <c r="D202" s="28" t="s">
        <v>236</v>
      </c>
      <c r="E202" s="35">
        <f>F202+I202</f>
        <v>10424631</v>
      </c>
      <c r="F202" s="90">
        <f>11452250-1111519+50000+30000+3900</f>
        <v>10424631</v>
      </c>
      <c r="G202" s="90">
        <f>7153760-76280</f>
        <v>7077480</v>
      </c>
      <c r="H202" s="59">
        <v>1039633</v>
      </c>
      <c r="I202" s="59"/>
      <c r="J202" s="35">
        <f>K202+N202</f>
        <v>709000</v>
      </c>
      <c r="K202" s="35">
        <v>21000</v>
      </c>
      <c r="L202" s="35">
        <v>5000</v>
      </c>
      <c r="M202" s="58"/>
      <c r="N202" s="107">
        <f>534500+95000+8500+20000+20000+10000</f>
        <v>688000</v>
      </c>
      <c r="O202" s="107">
        <f>534500+95000+8500+20000+20000+10000</f>
        <v>688000</v>
      </c>
      <c r="P202" s="73">
        <f>E202+J202</f>
        <v>11133631</v>
      </c>
      <c r="Q202" s="156"/>
    </row>
    <row r="203" spans="1:17" s="26" customFormat="1" ht="15">
      <c r="A203" s="24"/>
      <c r="B203" s="36" t="s">
        <v>239</v>
      </c>
      <c r="C203" s="27" t="s">
        <v>77</v>
      </c>
      <c r="D203" s="28" t="s">
        <v>238</v>
      </c>
      <c r="E203" s="35">
        <f>F203+I203</f>
        <v>16952076</v>
      </c>
      <c r="F203" s="90">
        <f>18381740-1481664+16000+3000+33000</f>
        <v>16952076</v>
      </c>
      <c r="G203" s="90">
        <f>12769020+299020</f>
        <v>13068040</v>
      </c>
      <c r="H203" s="59">
        <v>702306</v>
      </c>
      <c r="I203" s="59"/>
      <c r="J203" s="35">
        <f>K203+N203</f>
        <v>1739420</v>
      </c>
      <c r="K203" s="35">
        <v>1299320</v>
      </c>
      <c r="L203" s="35">
        <v>948732</v>
      </c>
      <c r="M203" s="35"/>
      <c r="N203" s="59">
        <v>440100</v>
      </c>
      <c r="O203" s="59">
        <v>435500</v>
      </c>
      <c r="P203" s="35">
        <f>E203+J203</f>
        <v>18691496</v>
      </c>
      <c r="Q203" s="156"/>
    </row>
    <row r="204" spans="1:17" s="26" customFormat="1" ht="15">
      <c r="A204" s="24"/>
      <c r="B204" s="36" t="s">
        <v>240</v>
      </c>
      <c r="C204" s="27" t="s">
        <v>23</v>
      </c>
      <c r="D204" s="28" t="s">
        <v>116</v>
      </c>
      <c r="E204" s="35">
        <f>E205</f>
        <v>752192</v>
      </c>
      <c r="F204" s="35">
        <f aca="true" t="shared" si="61" ref="F204:P204">F205</f>
        <v>752192</v>
      </c>
      <c r="G204" s="35">
        <f t="shared" si="61"/>
        <v>528960</v>
      </c>
      <c r="H204" s="35">
        <f t="shared" si="61"/>
        <v>21356</v>
      </c>
      <c r="I204" s="35">
        <f t="shared" si="61"/>
        <v>0</v>
      </c>
      <c r="J204" s="35">
        <f t="shared" si="61"/>
        <v>30000</v>
      </c>
      <c r="K204" s="35">
        <f t="shared" si="61"/>
        <v>0</v>
      </c>
      <c r="L204" s="35">
        <f t="shared" si="61"/>
        <v>0</v>
      </c>
      <c r="M204" s="35">
        <f t="shared" si="61"/>
        <v>0</v>
      </c>
      <c r="N204" s="35">
        <f t="shared" si="61"/>
        <v>30000</v>
      </c>
      <c r="O204" s="35">
        <f t="shared" si="61"/>
        <v>30000</v>
      </c>
      <c r="P204" s="35">
        <f t="shared" si="61"/>
        <v>782192</v>
      </c>
      <c r="Q204" s="156"/>
    </row>
    <row r="205" spans="1:17" s="26" customFormat="1" ht="45">
      <c r="A205" s="24"/>
      <c r="B205" s="80" t="s">
        <v>309</v>
      </c>
      <c r="C205" s="80" t="s">
        <v>23</v>
      </c>
      <c r="D205" s="81" t="s">
        <v>241</v>
      </c>
      <c r="E205" s="73">
        <f>F205+I205</f>
        <v>752192</v>
      </c>
      <c r="F205" s="106">
        <f>967780-215588</f>
        <v>752192</v>
      </c>
      <c r="G205" s="106">
        <f>631635-102675</f>
        <v>528960</v>
      </c>
      <c r="H205" s="107">
        <v>21356</v>
      </c>
      <c r="I205" s="107"/>
      <c r="J205" s="73">
        <f>K205+N205</f>
        <v>30000</v>
      </c>
      <c r="K205" s="58"/>
      <c r="L205" s="58"/>
      <c r="M205" s="58"/>
      <c r="N205" s="107">
        <v>30000</v>
      </c>
      <c r="O205" s="107">
        <v>30000</v>
      </c>
      <c r="P205" s="73">
        <f>E205+J205</f>
        <v>782192</v>
      </c>
      <c r="Q205" s="156"/>
    </row>
    <row r="206" spans="1:17" s="26" customFormat="1" ht="28.5">
      <c r="A206" s="24"/>
      <c r="B206" s="36" t="s">
        <v>243</v>
      </c>
      <c r="C206" s="31"/>
      <c r="D206" s="32" t="s">
        <v>242</v>
      </c>
      <c r="E206" s="58">
        <f>E207</f>
        <v>41472036</v>
      </c>
      <c r="F206" s="58">
        <f aca="true" t="shared" si="62" ref="F206:P206">F207</f>
        <v>20928321</v>
      </c>
      <c r="G206" s="58">
        <f t="shared" si="62"/>
        <v>2712420</v>
      </c>
      <c r="H206" s="58">
        <f t="shared" si="62"/>
        <v>7296375</v>
      </c>
      <c r="I206" s="58">
        <f t="shared" si="62"/>
        <v>20543715</v>
      </c>
      <c r="J206" s="58">
        <f t="shared" si="62"/>
        <v>109283214.66</v>
      </c>
      <c r="K206" s="58">
        <f t="shared" si="62"/>
        <v>1064200</v>
      </c>
      <c r="L206" s="58">
        <f t="shared" si="62"/>
        <v>0</v>
      </c>
      <c r="M206" s="58">
        <f t="shared" si="62"/>
        <v>0</v>
      </c>
      <c r="N206" s="58">
        <f t="shared" si="62"/>
        <v>108219014.66</v>
      </c>
      <c r="O206" s="58">
        <f t="shared" si="62"/>
        <v>103325547.34</v>
      </c>
      <c r="P206" s="58">
        <f t="shared" si="62"/>
        <v>150755250.66</v>
      </c>
      <c r="Q206" s="156"/>
    </row>
    <row r="207" spans="1:17" s="96" customFormat="1" ht="30">
      <c r="A207" s="95"/>
      <c r="B207" s="104" t="s">
        <v>244</v>
      </c>
      <c r="C207" s="51"/>
      <c r="D207" s="52" t="s">
        <v>242</v>
      </c>
      <c r="E207" s="70">
        <f>E208+E211+E214+E216+E221+E222+E229+E233+E224+E223+E227+E219+E210+E220+E230+E231+E232+E217+E209+E218</f>
        <v>41472036</v>
      </c>
      <c r="F207" s="70">
        <f aca="true" t="shared" si="63" ref="F207:P207">F208+F211+F214+F216+F221+F222+F229+F233+F224+F223+F227+F219+F210+F220+F230+F231+F232+F217+F209+F218</f>
        <v>20928321</v>
      </c>
      <c r="G207" s="70">
        <f t="shared" si="63"/>
        <v>2712420</v>
      </c>
      <c r="H207" s="70">
        <f t="shared" si="63"/>
        <v>7296375</v>
      </c>
      <c r="I207" s="70">
        <f t="shared" si="63"/>
        <v>20543715</v>
      </c>
      <c r="J207" s="70">
        <f t="shared" si="63"/>
        <v>109283214.66</v>
      </c>
      <c r="K207" s="70">
        <f t="shared" si="63"/>
        <v>1064200</v>
      </c>
      <c r="L207" s="70">
        <f t="shared" si="63"/>
        <v>0</v>
      </c>
      <c r="M207" s="70">
        <f t="shared" si="63"/>
        <v>0</v>
      </c>
      <c r="N207" s="70">
        <f t="shared" si="63"/>
        <v>108219014.66</v>
      </c>
      <c r="O207" s="70">
        <f t="shared" si="63"/>
        <v>103325547.34</v>
      </c>
      <c r="P207" s="70">
        <f t="shared" si="63"/>
        <v>150755250.66</v>
      </c>
      <c r="Q207" s="156"/>
    </row>
    <row r="208" spans="1:17" s="26" customFormat="1" ht="45">
      <c r="A208" s="48"/>
      <c r="B208" s="57" t="s">
        <v>245</v>
      </c>
      <c r="C208" s="45" t="s">
        <v>9</v>
      </c>
      <c r="D208" s="49" t="s">
        <v>100</v>
      </c>
      <c r="E208" s="73">
        <f>F208+I208</f>
        <v>3660738</v>
      </c>
      <c r="F208" s="93">
        <f>3961890-402720+2500+9255+89813</f>
        <v>3660738</v>
      </c>
      <c r="G208" s="93">
        <f>2675410-22930+59940</f>
        <v>2712420</v>
      </c>
      <c r="H208" s="73">
        <v>118075</v>
      </c>
      <c r="I208" s="73"/>
      <c r="J208" s="73">
        <f>K208+N208</f>
        <v>30000</v>
      </c>
      <c r="K208" s="73"/>
      <c r="L208" s="73"/>
      <c r="M208" s="73"/>
      <c r="N208" s="73">
        <f>30000</f>
        <v>30000</v>
      </c>
      <c r="O208" s="73">
        <f>30000</f>
        <v>30000</v>
      </c>
      <c r="P208" s="73">
        <f>E208+J208</f>
        <v>3690738</v>
      </c>
      <c r="Q208" s="156"/>
    </row>
    <row r="209" spans="1:17" s="26" customFormat="1" ht="30">
      <c r="A209" s="24"/>
      <c r="B209" s="27" t="s">
        <v>454</v>
      </c>
      <c r="C209" s="27" t="s">
        <v>342</v>
      </c>
      <c r="D209" s="28" t="s">
        <v>357</v>
      </c>
      <c r="E209" s="35">
        <f>F209+I209</f>
        <v>350000</v>
      </c>
      <c r="F209" s="89">
        <v>350000</v>
      </c>
      <c r="G209" s="89"/>
      <c r="H209" s="35"/>
      <c r="I209" s="35"/>
      <c r="J209" s="35"/>
      <c r="K209" s="35"/>
      <c r="L209" s="35"/>
      <c r="M209" s="35"/>
      <c r="N209" s="35"/>
      <c r="O209" s="35"/>
      <c r="P209" s="35">
        <f>E209+J209</f>
        <v>350000</v>
      </c>
      <c r="Q209" s="156"/>
    </row>
    <row r="210" spans="1:17" s="26" customFormat="1" ht="45">
      <c r="A210" s="24"/>
      <c r="B210" s="36" t="s">
        <v>360</v>
      </c>
      <c r="C210" s="27" t="s">
        <v>361</v>
      </c>
      <c r="D210" s="28" t="s">
        <v>362</v>
      </c>
      <c r="E210" s="35">
        <f>F210+I210</f>
        <v>1680000</v>
      </c>
      <c r="F210" s="35">
        <f>180000+1500000</f>
        <v>1680000</v>
      </c>
      <c r="G210" s="35"/>
      <c r="H210" s="35"/>
      <c r="I210" s="35"/>
      <c r="J210" s="35">
        <f>K210+N210</f>
        <v>0</v>
      </c>
      <c r="K210" s="35"/>
      <c r="L210" s="35"/>
      <c r="M210" s="35"/>
      <c r="N210" s="35"/>
      <c r="O210" s="35"/>
      <c r="P210" s="35">
        <f>E210+J210</f>
        <v>1680000</v>
      </c>
      <c r="Q210" s="156"/>
    </row>
    <row r="211" spans="1:17" s="26" customFormat="1" ht="30">
      <c r="A211" s="24"/>
      <c r="B211" s="36" t="s">
        <v>247</v>
      </c>
      <c r="C211" s="27"/>
      <c r="D211" s="28" t="s">
        <v>246</v>
      </c>
      <c r="E211" s="35">
        <f>E212+E213</f>
        <v>195000</v>
      </c>
      <c r="F211" s="35">
        <f aca="true" t="shared" si="64" ref="F211:P211">F212+F213</f>
        <v>195000</v>
      </c>
      <c r="G211" s="35">
        <f t="shared" si="64"/>
        <v>0</v>
      </c>
      <c r="H211" s="35">
        <f t="shared" si="64"/>
        <v>0</v>
      </c>
      <c r="I211" s="35">
        <f t="shared" si="64"/>
        <v>0</v>
      </c>
      <c r="J211" s="35">
        <f t="shared" si="64"/>
        <v>57271723.14</v>
      </c>
      <c r="K211" s="35">
        <f t="shared" si="64"/>
        <v>0</v>
      </c>
      <c r="L211" s="35">
        <f t="shared" si="64"/>
        <v>0</v>
      </c>
      <c r="M211" s="35">
        <f t="shared" si="64"/>
        <v>0</v>
      </c>
      <c r="N211" s="35">
        <f t="shared" si="64"/>
        <v>57271723.14</v>
      </c>
      <c r="O211" s="35">
        <f t="shared" si="64"/>
        <v>57271723.14</v>
      </c>
      <c r="P211" s="35">
        <f t="shared" si="64"/>
        <v>57466723.14</v>
      </c>
      <c r="Q211" s="156"/>
    </row>
    <row r="212" spans="1:17" s="96" customFormat="1" ht="15">
      <c r="A212" s="95"/>
      <c r="B212" s="104" t="s">
        <v>249</v>
      </c>
      <c r="C212" s="80" t="s">
        <v>78</v>
      </c>
      <c r="D212" s="81" t="s">
        <v>248</v>
      </c>
      <c r="E212" s="64">
        <f>F212+I212</f>
        <v>195000</v>
      </c>
      <c r="F212" s="64">
        <v>195000</v>
      </c>
      <c r="G212" s="70"/>
      <c r="H212" s="70"/>
      <c r="I212" s="70"/>
      <c r="J212" s="64">
        <f>K212+N212</f>
        <v>51271723.14</v>
      </c>
      <c r="K212" s="70"/>
      <c r="L212" s="70"/>
      <c r="M212" s="70"/>
      <c r="N212" s="88">
        <f>30000000+6285.14-100000+8250000-1000000+11000000+3000000+81197+34241</f>
        <v>51271723.14</v>
      </c>
      <c r="O212" s="88">
        <f>30000000+6285.14-100000+8250000-1000000+11000000+3000000+81197+34241</f>
        <v>51271723.14</v>
      </c>
      <c r="P212" s="64">
        <f>E212+J212</f>
        <v>51466723.14</v>
      </c>
      <c r="Q212" s="156"/>
    </row>
    <row r="213" spans="1:17" s="96" customFormat="1" ht="45">
      <c r="A213" s="95"/>
      <c r="B213" s="104" t="s">
        <v>251</v>
      </c>
      <c r="C213" s="80" t="s">
        <v>79</v>
      </c>
      <c r="D213" s="81" t="s">
        <v>250</v>
      </c>
      <c r="E213" s="64">
        <f>F213+I213</f>
        <v>0</v>
      </c>
      <c r="F213" s="70"/>
      <c r="G213" s="70"/>
      <c r="H213" s="70"/>
      <c r="I213" s="70"/>
      <c r="J213" s="64">
        <f>K213+N213</f>
        <v>6000000</v>
      </c>
      <c r="K213" s="64"/>
      <c r="L213" s="64"/>
      <c r="M213" s="64"/>
      <c r="N213" s="64">
        <f>2000000+1000000+3000000</f>
        <v>6000000</v>
      </c>
      <c r="O213" s="64">
        <f>2000000+1000000+3000000</f>
        <v>6000000</v>
      </c>
      <c r="P213" s="64">
        <f>E213+J213</f>
        <v>6000000</v>
      </c>
      <c r="Q213" s="156"/>
    </row>
    <row r="214" spans="1:17" s="26" customFormat="1" ht="30">
      <c r="A214" s="48"/>
      <c r="B214" s="57" t="s">
        <v>254</v>
      </c>
      <c r="C214" s="45"/>
      <c r="D214" s="49" t="s">
        <v>253</v>
      </c>
      <c r="E214" s="73">
        <f>E215</f>
        <v>2445103</v>
      </c>
      <c r="F214" s="73">
        <f aca="true" t="shared" si="65" ref="F214:P214">F215</f>
        <v>0</v>
      </c>
      <c r="G214" s="73">
        <f t="shared" si="65"/>
        <v>0</v>
      </c>
      <c r="H214" s="73">
        <f t="shared" si="65"/>
        <v>0</v>
      </c>
      <c r="I214" s="73">
        <f t="shared" si="65"/>
        <v>2445103</v>
      </c>
      <c r="J214" s="73">
        <f t="shared" si="65"/>
        <v>4094734</v>
      </c>
      <c r="K214" s="73">
        <f t="shared" si="65"/>
        <v>0</v>
      </c>
      <c r="L214" s="73">
        <f t="shared" si="65"/>
        <v>0</v>
      </c>
      <c r="M214" s="73">
        <f t="shared" si="65"/>
        <v>0</v>
      </c>
      <c r="N214" s="73">
        <f t="shared" si="65"/>
        <v>4094734</v>
      </c>
      <c r="O214" s="73">
        <f t="shared" si="65"/>
        <v>4094734</v>
      </c>
      <c r="P214" s="73">
        <f t="shared" si="65"/>
        <v>6539837</v>
      </c>
      <c r="Q214" s="156"/>
    </row>
    <row r="215" spans="1:17" s="96" customFormat="1" ht="45">
      <c r="A215" s="95"/>
      <c r="B215" s="104" t="s">
        <v>255</v>
      </c>
      <c r="C215" s="80" t="s">
        <v>80</v>
      </c>
      <c r="D215" s="81" t="s">
        <v>252</v>
      </c>
      <c r="E215" s="64">
        <f aca="true" t="shared" si="66" ref="E215:E229">F215+I215</f>
        <v>2445103</v>
      </c>
      <c r="F215" s="64"/>
      <c r="G215" s="70"/>
      <c r="H215" s="70"/>
      <c r="I215" s="70">
        <f>1825100+120003+350000+150000</f>
        <v>2445103</v>
      </c>
      <c r="J215" s="64">
        <f aca="true" t="shared" si="67" ref="J215:J222">K215+N215</f>
        <v>4094734</v>
      </c>
      <c r="K215" s="70"/>
      <c r="L215" s="70"/>
      <c r="M215" s="70"/>
      <c r="N215" s="70">
        <f>1499312+1630100+300790+664532</f>
        <v>4094734</v>
      </c>
      <c r="O215" s="70">
        <f>1499312+1630100+300790+664532</f>
        <v>4094734</v>
      </c>
      <c r="P215" s="64">
        <f aca="true" t="shared" si="68" ref="P215:P223">E215+J215</f>
        <v>6539837</v>
      </c>
      <c r="Q215" s="156"/>
    </row>
    <row r="216" spans="1:17" s="26" customFormat="1" ht="15">
      <c r="A216" s="48"/>
      <c r="B216" s="57" t="s">
        <v>256</v>
      </c>
      <c r="C216" s="45" t="s">
        <v>21</v>
      </c>
      <c r="D216" s="49" t="s">
        <v>137</v>
      </c>
      <c r="E216" s="73">
        <f t="shared" si="66"/>
        <v>27638932</v>
      </c>
      <c r="F216" s="93">
        <f>9272300+200000-224000+3000000-9255-365036-1747.2-663250-130000-392229-483368.8+200000-282375+26000-11719</f>
        <v>10135320</v>
      </c>
      <c r="G216" s="73"/>
      <c r="H216" s="73">
        <f>4106300+3000000</f>
        <v>7106300</v>
      </c>
      <c r="I216" s="35">
        <f>15895612+1700000-350000+130000+128000</f>
        <v>17503612</v>
      </c>
      <c r="J216" s="73">
        <f t="shared" si="67"/>
        <v>20825143.2</v>
      </c>
      <c r="K216" s="73"/>
      <c r="L216" s="73"/>
      <c r="M216" s="73"/>
      <c r="N216" s="73">
        <f>16250000+6500000-731714+1747.2-461123-287161-248820+25000-234505+11719</f>
        <v>20825143.2</v>
      </c>
      <c r="O216" s="73">
        <f>16250000+6500000-731714+1747.2-461123-287161-248820+25000-234505+11719</f>
        <v>20825143.2</v>
      </c>
      <c r="P216" s="73">
        <f t="shared" si="68"/>
        <v>48464075.2</v>
      </c>
      <c r="Q216" s="156"/>
    </row>
    <row r="217" spans="1:17" s="26" customFormat="1" ht="45">
      <c r="A217" s="24"/>
      <c r="B217" s="36" t="s">
        <v>440</v>
      </c>
      <c r="C217" s="27" t="s">
        <v>441</v>
      </c>
      <c r="D217" s="28" t="s">
        <v>442</v>
      </c>
      <c r="E217" s="73">
        <f t="shared" si="66"/>
        <v>0</v>
      </c>
      <c r="F217" s="89"/>
      <c r="G217" s="35"/>
      <c r="H217" s="35"/>
      <c r="I217" s="35"/>
      <c r="J217" s="35">
        <f t="shared" si="67"/>
        <v>845938</v>
      </c>
      <c r="K217" s="35"/>
      <c r="L217" s="35"/>
      <c r="M217" s="35"/>
      <c r="N217" s="89">
        <v>845938</v>
      </c>
      <c r="O217" s="89">
        <v>845938</v>
      </c>
      <c r="P217" s="35">
        <f t="shared" si="68"/>
        <v>845938</v>
      </c>
      <c r="Q217" s="156"/>
    </row>
    <row r="218" spans="1:17" s="26" customFormat="1" ht="75">
      <c r="A218" s="24"/>
      <c r="B218" s="99" t="s">
        <v>461</v>
      </c>
      <c r="C218" s="146" t="s">
        <v>462</v>
      </c>
      <c r="D218" s="147" t="s">
        <v>463</v>
      </c>
      <c r="E218" s="73">
        <f t="shared" si="66"/>
        <v>100000</v>
      </c>
      <c r="F218" s="89"/>
      <c r="G218" s="35"/>
      <c r="H218" s="35"/>
      <c r="I218" s="35">
        <v>100000</v>
      </c>
      <c r="J218" s="35"/>
      <c r="K218" s="35"/>
      <c r="L218" s="35"/>
      <c r="M218" s="35"/>
      <c r="N218" s="89"/>
      <c r="O218" s="89"/>
      <c r="P218" s="35">
        <f t="shared" si="68"/>
        <v>100000</v>
      </c>
      <c r="Q218" s="145"/>
    </row>
    <row r="219" spans="1:17" s="96" customFormat="1" ht="30">
      <c r="A219" s="95"/>
      <c r="B219" s="57" t="s">
        <v>345</v>
      </c>
      <c r="C219" s="45" t="s">
        <v>320</v>
      </c>
      <c r="D219" s="49" t="s">
        <v>321</v>
      </c>
      <c r="E219" s="69">
        <f>F219+I219</f>
        <v>465000</v>
      </c>
      <c r="F219" s="69"/>
      <c r="G219" s="69"/>
      <c r="H219" s="69"/>
      <c r="I219" s="69">
        <v>465000</v>
      </c>
      <c r="J219" s="69"/>
      <c r="K219" s="69"/>
      <c r="L219" s="69"/>
      <c r="M219" s="69"/>
      <c r="N219" s="69"/>
      <c r="O219" s="69"/>
      <c r="P219" s="35">
        <f t="shared" si="68"/>
        <v>465000</v>
      </c>
      <c r="Q219" s="156">
        <v>86</v>
      </c>
    </row>
    <row r="220" spans="1:17" s="96" customFormat="1" ht="15">
      <c r="A220" s="95"/>
      <c r="B220" s="57" t="s">
        <v>363</v>
      </c>
      <c r="C220" s="45" t="s">
        <v>81</v>
      </c>
      <c r="D220" s="49" t="s">
        <v>257</v>
      </c>
      <c r="E220" s="73">
        <f t="shared" si="66"/>
        <v>1680000</v>
      </c>
      <c r="F220" s="73">
        <f>180000+1500000</f>
        <v>1680000</v>
      </c>
      <c r="G220" s="69"/>
      <c r="H220" s="69"/>
      <c r="I220" s="69"/>
      <c r="J220" s="69"/>
      <c r="K220" s="69"/>
      <c r="L220" s="69"/>
      <c r="M220" s="69"/>
      <c r="N220" s="69"/>
      <c r="O220" s="69"/>
      <c r="P220" s="35">
        <f t="shared" si="68"/>
        <v>1680000</v>
      </c>
      <c r="Q220" s="156"/>
    </row>
    <row r="221" spans="1:17" s="26" customFormat="1" ht="15">
      <c r="A221" s="48"/>
      <c r="B221" s="57" t="s">
        <v>259</v>
      </c>
      <c r="C221" s="45" t="s">
        <v>82</v>
      </c>
      <c r="D221" s="49" t="s">
        <v>258</v>
      </c>
      <c r="E221" s="73">
        <f t="shared" si="66"/>
        <v>1030000</v>
      </c>
      <c r="F221" s="73">
        <f>530000+500000-30000</f>
        <v>1000000</v>
      </c>
      <c r="G221" s="58"/>
      <c r="H221" s="58"/>
      <c r="I221" s="35">
        <v>30000</v>
      </c>
      <c r="J221" s="73">
        <f t="shared" si="67"/>
        <v>0</v>
      </c>
      <c r="K221" s="58"/>
      <c r="L221" s="58"/>
      <c r="M221" s="58"/>
      <c r="N221" s="58"/>
      <c r="O221" s="58"/>
      <c r="P221" s="73">
        <f t="shared" si="68"/>
        <v>1030000</v>
      </c>
      <c r="Q221" s="156"/>
    </row>
    <row r="222" spans="1:17" s="26" customFormat="1" ht="30">
      <c r="A222" s="24"/>
      <c r="B222" s="36" t="s">
        <v>260</v>
      </c>
      <c r="C222" s="27" t="s">
        <v>34</v>
      </c>
      <c r="D222" s="28" t="s">
        <v>142</v>
      </c>
      <c r="E222" s="35">
        <f t="shared" si="66"/>
        <v>0</v>
      </c>
      <c r="F222" s="58"/>
      <c r="G222" s="58"/>
      <c r="H222" s="58"/>
      <c r="I222" s="58"/>
      <c r="J222" s="73">
        <f t="shared" si="67"/>
        <v>19507509</v>
      </c>
      <c r="K222" s="58"/>
      <c r="L222" s="58"/>
      <c r="M222" s="58"/>
      <c r="N222" s="93">
        <f>12363400+2550000+4260750+319200+14159</f>
        <v>19507509</v>
      </c>
      <c r="O222" s="93">
        <f>12363400+2550000+4260750+319200+14159</f>
        <v>19507509</v>
      </c>
      <c r="P222" s="73">
        <f t="shared" si="68"/>
        <v>19507509</v>
      </c>
      <c r="Q222" s="156"/>
    </row>
    <row r="223" spans="1:17" s="26" customFormat="1" ht="15">
      <c r="A223" s="24"/>
      <c r="B223" s="125" t="s">
        <v>322</v>
      </c>
      <c r="C223" s="27" t="s">
        <v>323</v>
      </c>
      <c r="D223" s="28" t="s">
        <v>55</v>
      </c>
      <c r="E223" s="35">
        <f t="shared" si="66"/>
        <v>158800</v>
      </c>
      <c r="F223" s="89">
        <f>410000-251200</f>
        <v>158800</v>
      </c>
      <c r="G223" s="35"/>
      <c r="H223" s="35"/>
      <c r="I223" s="35"/>
      <c r="J223" s="35"/>
      <c r="K223" s="35"/>
      <c r="L223" s="35"/>
      <c r="M223" s="35"/>
      <c r="N223" s="35"/>
      <c r="O223" s="35"/>
      <c r="P223" s="35">
        <f t="shared" si="68"/>
        <v>158800</v>
      </c>
      <c r="Q223" s="156"/>
    </row>
    <row r="224" spans="1:17" s="26" customFormat="1" ht="15">
      <c r="A224" s="24"/>
      <c r="B224" s="33" t="s">
        <v>264</v>
      </c>
      <c r="C224" s="27" t="s">
        <v>42</v>
      </c>
      <c r="D224" s="28" t="s">
        <v>19</v>
      </c>
      <c r="E224" s="35">
        <f>E225+E226</f>
        <v>1838963</v>
      </c>
      <c r="F224" s="35">
        <f aca="true" t="shared" si="69" ref="F224:P224">F225+F226</f>
        <v>1838963</v>
      </c>
      <c r="G224" s="35">
        <f t="shared" si="69"/>
        <v>0</v>
      </c>
      <c r="H224" s="35">
        <f t="shared" si="69"/>
        <v>72000</v>
      </c>
      <c r="I224" s="35">
        <f t="shared" si="69"/>
        <v>0</v>
      </c>
      <c r="J224" s="35">
        <f t="shared" si="69"/>
        <v>0</v>
      </c>
      <c r="K224" s="35">
        <f t="shared" si="69"/>
        <v>0</v>
      </c>
      <c r="L224" s="35">
        <f t="shared" si="69"/>
        <v>0</v>
      </c>
      <c r="M224" s="35">
        <f t="shared" si="69"/>
        <v>0</v>
      </c>
      <c r="N224" s="35">
        <f t="shared" si="69"/>
        <v>0</v>
      </c>
      <c r="O224" s="35">
        <f t="shared" si="69"/>
        <v>0</v>
      </c>
      <c r="P224" s="35">
        <f t="shared" si="69"/>
        <v>1838963</v>
      </c>
      <c r="Q224" s="156"/>
    </row>
    <row r="225" spans="1:17" s="26" customFormat="1" ht="90">
      <c r="A225" s="24"/>
      <c r="B225" s="80" t="s">
        <v>265</v>
      </c>
      <c r="C225" s="80" t="s">
        <v>42</v>
      </c>
      <c r="D225" s="126" t="s">
        <v>344</v>
      </c>
      <c r="E225" s="64">
        <f>F225+I225</f>
        <v>258120</v>
      </c>
      <c r="F225" s="64">
        <v>258120</v>
      </c>
      <c r="G225" s="70"/>
      <c r="H225" s="70"/>
      <c r="I225" s="70"/>
      <c r="J225" s="64"/>
      <c r="K225" s="70"/>
      <c r="L225" s="70"/>
      <c r="M225" s="70"/>
      <c r="N225" s="70"/>
      <c r="O225" s="70"/>
      <c r="P225" s="35">
        <f>E225+J225</f>
        <v>258120</v>
      </c>
      <c r="Q225" s="156"/>
    </row>
    <row r="226" spans="1:17" s="26" customFormat="1" ht="60">
      <c r="A226" s="24"/>
      <c r="B226" s="80" t="s">
        <v>266</v>
      </c>
      <c r="C226" s="80" t="s">
        <v>42</v>
      </c>
      <c r="D226" s="97" t="s">
        <v>343</v>
      </c>
      <c r="E226" s="64">
        <f>F226+I226</f>
        <v>1580843</v>
      </c>
      <c r="F226" s="88">
        <f>1429000+1920+67223+82700</f>
        <v>1580843</v>
      </c>
      <c r="G226" s="70"/>
      <c r="H226" s="35">
        <v>72000</v>
      </c>
      <c r="I226" s="70"/>
      <c r="J226" s="64"/>
      <c r="K226" s="70"/>
      <c r="L226" s="70"/>
      <c r="M226" s="70"/>
      <c r="N226" s="70"/>
      <c r="O226" s="70"/>
      <c r="P226" s="35">
        <f>E226+J226</f>
        <v>1580843</v>
      </c>
      <c r="Q226" s="156"/>
    </row>
    <row r="227" spans="1:17" s="26" customFormat="1" ht="15">
      <c r="A227" s="24"/>
      <c r="B227" s="40">
        <v>4118800</v>
      </c>
      <c r="C227" s="27" t="s">
        <v>89</v>
      </c>
      <c r="D227" s="34" t="s">
        <v>90</v>
      </c>
      <c r="E227" s="35">
        <f>E228</f>
        <v>229500</v>
      </c>
      <c r="F227" s="35">
        <f aca="true" t="shared" si="70" ref="F227:P227">F228</f>
        <v>229500</v>
      </c>
      <c r="G227" s="35">
        <f t="shared" si="70"/>
        <v>0</v>
      </c>
      <c r="H227" s="35">
        <f t="shared" si="70"/>
        <v>0</v>
      </c>
      <c r="I227" s="35">
        <f t="shared" si="70"/>
        <v>0</v>
      </c>
      <c r="J227" s="35">
        <f t="shared" si="70"/>
        <v>750500</v>
      </c>
      <c r="K227" s="35">
        <f t="shared" si="70"/>
        <v>0</v>
      </c>
      <c r="L227" s="35">
        <f t="shared" si="70"/>
        <v>0</v>
      </c>
      <c r="M227" s="35">
        <f t="shared" si="70"/>
        <v>0</v>
      </c>
      <c r="N227" s="35">
        <f t="shared" si="70"/>
        <v>750500</v>
      </c>
      <c r="O227" s="35">
        <f t="shared" si="70"/>
        <v>750500</v>
      </c>
      <c r="P227" s="35">
        <f t="shared" si="70"/>
        <v>980000</v>
      </c>
      <c r="Q227" s="156"/>
    </row>
    <row r="228" spans="1:17" s="26" customFormat="1" ht="114.75" customHeight="1">
      <c r="A228" s="24"/>
      <c r="B228" s="80" t="s">
        <v>324</v>
      </c>
      <c r="C228" s="80" t="s">
        <v>89</v>
      </c>
      <c r="D228" s="126" t="s">
        <v>305</v>
      </c>
      <c r="E228" s="75">
        <f>F228+I228</f>
        <v>229500</v>
      </c>
      <c r="F228" s="73">
        <v>229500</v>
      </c>
      <c r="G228" s="58"/>
      <c r="H228" s="58"/>
      <c r="I228" s="58"/>
      <c r="J228" s="73">
        <f>K228+N228</f>
        <v>750500</v>
      </c>
      <c r="K228" s="58"/>
      <c r="L228" s="58"/>
      <c r="M228" s="58"/>
      <c r="N228" s="73">
        <v>750500</v>
      </c>
      <c r="O228" s="73">
        <v>750500</v>
      </c>
      <c r="P228" s="73">
        <f>E228+J228</f>
        <v>980000</v>
      </c>
      <c r="Q228" s="156"/>
    </row>
    <row r="229" spans="1:17" s="26" customFormat="1" ht="30">
      <c r="A229" s="24"/>
      <c r="B229" s="36" t="s">
        <v>261</v>
      </c>
      <c r="C229" s="27" t="s">
        <v>83</v>
      </c>
      <c r="D229" s="28" t="s">
        <v>84</v>
      </c>
      <c r="E229" s="35">
        <f t="shared" si="66"/>
        <v>0</v>
      </c>
      <c r="F229" s="35">
        <f>220000-220000</f>
        <v>0</v>
      </c>
      <c r="G229" s="35"/>
      <c r="H229" s="35"/>
      <c r="I229" s="35"/>
      <c r="J229" s="35">
        <f>K229+N229</f>
        <v>5200738</v>
      </c>
      <c r="K229" s="35">
        <f>350000+120000</f>
        <v>470000</v>
      </c>
      <c r="L229" s="35"/>
      <c r="M229" s="35"/>
      <c r="N229" s="35">
        <f>54000+1184200+3492538</f>
        <v>4730738</v>
      </c>
      <c r="O229" s="35">
        <f>868800-868800</f>
        <v>0</v>
      </c>
      <c r="P229" s="35">
        <f>E229+J229</f>
        <v>5200738</v>
      </c>
      <c r="Q229" s="156"/>
    </row>
    <row r="230" spans="1:17" s="26" customFormat="1" ht="15">
      <c r="A230" s="24"/>
      <c r="B230" s="36" t="s">
        <v>428</v>
      </c>
      <c r="C230" s="27" t="s">
        <v>429</v>
      </c>
      <c r="D230" s="28" t="s">
        <v>430</v>
      </c>
      <c r="E230" s="35"/>
      <c r="F230" s="35"/>
      <c r="G230" s="35"/>
      <c r="H230" s="35"/>
      <c r="I230" s="35"/>
      <c r="J230" s="35">
        <f>K230+N230</f>
        <v>250000</v>
      </c>
      <c r="K230" s="89">
        <v>250000</v>
      </c>
      <c r="L230" s="35"/>
      <c r="M230" s="35"/>
      <c r="N230" s="35"/>
      <c r="O230" s="35"/>
      <c r="P230" s="35">
        <f>E230+J230</f>
        <v>250000</v>
      </c>
      <c r="Q230" s="156"/>
    </row>
    <row r="231" spans="1:17" s="26" customFormat="1" ht="30">
      <c r="A231" s="24"/>
      <c r="B231" s="36" t="s">
        <v>431</v>
      </c>
      <c r="C231" s="27" t="s">
        <v>432</v>
      </c>
      <c r="D231" s="28" t="s">
        <v>433</v>
      </c>
      <c r="E231" s="35"/>
      <c r="F231" s="35"/>
      <c r="G231" s="35"/>
      <c r="H231" s="35"/>
      <c r="I231" s="35"/>
      <c r="J231" s="35">
        <f>K231+N231</f>
        <v>18000</v>
      </c>
      <c r="K231" s="89">
        <v>18000</v>
      </c>
      <c r="L231" s="35"/>
      <c r="M231" s="35"/>
      <c r="N231" s="35"/>
      <c r="O231" s="35"/>
      <c r="P231" s="35">
        <f>E231+J231</f>
        <v>18000</v>
      </c>
      <c r="Q231" s="156"/>
    </row>
    <row r="232" spans="1:17" s="26" customFormat="1" ht="15">
      <c r="A232" s="24"/>
      <c r="B232" s="36" t="s">
        <v>434</v>
      </c>
      <c r="C232" s="27" t="s">
        <v>435</v>
      </c>
      <c r="D232" s="28" t="s">
        <v>55</v>
      </c>
      <c r="E232" s="35"/>
      <c r="F232" s="35"/>
      <c r="G232" s="35"/>
      <c r="H232" s="35"/>
      <c r="I232" s="35"/>
      <c r="J232" s="35">
        <f>K232+N232</f>
        <v>251200</v>
      </c>
      <c r="K232" s="89">
        <v>251200</v>
      </c>
      <c r="L232" s="35"/>
      <c r="M232" s="35"/>
      <c r="N232" s="35"/>
      <c r="O232" s="35"/>
      <c r="P232" s="35">
        <f>E232+J232</f>
        <v>251200</v>
      </c>
      <c r="Q232" s="156"/>
    </row>
    <row r="233" spans="1:17" s="26" customFormat="1" ht="60">
      <c r="A233" s="24"/>
      <c r="B233" s="36" t="s">
        <v>262</v>
      </c>
      <c r="C233" s="27" t="s">
        <v>39</v>
      </c>
      <c r="D233" s="28" t="s">
        <v>40</v>
      </c>
      <c r="E233" s="35">
        <f>E234</f>
        <v>0</v>
      </c>
      <c r="F233" s="35">
        <f aca="true" t="shared" si="71" ref="F233:P233">F234</f>
        <v>0</v>
      </c>
      <c r="G233" s="35">
        <f t="shared" si="71"/>
        <v>0</v>
      </c>
      <c r="H233" s="35">
        <f t="shared" si="71"/>
        <v>0</v>
      </c>
      <c r="I233" s="35">
        <f t="shared" si="71"/>
        <v>0</v>
      </c>
      <c r="J233" s="35">
        <f t="shared" si="71"/>
        <v>237729.32</v>
      </c>
      <c r="K233" s="35">
        <f t="shared" si="71"/>
        <v>75000</v>
      </c>
      <c r="L233" s="35">
        <f t="shared" si="71"/>
        <v>0</v>
      </c>
      <c r="M233" s="35">
        <f t="shared" si="71"/>
        <v>0</v>
      </c>
      <c r="N233" s="35">
        <f t="shared" si="71"/>
        <v>162729.32</v>
      </c>
      <c r="O233" s="35">
        <f t="shared" si="71"/>
        <v>0</v>
      </c>
      <c r="P233" s="35">
        <f t="shared" si="71"/>
        <v>237729.32</v>
      </c>
      <c r="Q233" s="156"/>
    </row>
    <row r="234" spans="1:17" s="26" customFormat="1" ht="60">
      <c r="A234" s="24"/>
      <c r="B234" s="94" t="s">
        <v>263</v>
      </c>
      <c r="C234" s="80" t="s">
        <v>39</v>
      </c>
      <c r="D234" s="81" t="s">
        <v>40</v>
      </c>
      <c r="E234" s="73">
        <f>F234+I234</f>
        <v>0</v>
      </c>
      <c r="F234" s="73"/>
      <c r="G234" s="73"/>
      <c r="H234" s="73"/>
      <c r="I234" s="73"/>
      <c r="J234" s="73">
        <f>K234+N234</f>
        <v>237729.32</v>
      </c>
      <c r="K234" s="73">
        <f>75000</f>
        <v>75000</v>
      </c>
      <c r="L234" s="73"/>
      <c r="M234" s="73"/>
      <c r="N234" s="73">
        <v>162729.32</v>
      </c>
      <c r="O234" s="58"/>
      <c r="P234" s="73">
        <f>E234+J234</f>
        <v>237729.32</v>
      </c>
      <c r="Q234" s="156"/>
    </row>
    <row r="235" spans="1:17" s="26" customFormat="1" ht="28.5">
      <c r="A235" s="24"/>
      <c r="B235" s="36" t="s">
        <v>271</v>
      </c>
      <c r="C235" s="31"/>
      <c r="D235" s="32" t="s">
        <v>268</v>
      </c>
      <c r="E235" s="58">
        <f>E236</f>
        <v>2750710</v>
      </c>
      <c r="F235" s="58">
        <f aca="true" t="shared" si="72" ref="F235:P235">F236</f>
        <v>2750710</v>
      </c>
      <c r="G235" s="58">
        <f t="shared" si="72"/>
        <v>1676660</v>
      </c>
      <c r="H235" s="58">
        <f t="shared" si="72"/>
        <v>154189</v>
      </c>
      <c r="I235" s="58">
        <f t="shared" si="72"/>
        <v>0</v>
      </c>
      <c r="J235" s="58">
        <f t="shared" si="72"/>
        <v>20000</v>
      </c>
      <c r="K235" s="58">
        <f t="shared" si="72"/>
        <v>0</v>
      </c>
      <c r="L235" s="58">
        <f t="shared" si="72"/>
        <v>0</v>
      </c>
      <c r="M235" s="58">
        <f t="shared" si="72"/>
        <v>0</v>
      </c>
      <c r="N235" s="58">
        <f t="shared" si="72"/>
        <v>20000</v>
      </c>
      <c r="O235" s="58">
        <f t="shared" si="72"/>
        <v>20000</v>
      </c>
      <c r="P235" s="58">
        <f t="shared" si="72"/>
        <v>2770710</v>
      </c>
      <c r="Q235" s="156"/>
    </row>
    <row r="236" spans="1:17" s="96" customFormat="1" ht="30">
      <c r="A236" s="95"/>
      <c r="B236" s="104" t="s">
        <v>270</v>
      </c>
      <c r="C236" s="51"/>
      <c r="D236" s="52" t="s">
        <v>268</v>
      </c>
      <c r="E236" s="70">
        <f>E237+E238+E239</f>
        <v>2750710</v>
      </c>
      <c r="F236" s="70">
        <f aca="true" t="shared" si="73" ref="F236:P236">F237+F238+F239</f>
        <v>2750710</v>
      </c>
      <c r="G236" s="70">
        <f t="shared" si="73"/>
        <v>1676660</v>
      </c>
      <c r="H236" s="70">
        <f t="shared" si="73"/>
        <v>154189</v>
      </c>
      <c r="I236" s="70">
        <f t="shared" si="73"/>
        <v>0</v>
      </c>
      <c r="J236" s="70">
        <f t="shared" si="73"/>
        <v>20000</v>
      </c>
      <c r="K236" s="70">
        <f t="shared" si="73"/>
        <v>0</v>
      </c>
      <c r="L236" s="70">
        <f t="shared" si="73"/>
        <v>0</v>
      </c>
      <c r="M236" s="70">
        <f t="shared" si="73"/>
        <v>0</v>
      </c>
      <c r="N236" s="70">
        <f t="shared" si="73"/>
        <v>20000</v>
      </c>
      <c r="O236" s="70">
        <f t="shared" si="73"/>
        <v>20000</v>
      </c>
      <c r="P236" s="70">
        <f t="shared" si="73"/>
        <v>2770710</v>
      </c>
      <c r="Q236" s="156"/>
    </row>
    <row r="237" spans="1:17" s="26" customFormat="1" ht="45">
      <c r="A237" s="48"/>
      <c r="B237" s="57" t="s">
        <v>269</v>
      </c>
      <c r="C237" s="45" t="s">
        <v>9</v>
      </c>
      <c r="D237" s="49" t="s">
        <v>100</v>
      </c>
      <c r="E237" s="73">
        <f>F237+I237</f>
        <v>2380210</v>
      </c>
      <c r="F237" s="93">
        <f>2737690-357480</f>
        <v>2380210</v>
      </c>
      <c r="G237" s="93">
        <f>1763030-86370</f>
        <v>1676660</v>
      </c>
      <c r="H237" s="73">
        <v>154189</v>
      </c>
      <c r="I237" s="73"/>
      <c r="J237" s="73">
        <f>K237+N237</f>
        <v>20000</v>
      </c>
      <c r="K237" s="73"/>
      <c r="L237" s="73"/>
      <c r="M237" s="73"/>
      <c r="N237" s="73">
        <v>20000</v>
      </c>
      <c r="O237" s="73">
        <v>20000</v>
      </c>
      <c r="P237" s="73">
        <f>E237+J237</f>
        <v>2400210</v>
      </c>
      <c r="Q237" s="156"/>
    </row>
    <row r="238" spans="1:17" s="26" customFormat="1" ht="15">
      <c r="A238" s="24"/>
      <c r="B238" s="36" t="s">
        <v>273</v>
      </c>
      <c r="C238" s="27" t="s">
        <v>81</v>
      </c>
      <c r="D238" s="28" t="s">
        <v>257</v>
      </c>
      <c r="E238" s="35">
        <f>F238+I238</f>
        <v>10500</v>
      </c>
      <c r="F238" s="35">
        <v>10500</v>
      </c>
      <c r="G238" s="58"/>
      <c r="H238" s="58"/>
      <c r="I238" s="58"/>
      <c r="J238" s="73">
        <f>K238+N238</f>
        <v>0</v>
      </c>
      <c r="K238" s="58"/>
      <c r="L238" s="58"/>
      <c r="M238" s="58"/>
      <c r="N238" s="58"/>
      <c r="O238" s="58"/>
      <c r="P238" s="73">
        <f>E238+J238</f>
        <v>10500</v>
      </c>
      <c r="Q238" s="156"/>
    </row>
    <row r="239" spans="1:17" s="26" customFormat="1" ht="15">
      <c r="A239" s="24"/>
      <c r="B239" s="33" t="s">
        <v>274</v>
      </c>
      <c r="C239" s="27" t="s">
        <v>42</v>
      </c>
      <c r="D239" s="28" t="s">
        <v>19</v>
      </c>
      <c r="E239" s="47">
        <f>E240</f>
        <v>360000</v>
      </c>
      <c r="F239" s="47">
        <f aca="true" t="shared" si="74" ref="F239:P239">F240</f>
        <v>360000</v>
      </c>
      <c r="G239" s="47">
        <f t="shared" si="74"/>
        <v>0</v>
      </c>
      <c r="H239" s="47">
        <f t="shared" si="74"/>
        <v>0</v>
      </c>
      <c r="I239" s="47">
        <f t="shared" si="74"/>
        <v>0</v>
      </c>
      <c r="J239" s="47">
        <f t="shared" si="74"/>
        <v>0</v>
      </c>
      <c r="K239" s="47">
        <f t="shared" si="74"/>
        <v>0</v>
      </c>
      <c r="L239" s="47">
        <f t="shared" si="74"/>
        <v>0</v>
      </c>
      <c r="M239" s="47">
        <f t="shared" si="74"/>
        <v>0</v>
      </c>
      <c r="N239" s="47">
        <f t="shared" si="74"/>
        <v>0</v>
      </c>
      <c r="O239" s="47">
        <f t="shared" si="74"/>
        <v>0</v>
      </c>
      <c r="P239" s="47">
        <f t="shared" si="74"/>
        <v>360000</v>
      </c>
      <c r="Q239" s="156"/>
    </row>
    <row r="240" spans="1:17" s="26" customFormat="1" ht="90">
      <c r="A240" s="24"/>
      <c r="B240" s="80" t="s">
        <v>275</v>
      </c>
      <c r="C240" s="80" t="s">
        <v>42</v>
      </c>
      <c r="D240" s="81" t="s">
        <v>346</v>
      </c>
      <c r="E240" s="73">
        <f>F240+I240</f>
        <v>360000</v>
      </c>
      <c r="F240" s="73">
        <v>360000</v>
      </c>
      <c r="G240" s="73"/>
      <c r="H240" s="73"/>
      <c r="I240" s="58"/>
      <c r="J240" s="73">
        <f>K240+N240</f>
        <v>0</v>
      </c>
      <c r="K240" s="58"/>
      <c r="L240" s="58"/>
      <c r="M240" s="58"/>
      <c r="N240" s="58"/>
      <c r="O240" s="58"/>
      <c r="P240" s="73">
        <f>E240+J240</f>
        <v>360000</v>
      </c>
      <c r="Q240" s="156">
        <v>87</v>
      </c>
    </row>
    <row r="241" spans="1:17" s="26" customFormat="1" ht="42.75">
      <c r="A241" s="24"/>
      <c r="B241" s="36" t="s">
        <v>277</v>
      </c>
      <c r="C241" s="31"/>
      <c r="D241" s="32" t="s">
        <v>276</v>
      </c>
      <c r="E241" s="58">
        <f>E242</f>
        <v>60807926</v>
      </c>
      <c r="F241" s="58">
        <f aca="true" t="shared" si="75" ref="F241:P241">F242</f>
        <v>60607926</v>
      </c>
      <c r="G241" s="58">
        <f t="shared" si="75"/>
        <v>0</v>
      </c>
      <c r="H241" s="58">
        <f t="shared" si="75"/>
        <v>0</v>
      </c>
      <c r="I241" s="58">
        <f t="shared" si="75"/>
        <v>200000</v>
      </c>
      <c r="J241" s="58">
        <f t="shared" si="75"/>
        <v>230545763.47</v>
      </c>
      <c r="K241" s="58">
        <f t="shared" si="75"/>
        <v>2321148.53</v>
      </c>
      <c r="L241" s="58">
        <f t="shared" si="75"/>
        <v>1413770</v>
      </c>
      <c r="M241" s="58">
        <f t="shared" si="75"/>
        <v>50946</v>
      </c>
      <c r="N241" s="58">
        <f t="shared" si="75"/>
        <v>228224614.94</v>
      </c>
      <c r="O241" s="58">
        <f t="shared" si="75"/>
        <v>225777784.94</v>
      </c>
      <c r="P241" s="58">
        <f t="shared" si="75"/>
        <v>291353689.46999997</v>
      </c>
      <c r="Q241" s="156"/>
    </row>
    <row r="242" spans="1:17" s="96" customFormat="1" ht="45">
      <c r="A242" s="95"/>
      <c r="B242" s="104" t="s">
        <v>278</v>
      </c>
      <c r="C242" s="51"/>
      <c r="D242" s="52" t="s">
        <v>276</v>
      </c>
      <c r="E242" s="70">
        <f>E243+E244+E245+E246+E250+E254+E252+E249+E256+E247+E255+E248</f>
        <v>60807926</v>
      </c>
      <c r="F242" s="70">
        <f aca="true" t="shared" si="76" ref="F242:P242">F243+F244+F245+F246+F250+F254+F252+F249+F256+F247+F255+F248</f>
        <v>60607926</v>
      </c>
      <c r="G242" s="70">
        <f t="shared" si="76"/>
        <v>0</v>
      </c>
      <c r="H242" s="70">
        <f t="shared" si="76"/>
        <v>0</v>
      </c>
      <c r="I242" s="70">
        <f t="shared" si="76"/>
        <v>200000</v>
      </c>
      <c r="J242" s="70">
        <f t="shared" si="76"/>
        <v>230545763.47</v>
      </c>
      <c r="K242" s="70">
        <f t="shared" si="76"/>
        <v>2321148.53</v>
      </c>
      <c r="L242" s="70">
        <f t="shared" si="76"/>
        <v>1413770</v>
      </c>
      <c r="M242" s="70">
        <f t="shared" si="76"/>
        <v>50946</v>
      </c>
      <c r="N242" s="70">
        <f t="shared" si="76"/>
        <v>228224614.94</v>
      </c>
      <c r="O242" s="70">
        <f t="shared" si="76"/>
        <v>225777784.94</v>
      </c>
      <c r="P242" s="70">
        <f t="shared" si="76"/>
        <v>291353689.46999997</v>
      </c>
      <c r="Q242" s="156"/>
    </row>
    <row r="243" spans="1:17" s="26" customFormat="1" ht="45">
      <c r="A243" s="48"/>
      <c r="B243" s="57" t="s">
        <v>279</v>
      </c>
      <c r="C243" s="45" t="s">
        <v>9</v>
      </c>
      <c r="D243" s="49" t="s">
        <v>100</v>
      </c>
      <c r="E243" s="73">
        <f>F243+I243</f>
        <v>0</v>
      </c>
      <c r="F243" s="73"/>
      <c r="G243" s="73"/>
      <c r="H243" s="73"/>
      <c r="I243" s="73"/>
      <c r="J243" s="73">
        <f>K243+N243</f>
        <v>2380664</v>
      </c>
      <c r="K243" s="73">
        <v>2280164</v>
      </c>
      <c r="L243" s="73">
        <v>1413770</v>
      </c>
      <c r="M243" s="73">
        <v>50946</v>
      </c>
      <c r="N243" s="73">
        <v>100500</v>
      </c>
      <c r="O243" s="73"/>
      <c r="P243" s="73">
        <f aca="true" t="shared" si="77" ref="P243:P249">E243+J243</f>
        <v>2380664</v>
      </c>
      <c r="Q243" s="156"/>
    </row>
    <row r="244" spans="1:17" s="26" customFormat="1" ht="30">
      <c r="A244" s="24"/>
      <c r="B244" s="36" t="s">
        <v>280</v>
      </c>
      <c r="C244" s="27" t="s">
        <v>56</v>
      </c>
      <c r="D244" s="28" t="s">
        <v>191</v>
      </c>
      <c r="E244" s="35"/>
      <c r="F244" s="35"/>
      <c r="G244" s="35"/>
      <c r="H244" s="35"/>
      <c r="I244" s="35"/>
      <c r="J244" s="35">
        <f>K244+N244</f>
        <v>1724000</v>
      </c>
      <c r="K244" s="35"/>
      <c r="L244" s="35"/>
      <c r="M244" s="35"/>
      <c r="N244" s="35">
        <v>1724000</v>
      </c>
      <c r="O244" s="35">
        <v>1724000</v>
      </c>
      <c r="P244" s="35">
        <f t="shared" si="77"/>
        <v>1724000</v>
      </c>
      <c r="Q244" s="156"/>
    </row>
    <row r="245" spans="1:17" s="26" customFormat="1" ht="15">
      <c r="A245" s="24"/>
      <c r="B245" s="36" t="s">
        <v>281</v>
      </c>
      <c r="C245" s="27" t="s">
        <v>21</v>
      </c>
      <c r="D245" s="28" t="s">
        <v>22</v>
      </c>
      <c r="E245" s="35">
        <f>F245+I245</f>
        <v>60300000</v>
      </c>
      <c r="F245" s="89">
        <f>30000000+30000000+300000</f>
        <v>60300000</v>
      </c>
      <c r="G245" s="58"/>
      <c r="H245" s="58"/>
      <c r="I245" s="58"/>
      <c r="J245" s="73">
        <f>K245+N245</f>
        <v>71252200</v>
      </c>
      <c r="K245" s="58"/>
      <c r="L245" s="58"/>
      <c r="M245" s="58"/>
      <c r="N245" s="93">
        <f>35000000+16252200+20000000</f>
        <v>71252200</v>
      </c>
      <c r="O245" s="93">
        <f>35000000+16252200+20000000</f>
        <v>71252200</v>
      </c>
      <c r="P245" s="73">
        <f t="shared" si="77"/>
        <v>131552200</v>
      </c>
      <c r="Q245" s="156"/>
    </row>
    <row r="246" spans="1:17" s="26" customFormat="1" ht="30">
      <c r="A246" s="24"/>
      <c r="B246" s="36" t="s">
        <v>282</v>
      </c>
      <c r="C246" s="27" t="s">
        <v>85</v>
      </c>
      <c r="D246" s="28" t="s">
        <v>272</v>
      </c>
      <c r="E246" s="35">
        <f>F246+I246</f>
        <v>0</v>
      </c>
      <c r="F246" s="58"/>
      <c r="G246" s="58"/>
      <c r="H246" s="58"/>
      <c r="I246" s="58"/>
      <c r="J246" s="73">
        <f>K246+N246</f>
        <v>140801584.94</v>
      </c>
      <c r="K246" s="73"/>
      <c r="L246" s="73"/>
      <c r="M246" s="73"/>
      <c r="N246" s="93">
        <f>76917041.94+15082000+19829065.59+2000000+472250+8122934.41+7365000+185923+9210370+1480000+50000+87000</f>
        <v>140801584.94</v>
      </c>
      <c r="O246" s="93">
        <f>76917041.94+15082000+19829065.59+2000000+472250+8122934.41+7365000+185923+9210370+1480000+50000+87000</f>
        <v>140801584.94</v>
      </c>
      <c r="P246" s="73">
        <f t="shared" si="77"/>
        <v>140801584.94</v>
      </c>
      <c r="Q246" s="156"/>
    </row>
    <row r="247" spans="1:17" s="26" customFormat="1" ht="30">
      <c r="A247" s="24"/>
      <c r="B247" s="91" t="s">
        <v>457</v>
      </c>
      <c r="C247" s="27" t="s">
        <v>320</v>
      </c>
      <c r="D247" s="28" t="s">
        <v>321</v>
      </c>
      <c r="E247" s="35">
        <f>F247+I247</f>
        <v>200000</v>
      </c>
      <c r="F247" s="35"/>
      <c r="G247" s="58"/>
      <c r="H247" s="58"/>
      <c r="I247" s="35">
        <v>200000</v>
      </c>
      <c r="J247" s="73"/>
      <c r="K247" s="73"/>
      <c r="L247" s="73"/>
      <c r="M247" s="73"/>
      <c r="N247" s="93"/>
      <c r="O247" s="93"/>
      <c r="P247" s="73">
        <f t="shared" si="77"/>
        <v>200000</v>
      </c>
      <c r="Q247" s="156"/>
    </row>
    <row r="248" spans="1:17" s="26" customFormat="1" ht="15">
      <c r="A248" s="24"/>
      <c r="B248" s="57" t="s">
        <v>466</v>
      </c>
      <c r="C248" s="45" t="s">
        <v>81</v>
      </c>
      <c r="D248" s="49" t="s">
        <v>257</v>
      </c>
      <c r="E248" s="35">
        <f>F248+I248</f>
        <v>35000</v>
      </c>
      <c r="F248" s="35">
        <v>35000</v>
      </c>
      <c r="G248" s="58"/>
      <c r="H248" s="58"/>
      <c r="I248" s="70"/>
      <c r="J248" s="73"/>
      <c r="K248" s="73"/>
      <c r="L248" s="73"/>
      <c r="M248" s="73"/>
      <c r="N248" s="93"/>
      <c r="O248" s="93"/>
      <c r="P248" s="73">
        <f t="shared" si="77"/>
        <v>35000</v>
      </c>
      <c r="Q248" s="156"/>
    </row>
    <row r="249" spans="1:17" s="26" customFormat="1" ht="30">
      <c r="A249" s="24"/>
      <c r="B249" s="33" t="s">
        <v>439</v>
      </c>
      <c r="C249" s="27" t="s">
        <v>34</v>
      </c>
      <c r="D249" s="28" t="s">
        <v>142</v>
      </c>
      <c r="E249" s="35"/>
      <c r="F249" s="58"/>
      <c r="G249" s="58"/>
      <c r="H249" s="58"/>
      <c r="I249" s="58"/>
      <c r="J249" s="73">
        <f>K249+N249</f>
        <v>12000000</v>
      </c>
      <c r="K249" s="73"/>
      <c r="L249" s="73"/>
      <c r="M249" s="73"/>
      <c r="N249" s="93">
        <f>6750000+5250000</f>
        <v>12000000</v>
      </c>
      <c r="O249" s="93">
        <f>6750000+5250000</f>
        <v>12000000</v>
      </c>
      <c r="P249" s="73">
        <f t="shared" si="77"/>
        <v>12000000</v>
      </c>
      <c r="Q249" s="156"/>
    </row>
    <row r="250" spans="1:17" s="26" customFormat="1" ht="45">
      <c r="A250" s="24"/>
      <c r="B250" s="27" t="s">
        <v>310</v>
      </c>
      <c r="C250" s="27"/>
      <c r="D250" s="28" t="s">
        <v>285</v>
      </c>
      <c r="E250" s="35">
        <f>E251</f>
        <v>84905</v>
      </c>
      <c r="F250" s="35">
        <f aca="true" t="shared" si="78" ref="F250:P250">F251</f>
        <v>84905</v>
      </c>
      <c r="G250" s="35">
        <f t="shared" si="78"/>
        <v>0</v>
      </c>
      <c r="H250" s="35">
        <f t="shared" si="78"/>
        <v>0</v>
      </c>
      <c r="I250" s="35">
        <f t="shared" si="78"/>
        <v>0</v>
      </c>
      <c r="J250" s="35">
        <f t="shared" si="78"/>
        <v>40984.53</v>
      </c>
      <c r="K250" s="35">
        <f t="shared" si="78"/>
        <v>40984.53</v>
      </c>
      <c r="L250" s="35">
        <f t="shared" si="78"/>
        <v>0</v>
      </c>
      <c r="M250" s="35">
        <f t="shared" si="78"/>
        <v>0</v>
      </c>
      <c r="N250" s="35">
        <f t="shared" si="78"/>
        <v>0</v>
      </c>
      <c r="O250" s="35">
        <f t="shared" si="78"/>
        <v>0</v>
      </c>
      <c r="P250" s="35">
        <f t="shared" si="78"/>
        <v>125889.53</v>
      </c>
      <c r="Q250" s="156"/>
    </row>
    <row r="251" spans="1:17" s="26" customFormat="1" ht="75">
      <c r="A251" s="24"/>
      <c r="B251" s="104" t="s">
        <v>284</v>
      </c>
      <c r="C251" s="86" t="s">
        <v>86</v>
      </c>
      <c r="D251" s="81" t="s">
        <v>283</v>
      </c>
      <c r="E251" s="64">
        <f>F251+I251</f>
        <v>84905</v>
      </c>
      <c r="F251" s="64">
        <v>84905</v>
      </c>
      <c r="G251" s="64"/>
      <c r="H251" s="64"/>
      <c r="I251" s="64"/>
      <c r="J251" s="64">
        <f>K251+N251</f>
        <v>40984.53</v>
      </c>
      <c r="K251" s="64">
        <f>30069+10915.53</f>
        <v>40984.53</v>
      </c>
      <c r="L251" s="70"/>
      <c r="M251" s="70"/>
      <c r="N251" s="70"/>
      <c r="O251" s="70"/>
      <c r="P251" s="64">
        <f>E251+J251</f>
        <v>125889.53</v>
      </c>
      <c r="Q251" s="156"/>
    </row>
    <row r="252" spans="1:17" s="26" customFormat="1" ht="15">
      <c r="A252" s="24"/>
      <c r="B252" s="33" t="s">
        <v>347</v>
      </c>
      <c r="C252" s="27" t="s">
        <v>42</v>
      </c>
      <c r="D252" s="28" t="s">
        <v>19</v>
      </c>
      <c r="E252" s="64">
        <f>E253</f>
        <v>188021</v>
      </c>
      <c r="F252" s="64">
        <f aca="true" t="shared" si="79" ref="F252:P252">F253</f>
        <v>188021</v>
      </c>
      <c r="G252" s="64">
        <f t="shared" si="79"/>
        <v>0</v>
      </c>
      <c r="H252" s="64">
        <f t="shared" si="79"/>
        <v>0</v>
      </c>
      <c r="I252" s="64">
        <f t="shared" si="79"/>
        <v>0</v>
      </c>
      <c r="J252" s="64">
        <f t="shared" si="79"/>
        <v>0</v>
      </c>
      <c r="K252" s="64">
        <f t="shared" si="79"/>
        <v>0</v>
      </c>
      <c r="L252" s="64">
        <f t="shared" si="79"/>
        <v>0</v>
      </c>
      <c r="M252" s="64">
        <f t="shared" si="79"/>
        <v>0</v>
      </c>
      <c r="N252" s="64">
        <f t="shared" si="79"/>
        <v>0</v>
      </c>
      <c r="O252" s="64">
        <f t="shared" si="79"/>
        <v>0</v>
      </c>
      <c r="P252" s="64">
        <f t="shared" si="79"/>
        <v>188021</v>
      </c>
      <c r="Q252" s="156"/>
    </row>
    <row r="253" spans="1:17" s="26" customFormat="1" ht="51.75" customHeight="1">
      <c r="A253" s="24"/>
      <c r="B253" s="80" t="s">
        <v>348</v>
      </c>
      <c r="C253" s="80" t="s">
        <v>42</v>
      </c>
      <c r="D253" s="81" t="s">
        <v>349</v>
      </c>
      <c r="E253" s="64">
        <f>F253+I253</f>
        <v>188021</v>
      </c>
      <c r="F253" s="64">
        <v>188021</v>
      </c>
      <c r="G253" s="64"/>
      <c r="H253" s="64"/>
      <c r="I253" s="64"/>
      <c r="J253" s="64"/>
      <c r="K253" s="64"/>
      <c r="L253" s="70"/>
      <c r="M253" s="70"/>
      <c r="N253" s="70"/>
      <c r="O253" s="70"/>
      <c r="P253" s="64">
        <f>J253+E253</f>
        <v>188021</v>
      </c>
      <c r="Q253" s="156"/>
    </row>
    <row r="254" spans="1:17" s="26" customFormat="1" ht="30">
      <c r="A254" s="24"/>
      <c r="B254" s="36" t="s">
        <v>325</v>
      </c>
      <c r="C254" s="27" t="s">
        <v>83</v>
      </c>
      <c r="D254" s="28" t="s">
        <v>84</v>
      </c>
      <c r="E254" s="35"/>
      <c r="F254" s="35"/>
      <c r="G254" s="35"/>
      <c r="H254" s="35"/>
      <c r="I254" s="35"/>
      <c r="J254" s="35">
        <f>K254+N254</f>
        <v>606000</v>
      </c>
      <c r="K254" s="35"/>
      <c r="L254" s="58"/>
      <c r="M254" s="58"/>
      <c r="N254" s="73">
        <f>126000+480000</f>
        <v>606000</v>
      </c>
      <c r="O254" s="58"/>
      <c r="P254" s="73">
        <f>E254+J254</f>
        <v>606000</v>
      </c>
      <c r="Q254" s="156"/>
    </row>
    <row r="255" spans="1:17" s="26" customFormat="1" ht="45">
      <c r="A255" s="24"/>
      <c r="B255" s="36" t="s">
        <v>460</v>
      </c>
      <c r="C255" s="27" t="s">
        <v>459</v>
      </c>
      <c r="D255" s="28" t="s">
        <v>458</v>
      </c>
      <c r="E255" s="35"/>
      <c r="F255" s="35"/>
      <c r="G255" s="35"/>
      <c r="H255" s="35"/>
      <c r="I255" s="35"/>
      <c r="J255" s="35">
        <f>K255+N255</f>
        <v>1340330</v>
      </c>
      <c r="K255" s="35"/>
      <c r="L255" s="58"/>
      <c r="M255" s="58"/>
      <c r="N255" s="73">
        <v>1340330</v>
      </c>
      <c r="O255" s="58"/>
      <c r="P255" s="73">
        <f>E255+J255</f>
        <v>1340330</v>
      </c>
      <c r="Q255" s="156"/>
    </row>
    <row r="256" spans="1:17" s="26" customFormat="1" ht="15">
      <c r="A256" s="24"/>
      <c r="B256" s="99" t="s">
        <v>455</v>
      </c>
      <c r="C256" s="115" t="s">
        <v>435</v>
      </c>
      <c r="D256" s="116" t="s">
        <v>55</v>
      </c>
      <c r="E256" s="35"/>
      <c r="F256" s="35"/>
      <c r="G256" s="35"/>
      <c r="H256" s="35"/>
      <c r="I256" s="35"/>
      <c r="J256" s="35">
        <f>K256+N256</f>
        <v>400000</v>
      </c>
      <c r="K256" s="35"/>
      <c r="L256" s="58"/>
      <c r="M256" s="58"/>
      <c r="N256" s="73">
        <v>400000</v>
      </c>
      <c r="O256" s="58"/>
      <c r="P256" s="73">
        <f>E256+J256</f>
        <v>400000</v>
      </c>
      <c r="Q256" s="156"/>
    </row>
    <row r="257" spans="1:17" s="26" customFormat="1" ht="42.75">
      <c r="A257" s="24"/>
      <c r="B257" s="40">
        <v>4800000</v>
      </c>
      <c r="C257" s="31"/>
      <c r="D257" s="32" t="s">
        <v>286</v>
      </c>
      <c r="E257" s="58">
        <f>E258</f>
        <v>4278210</v>
      </c>
      <c r="F257" s="58">
        <f aca="true" t="shared" si="80" ref="F257:P257">F258</f>
        <v>4278210</v>
      </c>
      <c r="G257" s="58">
        <f t="shared" si="80"/>
        <v>2986650</v>
      </c>
      <c r="H257" s="58">
        <f t="shared" si="80"/>
        <v>167498</v>
      </c>
      <c r="I257" s="58">
        <f t="shared" si="80"/>
        <v>0</v>
      </c>
      <c r="J257" s="58">
        <f t="shared" si="80"/>
        <v>1261500</v>
      </c>
      <c r="K257" s="58">
        <f t="shared" si="80"/>
        <v>415500</v>
      </c>
      <c r="L257" s="58">
        <f t="shared" si="80"/>
        <v>0</v>
      </c>
      <c r="M257" s="58">
        <f t="shared" si="80"/>
        <v>0</v>
      </c>
      <c r="N257" s="58">
        <f t="shared" si="80"/>
        <v>846000</v>
      </c>
      <c r="O257" s="58">
        <f t="shared" si="80"/>
        <v>536500</v>
      </c>
      <c r="P257" s="58">
        <f t="shared" si="80"/>
        <v>5539710</v>
      </c>
      <c r="Q257" s="156"/>
    </row>
    <row r="258" spans="1:17" s="96" customFormat="1" ht="45">
      <c r="A258" s="95"/>
      <c r="B258" s="79">
        <v>4810000</v>
      </c>
      <c r="C258" s="51"/>
      <c r="D258" s="52" t="s">
        <v>286</v>
      </c>
      <c r="E258" s="70">
        <f>E259+E260+E267+E262+E265+E261</f>
        <v>4278210</v>
      </c>
      <c r="F258" s="70">
        <f aca="true" t="shared" si="81" ref="F258:P258">F259+F260+F267+F262+F265+F261</f>
        <v>4278210</v>
      </c>
      <c r="G258" s="70">
        <f t="shared" si="81"/>
        <v>2986650</v>
      </c>
      <c r="H258" s="70">
        <f t="shared" si="81"/>
        <v>167498</v>
      </c>
      <c r="I258" s="70">
        <f t="shared" si="81"/>
        <v>0</v>
      </c>
      <c r="J258" s="70">
        <f t="shared" si="81"/>
        <v>1261500</v>
      </c>
      <c r="K258" s="70">
        <f t="shared" si="81"/>
        <v>415500</v>
      </c>
      <c r="L258" s="70">
        <f t="shared" si="81"/>
        <v>0</v>
      </c>
      <c r="M258" s="70">
        <f t="shared" si="81"/>
        <v>0</v>
      </c>
      <c r="N258" s="70">
        <f t="shared" si="81"/>
        <v>846000</v>
      </c>
      <c r="O258" s="70">
        <f t="shared" si="81"/>
        <v>536500</v>
      </c>
      <c r="P258" s="70">
        <f t="shared" si="81"/>
        <v>5539710</v>
      </c>
      <c r="Q258" s="156"/>
    </row>
    <row r="259" spans="1:17" s="26" customFormat="1" ht="45">
      <c r="A259" s="48"/>
      <c r="B259" s="57" t="s">
        <v>287</v>
      </c>
      <c r="C259" s="45" t="s">
        <v>9</v>
      </c>
      <c r="D259" s="49" t="s">
        <v>100</v>
      </c>
      <c r="E259" s="73">
        <f>F259+I259</f>
        <v>4093110</v>
      </c>
      <c r="F259" s="93">
        <f>4520200-427090</f>
        <v>4093110</v>
      </c>
      <c r="G259" s="73">
        <v>2986650</v>
      </c>
      <c r="H259" s="73">
        <v>167498</v>
      </c>
      <c r="I259" s="73"/>
      <c r="J259" s="73">
        <f aca="true" t="shared" si="82" ref="J259:J264">K259+N259</f>
        <v>250000</v>
      </c>
      <c r="K259" s="73"/>
      <c r="L259" s="73"/>
      <c r="M259" s="73"/>
      <c r="N259" s="73">
        <v>250000</v>
      </c>
      <c r="O259" s="73">
        <v>250000</v>
      </c>
      <c r="P259" s="73">
        <f>E259+J259</f>
        <v>4343110</v>
      </c>
      <c r="Q259" s="156"/>
    </row>
    <row r="260" spans="1:17" s="26" customFormat="1" ht="15">
      <c r="A260" s="24"/>
      <c r="B260" s="36" t="s">
        <v>288</v>
      </c>
      <c r="C260" s="27" t="s">
        <v>81</v>
      </c>
      <c r="D260" s="28" t="s">
        <v>257</v>
      </c>
      <c r="E260" s="73">
        <f>F260+I260</f>
        <v>0</v>
      </c>
      <c r="F260" s="58"/>
      <c r="G260" s="58"/>
      <c r="H260" s="58"/>
      <c r="I260" s="58"/>
      <c r="J260" s="73">
        <f t="shared" si="82"/>
        <v>148000</v>
      </c>
      <c r="K260" s="73"/>
      <c r="L260" s="73"/>
      <c r="M260" s="73"/>
      <c r="N260" s="73">
        <v>148000</v>
      </c>
      <c r="O260" s="73">
        <v>148000</v>
      </c>
      <c r="P260" s="73">
        <f>E260+J260</f>
        <v>148000</v>
      </c>
      <c r="Q260" s="156"/>
    </row>
    <row r="261" spans="1:17" s="26" customFormat="1" ht="30">
      <c r="A261" s="24"/>
      <c r="B261" s="33" t="s">
        <v>475</v>
      </c>
      <c r="C261" s="27" t="s">
        <v>34</v>
      </c>
      <c r="D261" s="28" t="s">
        <v>142</v>
      </c>
      <c r="E261" s="73">
        <f>F261+I261</f>
        <v>0</v>
      </c>
      <c r="F261" s="58"/>
      <c r="G261" s="58"/>
      <c r="H261" s="58"/>
      <c r="I261" s="58"/>
      <c r="J261" s="73">
        <f t="shared" si="82"/>
        <v>39000</v>
      </c>
      <c r="K261" s="73"/>
      <c r="L261" s="73"/>
      <c r="M261" s="73"/>
      <c r="N261" s="73">
        <v>39000</v>
      </c>
      <c r="O261" s="73">
        <v>39000</v>
      </c>
      <c r="P261" s="73">
        <f>E261+J261</f>
        <v>39000</v>
      </c>
      <c r="Q261" s="145"/>
    </row>
    <row r="262" spans="1:17" s="26" customFormat="1" ht="15">
      <c r="A262" s="24"/>
      <c r="B262" s="80" t="s">
        <v>296</v>
      </c>
      <c r="C262" s="45" t="s">
        <v>42</v>
      </c>
      <c r="D262" s="49" t="s">
        <v>19</v>
      </c>
      <c r="E262" s="73">
        <f>E263+E264</f>
        <v>185100</v>
      </c>
      <c r="F262" s="73">
        <f aca="true" t="shared" si="83" ref="F262:P262">F263+F264</f>
        <v>185100</v>
      </c>
      <c r="G262" s="73">
        <f t="shared" si="83"/>
        <v>0</v>
      </c>
      <c r="H262" s="73">
        <f t="shared" si="83"/>
        <v>0</v>
      </c>
      <c r="I262" s="73">
        <f t="shared" si="83"/>
        <v>0</v>
      </c>
      <c r="J262" s="73">
        <f t="shared" si="82"/>
        <v>0</v>
      </c>
      <c r="K262" s="73">
        <f t="shared" si="83"/>
        <v>0</v>
      </c>
      <c r="L262" s="73">
        <f t="shared" si="83"/>
        <v>0</v>
      </c>
      <c r="M262" s="73">
        <f t="shared" si="83"/>
        <v>0</v>
      </c>
      <c r="N262" s="73">
        <f t="shared" si="83"/>
        <v>0</v>
      </c>
      <c r="O262" s="73">
        <f t="shared" si="83"/>
        <v>0</v>
      </c>
      <c r="P262" s="73">
        <f t="shared" si="83"/>
        <v>185100</v>
      </c>
      <c r="Q262" s="156">
        <v>88</v>
      </c>
    </row>
    <row r="263" spans="1:17" s="96" customFormat="1" ht="60">
      <c r="A263" s="95"/>
      <c r="B263" s="80" t="s">
        <v>297</v>
      </c>
      <c r="C263" s="80" t="s">
        <v>42</v>
      </c>
      <c r="D263" s="97" t="s">
        <v>267</v>
      </c>
      <c r="E263" s="64">
        <f>F263+I263</f>
        <v>170000</v>
      </c>
      <c r="F263" s="64">
        <f>170000</f>
        <v>170000</v>
      </c>
      <c r="G263" s="70"/>
      <c r="H263" s="70"/>
      <c r="I263" s="70"/>
      <c r="J263" s="73">
        <f t="shared" si="82"/>
        <v>0</v>
      </c>
      <c r="K263" s="70"/>
      <c r="L263" s="70"/>
      <c r="M263" s="70"/>
      <c r="N263" s="70"/>
      <c r="O263" s="70"/>
      <c r="P263" s="64">
        <f>E263+J263</f>
        <v>170000</v>
      </c>
      <c r="Q263" s="156"/>
    </row>
    <row r="264" spans="1:17" s="96" customFormat="1" ht="45">
      <c r="A264" s="95"/>
      <c r="B264" s="80" t="s">
        <v>450</v>
      </c>
      <c r="C264" s="80" t="s">
        <v>42</v>
      </c>
      <c r="D264" s="98" t="s">
        <v>337</v>
      </c>
      <c r="E264" s="64">
        <f>F264+I264</f>
        <v>15100</v>
      </c>
      <c r="F264" s="64">
        <v>15100</v>
      </c>
      <c r="G264" s="70"/>
      <c r="H264" s="70"/>
      <c r="I264" s="70"/>
      <c r="J264" s="73">
        <f t="shared" si="82"/>
        <v>0</v>
      </c>
      <c r="K264" s="70"/>
      <c r="L264" s="70"/>
      <c r="M264" s="70"/>
      <c r="N264" s="70"/>
      <c r="O264" s="70"/>
      <c r="P264" s="64">
        <f>E264+J264</f>
        <v>15100</v>
      </c>
      <c r="Q264" s="156"/>
    </row>
    <row r="265" spans="1:17" s="96" customFormat="1" ht="15">
      <c r="A265" s="95"/>
      <c r="B265" s="54">
        <v>4818800</v>
      </c>
      <c r="C265" s="45" t="s">
        <v>89</v>
      </c>
      <c r="D265" s="129" t="s">
        <v>90</v>
      </c>
      <c r="E265" s="35">
        <f>E266</f>
        <v>0</v>
      </c>
      <c r="F265" s="35">
        <f aca="true" t="shared" si="84" ref="F265:P265">F266</f>
        <v>0</v>
      </c>
      <c r="G265" s="35">
        <f t="shared" si="84"/>
        <v>0</v>
      </c>
      <c r="H265" s="35">
        <f t="shared" si="84"/>
        <v>0</v>
      </c>
      <c r="I265" s="35">
        <f t="shared" si="84"/>
        <v>0</v>
      </c>
      <c r="J265" s="35">
        <f t="shared" si="84"/>
        <v>99500</v>
      </c>
      <c r="K265" s="35">
        <f t="shared" si="84"/>
        <v>0</v>
      </c>
      <c r="L265" s="35">
        <f t="shared" si="84"/>
        <v>0</v>
      </c>
      <c r="M265" s="35">
        <f t="shared" si="84"/>
        <v>0</v>
      </c>
      <c r="N265" s="35">
        <f t="shared" si="84"/>
        <v>99500</v>
      </c>
      <c r="O265" s="35">
        <f t="shared" si="84"/>
        <v>99500</v>
      </c>
      <c r="P265" s="35">
        <f t="shared" si="84"/>
        <v>99500</v>
      </c>
      <c r="Q265" s="156"/>
    </row>
    <row r="266" spans="1:17" s="149" customFormat="1" ht="60">
      <c r="A266" s="148"/>
      <c r="B266" s="80" t="s">
        <v>464</v>
      </c>
      <c r="C266" s="80" t="s">
        <v>89</v>
      </c>
      <c r="D266" s="126" t="s">
        <v>465</v>
      </c>
      <c r="E266" s="64">
        <f>F266+I266</f>
        <v>0</v>
      </c>
      <c r="F266" s="64"/>
      <c r="G266" s="70"/>
      <c r="H266" s="70"/>
      <c r="I266" s="70"/>
      <c r="J266" s="64">
        <f>K266+N266</f>
        <v>99500</v>
      </c>
      <c r="K266" s="70"/>
      <c r="L266" s="70"/>
      <c r="M266" s="70"/>
      <c r="N266" s="70">
        <v>99500</v>
      </c>
      <c r="O266" s="70">
        <v>99500</v>
      </c>
      <c r="P266" s="64">
        <f>E266+J266</f>
        <v>99500</v>
      </c>
      <c r="Q266" s="156"/>
    </row>
    <row r="267" spans="1:17" s="26" customFormat="1" ht="60">
      <c r="A267" s="48"/>
      <c r="B267" s="57" t="s">
        <v>289</v>
      </c>
      <c r="C267" s="45" t="s">
        <v>39</v>
      </c>
      <c r="D267" s="49" t="s">
        <v>40</v>
      </c>
      <c r="E267" s="73">
        <f aca="true" t="shared" si="85" ref="E267:P267">E268</f>
        <v>0</v>
      </c>
      <c r="F267" s="73">
        <f t="shared" si="85"/>
        <v>0</v>
      </c>
      <c r="G267" s="73">
        <f t="shared" si="85"/>
        <v>0</v>
      </c>
      <c r="H267" s="73">
        <f t="shared" si="85"/>
        <v>0</v>
      </c>
      <c r="I267" s="73">
        <f t="shared" si="85"/>
        <v>0</v>
      </c>
      <c r="J267" s="73">
        <f t="shared" si="85"/>
        <v>725000</v>
      </c>
      <c r="K267" s="73">
        <f t="shared" si="85"/>
        <v>415500</v>
      </c>
      <c r="L267" s="73">
        <f t="shared" si="85"/>
        <v>0</v>
      </c>
      <c r="M267" s="73">
        <f t="shared" si="85"/>
        <v>0</v>
      </c>
      <c r="N267" s="73">
        <f t="shared" si="85"/>
        <v>309500</v>
      </c>
      <c r="O267" s="73">
        <f t="shared" si="85"/>
        <v>0</v>
      </c>
      <c r="P267" s="73">
        <f t="shared" si="85"/>
        <v>725000</v>
      </c>
      <c r="Q267" s="156"/>
    </row>
    <row r="268" spans="1:17" s="96" customFormat="1" ht="60">
      <c r="A268" s="95"/>
      <c r="B268" s="94" t="s">
        <v>290</v>
      </c>
      <c r="C268" s="80" t="s">
        <v>39</v>
      </c>
      <c r="D268" s="81" t="s">
        <v>40</v>
      </c>
      <c r="E268" s="64">
        <f>F268+I268</f>
        <v>0</v>
      </c>
      <c r="F268" s="70"/>
      <c r="G268" s="70"/>
      <c r="H268" s="70"/>
      <c r="I268" s="70"/>
      <c r="J268" s="64">
        <f>K268+N268</f>
        <v>725000</v>
      </c>
      <c r="K268" s="64">
        <f>725000-309500</f>
        <v>415500</v>
      </c>
      <c r="L268" s="70"/>
      <c r="M268" s="70"/>
      <c r="N268" s="70">
        <f>309500+199000-199000</f>
        <v>309500</v>
      </c>
      <c r="O268" s="70"/>
      <c r="P268" s="64">
        <f>E268+J268</f>
        <v>725000</v>
      </c>
      <c r="Q268" s="156"/>
    </row>
    <row r="269" spans="1:17" s="96" customFormat="1" ht="42.75">
      <c r="A269" s="95"/>
      <c r="B269" s="54">
        <v>4900000</v>
      </c>
      <c r="C269" s="31"/>
      <c r="D269" s="32" t="s">
        <v>368</v>
      </c>
      <c r="E269" s="58">
        <f>E270</f>
        <v>714758</v>
      </c>
      <c r="F269" s="58">
        <f aca="true" t="shared" si="86" ref="F269:P269">F270</f>
        <v>714758</v>
      </c>
      <c r="G269" s="58">
        <f t="shared" si="86"/>
        <v>433970</v>
      </c>
      <c r="H269" s="58">
        <f t="shared" si="86"/>
        <v>34232</v>
      </c>
      <c r="I269" s="58">
        <f t="shared" si="86"/>
        <v>0</v>
      </c>
      <c r="J269" s="58">
        <f t="shared" si="86"/>
        <v>134100</v>
      </c>
      <c r="K269" s="58">
        <f t="shared" si="86"/>
        <v>0</v>
      </c>
      <c r="L269" s="58">
        <f t="shared" si="86"/>
        <v>0</v>
      </c>
      <c r="M269" s="58">
        <f t="shared" si="86"/>
        <v>0</v>
      </c>
      <c r="N269" s="58">
        <f t="shared" si="86"/>
        <v>134100</v>
      </c>
      <c r="O269" s="58">
        <f t="shared" si="86"/>
        <v>134100</v>
      </c>
      <c r="P269" s="58">
        <f t="shared" si="86"/>
        <v>848858</v>
      </c>
      <c r="Q269" s="156"/>
    </row>
    <row r="270" spans="1:17" s="96" customFormat="1" ht="45">
      <c r="A270" s="95"/>
      <c r="B270" s="79">
        <v>4910000</v>
      </c>
      <c r="C270" s="51"/>
      <c r="D270" s="81" t="s">
        <v>368</v>
      </c>
      <c r="E270" s="64">
        <f>E271</f>
        <v>714758</v>
      </c>
      <c r="F270" s="64">
        <f aca="true" t="shared" si="87" ref="F270:O270">F271</f>
        <v>714758</v>
      </c>
      <c r="G270" s="64">
        <f t="shared" si="87"/>
        <v>433970</v>
      </c>
      <c r="H270" s="64">
        <f t="shared" si="87"/>
        <v>34232</v>
      </c>
      <c r="I270" s="64">
        <f t="shared" si="87"/>
        <v>0</v>
      </c>
      <c r="J270" s="64">
        <f t="shared" si="87"/>
        <v>134100</v>
      </c>
      <c r="K270" s="64">
        <f t="shared" si="87"/>
        <v>0</v>
      </c>
      <c r="L270" s="64">
        <f t="shared" si="87"/>
        <v>0</v>
      </c>
      <c r="M270" s="64">
        <f t="shared" si="87"/>
        <v>0</v>
      </c>
      <c r="N270" s="64">
        <f t="shared" si="87"/>
        <v>134100</v>
      </c>
      <c r="O270" s="64">
        <f t="shared" si="87"/>
        <v>134100</v>
      </c>
      <c r="P270" s="64">
        <f>J270+E270</f>
        <v>848858</v>
      </c>
      <c r="Q270" s="156"/>
    </row>
    <row r="271" spans="1:17" s="96" customFormat="1" ht="45">
      <c r="A271" s="95"/>
      <c r="B271" s="57" t="s">
        <v>364</v>
      </c>
      <c r="C271" s="45" t="s">
        <v>9</v>
      </c>
      <c r="D271" s="49" t="s">
        <v>100</v>
      </c>
      <c r="E271" s="69">
        <f>F271+I271</f>
        <v>714758</v>
      </c>
      <c r="F271" s="138">
        <f>710680-62060+66138</f>
        <v>714758</v>
      </c>
      <c r="G271" s="70">
        <v>433970</v>
      </c>
      <c r="H271" s="70">
        <v>34232</v>
      </c>
      <c r="I271" s="70"/>
      <c r="J271" s="64">
        <f>K271+N271</f>
        <v>134100</v>
      </c>
      <c r="K271" s="64"/>
      <c r="L271" s="70"/>
      <c r="M271" s="70"/>
      <c r="N271" s="70">
        <v>134100</v>
      </c>
      <c r="O271" s="70">
        <v>134100</v>
      </c>
      <c r="P271" s="64">
        <f>J271+E271</f>
        <v>848858</v>
      </c>
      <c r="Q271" s="156"/>
    </row>
    <row r="272" spans="1:17" s="26" customFormat="1" ht="28.5">
      <c r="A272" s="48"/>
      <c r="B272" s="54">
        <v>5000000</v>
      </c>
      <c r="C272" s="45"/>
      <c r="D272" s="32" t="s">
        <v>291</v>
      </c>
      <c r="E272" s="58">
        <f>E273</f>
        <v>1941570</v>
      </c>
      <c r="F272" s="58">
        <f aca="true" t="shared" si="88" ref="F272:P272">F273</f>
        <v>1941570</v>
      </c>
      <c r="G272" s="58">
        <f t="shared" si="88"/>
        <v>1146200</v>
      </c>
      <c r="H272" s="58">
        <f t="shared" si="88"/>
        <v>83538</v>
      </c>
      <c r="I272" s="58">
        <f t="shared" si="88"/>
        <v>0</v>
      </c>
      <c r="J272" s="58">
        <f t="shared" si="88"/>
        <v>30000</v>
      </c>
      <c r="K272" s="58">
        <f t="shared" si="88"/>
        <v>0</v>
      </c>
      <c r="L272" s="58">
        <f t="shared" si="88"/>
        <v>0</v>
      </c>
      <c r="M272" s="58">
        <f t="shared" si="88"/>
        <v>0</v>
      </c>
      <c r="N272" s="58">
        <f t="shared" si="88"/>
        <v>30000</v>
      </c>
      <c r="O272" s="58">
        <f t="shared" si="88"/>
        <v>30000</v>
      </c>
      <c r="P272" s="58">
        <f t="shared" si="88"/>
        <v>1971570</v>
      </c>
      <c r="Q272" s="156"/>
    </row>
    <row r="273" spans="1:17" s="128" customFormat="1" ht="30">
      <c r="A273" s="127"/>
      <c r="B273" s="79">
        <v>5010000</v>
      </c>
      <c r="C273" s="80"/>
      <c r="D273" s="52" t="s">
        <v>291</v>
      </c>
      <c r="E273" s="70">
        <f>E274+E275</f>
        <v>1941570</v>
      </c>
      <c r="F273" s="70">
        <f aca="true" t="shared" si="89" ref="F273:P273">F274+F275</f>
        <v>1941570</v>
      </c>
      <c r="G273" s="70">
        <f t="shared" si="89"/>
        <v>1146200</v>
      </c>
      <c r="H273" s="70">
        <f t="shared" si="89"/>
        <v>83538</v>
      </c>
      <c r="I273" s="70">
        <f t="shared" si="89"/>
        <v>0</v>
      </c>
      <c r="J273" s="70">
        <f t="shared" si="89"/>
        <v>30000</v>
      </c>
      <c r="K273" s="70">
        <f t="shared" si="89"/>
        <v>0</v>
      </c>
      <c r="L273" s="70">
        <f t="shared" si="89"/>
        <v>0</v>
      </c>
      <c r="M273" s="70">
        <f t="shared" si="89"/>
        <v>0</v>
      </c>
      <c r="N273" s="70">
        <f t="shared" si="89"/>
        <v>30000</v>
      </c>
      <c r="O273" s="70">
        <f t="shared" si="89"/>
        <v>30000</v>
      </c>
      <c r="P273" s="70">
        <f t="shared" si="89"/>
        <v>1971570</v>
      </c>
      <c r="Q273" s="156"/>
    </row>
    <row r="274" spans="1:17" s="26" customFormat="1" ht="45">
      <c r="A274" s="48"/>
      <c r="B274" s="57" t="s">
        <v>292</v>
      </c>
      <c r="C274" s="45" t="s">
        <v>9</v>
      </c>
      <c r="D274" s="49" t="s">
        <v>100</v>
      </c>
      <c r="E274" s="73">
        <f>F274+I274</f>
        <v>1591570</v>
      </c>
      <c r="F274" s="93">
        <f>1751970-160400</f>
        <v>1591570</v>
      </c>
      <c r="G274" s="93">
        <f>1143630+2570</f>
        <v>1146200</v>
      </c>
      <c r="H274" s="73">
        <v>83538</v>
      </c>
      <c r="I274" s="73"/>
      <c r="J274" s="73">
        <f>K274+N274</f>
        <v>30000</v>
      </c>
      <c r="K274" s="73"/>
      <c r="L274" s="73"/>
      <c r="M274" s="73"/>
      <c r="N274" s="73">
        <v>30000</v>
      </c>
      <c r="O274" s="73">
        <v>30000</v>
      </c>
      <c r="P274" s="73">
        <f>E274+J274</f>
        <v>1621570</v>
      </c>
      <c r="Q274" s="156"/>
    </row>
    <row r="275" spans="1:17" s="26" customFormat="1" ht="15">
      <c r="A275" s="24"/>
      <c r="B275" s="80" t="s">
        <v>295</v>
      </c>
      <c r="C275" s="45" t="s">
        <v>42</v>
      </c>
      <c r="D275" s="49" t="s">
        <v>19</v>
      </c>
      <c r="E275" s="73">
        <f>E276</f>
        <v>350000</v>
      </c>
      <c r="F275" s="73">
        <f aca="true" t="shared" si="90" ref="F275:P275">F276</f>
        <v>350000</v>
      </c>
      <c r="G275" s="73">
        <f t="shared" si="90"/>
        <v>0</v>
      </c>
      <c r="H275" s="73">
        <f t="shared" si="90"/>
        <v>0</v>
      </c>
      <c r="I275" s="73">
        <f t="shared" si="90"/>
        <v>0</v>
      </c>
      <c r="J275" s="73">
        <f t="shared" si="90"/>
        <v>0</v>
      </c>
      <c r="K275" s="73">
        <f t="shared" si="90"/>
        <v>0</v>
      </c>
      <c r="L275" s="73">
        <f t="shared" si="90"/>
        <v>0</v>
      </c>
      <c r="M275" s="73">
        <f t="shared" si="90"/>
        <v>0</v>
      </c>
      <c r="N275" s="73">
        <f t="shared" si="90"/>
        <v>0</v>
      </c>
      <c r="O275" s="73">
        <f t="shared" si="90"/>
        <v>0</v>
      </c>
      <c r="P275" s="73">
        <f t="shared" si="90"/>
        <v>350000</v>
      </c>
      <c r="Q275" s="156"/>
    </row>
    <row r="276" spans="1:17" s="26" customFormat="1" ht="75">
      <c r="A276" s="24"/>
      <c r="B276" s="80" t="s">
        <v>294</v>
      </c>
      <c r="C276" s="86" t="s">
        <v>42</v>
      </c>
      <c r="D276" s="98" t="s">
        <v>293</v>
      </c>
      <c r="E276" s="64">
        <f>F276+I276</f>
        <v>350000</v>
      </c>
      <c r="F276" s="64">
        <v>350000</v>
      </c>
      <c r="G276" s="70"/>
      <c r="H276" s="70"/>
      <c r="I276" s="70"/>
      <c r="J276" s="64">
        <f>K276+N276</f>
        <v>0</v>
      </c>
      <c r="K276" s="70"/>
      <c r="L276" s="70"/>
      <c r="M276" s="70"/>
      <c r="N276" s="70"/>
      <c r="O276" s="70"/>
      <c r="P276" s="64">
        <f>E276+J276</f>
        <v>350000</v>
      </c>
      <c r="Q276" s="156"/>
    </row>
    <row r="277" spans="1:17" s="26" customFormat="1" ht="42.75">
      <c r="A277" s="24"/>
      <c r="B277" s="36" t="s">
        <v>299</v>
      </c>
      <c r="C277" s="31"/>
      <c r="D277" s="32" t="s">
        <v>298</v>
      </c>
      <c r="E277" s="58">
        <f>E278</f>
        <v>5499484.54</v>
      </c>
      <c r="F277" s="58">
        <f aca="true" t="shared" si="91" ref="F277:P277">F278</f>
        <v>5499484.54</v>
      </c>
      <c r="G277" s="58">
        <f t="shared" si="91"/>
        <v>3888914</v>
      </c>
      <c r="H277" s="58">
        <f t="shared" si="91"/>
        <v>191695</v>
      </c>
      <c r="I277" s="58">
        <f t="shared" si="91"/>
        <v>0</v>
      </c>
      <c r="J277" s="58">
        <f t="shared" si="91"/>
        <v>52400</v>
      </c>
      <c r="K277" s="58">
        <f t="shared" si="91"/>
        <v>0</v>
      </c>
      <c r="L277" s="58">
        <f t="shared" si="91"/>
        <v>0</v>
      </c>
      <c r="M277" s="58">
        <f t="shared" si="91"/>
        <v>0</v>
      </c>
      <c r="N277" s="58">
        <f t="shared" si="91"/>
        <v>52400</v>
      </c>
      <c r="O277" s="58">
        <f t="shared" si="91"/>
        <v>52400</v>
      </c>
      <c r="P277" s="58">
        <f t="shared" si="91"/>
        <v>5551884.54</v>
      </c>
      <c r="Q277" s="156"/>
    </row>
    <row r="278" spans="1:17" s="96" customFormat="1" ht="45">
      <c r="A278" s="95"/>
      <c r="B278" s="104" t="s">
        <v>300</v>
      </c>
      <c r="C278" s="51"/>
      <c r="D278" s="52" t="s">
        <v>298</v>
      </c>
      <c r="E278" s="70">
        <f>E279+E280</f>
        <v>5499484.54</v>
      </c>
      <c r="F278" s="70">
        <f aca="true" t="shared" si="92" ref="F278:P278">F279+F280</f>
        <v>5499484.54</v>
      </c>
      <c r="G278" s="70">
        <f t="shared" si="92"/>
        <v>3888914</v>
      </c>
      <c r="H278" s="70">
        <f t="shared" si="92"/>
        <v>191695</v>
      </c>
      <c r="I278" s="70">
        <f t="shared" si="92"/>
        <v>0</v>
      </c>
      <c r="J278" s="70">
        <f t="shared" si="92"/>
        <v>52400</v>
      </c>
      <c r="K278" s="70">
        <f t="shared" si="92"/>
        <v>0</v>
      </c>
      <c r="L278" s="70">
        <f t="shared" si="92"/>
        <v>0</v>
      </c>
      <c r="M278" s="70">
        <f t="shared" si="92"/>
        <v>0</v>
      </c>
      <c r="N278" s="70">
        <f t="shared" si="92"/>
        <v>52400</v>
      </c>
      <c r="O278" s="70">
        <f t="shared" si="92"/>
        <v>52400</v>
      </c>
      <c r="P278" s="70">
        <f t="shared" si="92"/>
        <v>5551884.54</v>
      </c>
      <c r="Q278" s="156"/>
    </row>
    <row r="279" spans="1:17" s="26" customFormat="1" ht="45">
      <c r="A279" s="48"/>
      <c r="B279" s="57" t="s">
        <v>301</v>
      </c>
      <c r="C279" s="45" t="s">
        <v>9</v>
      </c>
      <c r="D279" s="49" t="s">
        <v>100</v>
      </c>
      <c r="E279" s="73">
        <f>F279+I279</f>
        <v>5300790</v>
      </c>
      <c r="F279" s="93">
        <f>5498000-286300+89090</f>
        <v>5300790</v>
      </c>
      <c r="G279" s="93">
        <f>3629280+186610+73024</f>
        <v>3888914</v>
      </c>
      <c r="H279" s="73">
        <v>191695</v>
      </c>
      <c r="I279" s="73"/>
      <c r="J279" s="73">
        <f>K279+N279</f>
        <v>52400</v>
      </c>
      <c r="K279" s="73"/>
      <c r="L279" s="73"/>
      <c r="M279" s="73"/>
      <c r="N279" s="73">
        <f>40000+12400</f>
        <v>52400</v>
      </c>
      <c r="O279" s="73">
        <f>40000+12400</f>
        <v>52400</v>
      </c>
      <c r="P279" s="73">
        <f>E279+J279</f>
        <v>5353190</v>
      </c>
      <c r="Q279" s="156"/>
    </row>
    <row r="280" spans="1:17" s="26" customFormat="1" ht="15">
      <c r="A280" s="24"/>
      <c r="B280" s="36" t="s">
        <v>352</v>
      </c>
      <c r="C280" s="27" t="s">
        <v>350</v>
      </c>
      <c r="D280" s="28" t="s">
        <v>351</v>
      </c>
      <c r="E280" s="35">
        <f>F280+I280</f>
        <v>198694.54</v>
      </c>
      <c r="F280" s="35">
        <v>198694.54</v>
      </c>
      <c r="G280" s="35"/>
      <c r="H280" s="35"/>
      <c r="I280" s="35"/>
      <c r="J280" s="35"/>
      <c r="K280" s="35"/>
      <c r="L280" s="35"/>
      <c r="M280" s="35"/>
      <c r="N280" s="35"/>
      <c r="O280" s="35"/>
      <c r="P280" s="35">
        <f>E280+J280</f>
        <v>198694.54</v>
      </c>
      <c r="Q280" s="156"/>
    </row>
    <row r="281" spans="1:17" s="26" customFormat="1" ht="57">
      <c r="A281" s="24"/>
      <c r="B281" s="40">
        <v>7600000</v>
      </c>
      <c r="C281" s="31"/>
      <c r="D281" s="32" t="s">
        <v>302</v>
      </c>
      <c r="E281" s="58">
        <f>E282</f>
        <v>68130194.46000001</v>
      </c>
      <c r="F281" s="58">
        <f aca="true" t="shared" si="93" ref="F281:P281">F282</f>
        <v>56741757</v>
      </c>
      <c r="G281" s="58">
        <f t="shared" si="93"/>
        <v>0</v>
      </c>
      <c r="H281" s="58">
        <f t="shared" si="93"/>
        <v>0</v>
      </c>
      <c r="I281" s="58">
        <f t="shared" si="93"/>
        <v>0</v>
      </c>
      <c r="J281" s="58">
        <f t="shared" si="93"/>
        <v>700000</v>
      </c>
      <c r="K281" s="58">
        <f t="shared" si="93"/>
        <v>0</v>
      </c>
      <c r="L281" s="58">
        <f t="shared" si="93"/>
        <v>0</v>
      </c>
      <c r="M281" s="58">
        <f t="shared" si="93"/>
        <v>0</v>
      </c>
      <c r="N281" s="58">
        <f t="shared" si="93"/>
        <v>700000</v>
      </c>
      <c r="O281" s="58">
        <f t="shared" si="93"/>
        <v>700000</v>
      </c>
      <c r="P281" s="58">
        <f t="shared" si="93"/>
        <v>68830194.46000001</v>
      </c>
      <c r="Q281" s="157">
        <v>88</v>
      </c>
    </row>
    <row r="282" spans="1:17" s="96" customFormat="1" ht="60">
      <c r="A282" s="95"/>
      <c r="B282" s="79">
        <v>7610000</v>
      </c>
      <c r="C282" s="51"/>
      <c r="D282" s="52" t="s">
        <v>302</v>
      </c>
      <c r="E282" s="70">
        <f>E283+E284+E285+E287</f>
        <v>68130194.46000001</v>
      </c>
      <c r="F282" s="70">
        <f aca="true" t="shared" si="94" ref="F282:P282">F283+F284+F285+F287</f>
        <v>56741757</v>
      </c>
      <c r="G282" s="70">
        <f t="shared" si="94"/>
        <v>0</v>
      </c>
      <c r="H282" s="70">
        <f t="shared" si="94"/>
        <v>0</v>
      </c>
      <c r="I282" s="70">
        <f t="shared" si="94"/>
        <v>0</v>
      </c>
      <c r="J282" s="70">
        <f t="shared" si="94"/>
        <v>700000</v>
      </c>
      <c r="K282" s="70">
        <f t="shared" si="94"/>
        <v>0</v>
      </c>
      <c r="L282" s="70">
        <f t="shared" si="94"/>
        <v>0</v>
      </c>
      <c r="M282" s="70">
        <f t="shared" si="94"/>
        <v>0</v>
      </c>
      <c r="N282" s="70">
        <f t="shared" si="94"/>
        <v>700000</v>
      </c>
      <c r="O282" s="70">
        <f t="shared" si="94"/>
        <v>700000</v>
      </c>
      <c r="P282" s="70">
        <f t="shared" si="94"/>
        <v>68830194.46000001</v>
      </c>
      <c r="Q282" s="157"/>
    </row>
    <row r="283" spans="1:17" s="26" customFormat="1" ht="20.25" customHeight="1">
      <c r="A283" s="48"/>
      <c r="B283" s="54">
        <v>7618010</v>
      </c>
      <c r="C283" s="45" t="s">
        <v>87</v>
      </c>
      <c r="D283" s="49" t="s">
        <v>88</v>
      </c>
      <c r="E283" s="93">
        <f>8825473.46-360000-1811608-3000000+12618382-254670-4690000-1800000-5400000-130000-2263140-420000+19000+10000000+55000</f>
        <v>11388437.46</v>
      </c>
      <c r="F283" s="73"/>
      <c r="G283" s="58"/>
      <c r="H283" s="58"/>
      <c r="I283" s="58"/>
      <c r="J283" s="73">
        <f>K283+N283</f>
        <v>0</v>
      </c>
      <c r="K283" s="58"/>
      <c r="L283" s="58"/>
      <c r="M283" s="58"/>
      <c r="N283" s="58"/>
      <c r="O283" s="58"/>
      <c r="P283" s="73">
        <f>E283+J283</f>
        <v>11388437.46</v>
      </c>
      <c r="Q283" s="157"/>
    </row>
    <row r="284" spans="1:17" s="26" customFormat="1" ht="130.5" customHeight="1">
      <c r="A284" s="24"/>
      <c r="B284" s="40">
        <v>7618120</v>
      </c>
      <c r="C284" s="27" t="s">
        <v>93</v>
      </c>
      <c r="D284" s="28" t="s">
        <v>303</v>
      </c>
      <c r="E284" s="35">
        <f>F284+I284</f>
        <v>56401300</v>
      </c>
      <c r="F284" s="89">
        <f>55480900+920400</f>
        <v>56401300</v>
      </c>
      <c r="G284" s="58"/>
      <c r="H284" s="58"/>
      <c r="I284" s="58"/>
      <c r="J284" s="73">
        <f>K284+N284</f>
        <v>0</v>
      </c>
      <c r="K284" s="58"/>
      <c r="L284" s="58"/>
      <c r="M284" s="58"/>
      <c r="N284" s="58"/>
      <c r="O284" s="58"/>
      <c r="P284" s="73">
        <f>E284+J284</f>
        <v>56401300</v>
      </c>
      <c r="Q284" s="157"/>
    </row>
    <row r="285" spans="1:17" s="26" customFormat="1" ht="20.25" customHeight="1">
      <c r="A285" s="24"/>
      <c r="B285" s="40">
        <v>7618700</v>
      </c>
      <c r="C285" s="27" t="s">
        <v>94</v>
      </c>
      <c r="D285" s="28" t="s">
        <v>95</v>
      </c>
      <c r="E285" s="35">
        <f>E286</f>
        <v>141957</v>
      </c>
      <c r="F285" s="35">
        <f aca="true" t="shared" si="95" ref="F285:P285">F286</f>
        <v>141957</v>
      </c>
      <c r="G285" s="35">
        <f t="shared" si="95"/>
        <v>0</v>
      </c>
      <c r="H285" s="35">
        <f t="shared" si="95"/>
        <v>0</v>
      </c>
      <c r="I285" s="35">
        <f t="shared" si="95"/>
        <v>0</v>
      </c>
      <c r="J285" s="35">
        <f t="shared" si="95"/>
        <v>0</v>
      </c>
      <c r="K285" s="35">
        <f t="shared" si="95"/>
        <v>0</v>
      </c>
      <c r="L285" s="35">
        <f t="shared" si="95"/>
        <v>0</v>
      </c>
      <c r="M285" s="35">
        <f t="shared" si="95"/>
        <v>0</v>
      </c>
      <c r="N285" s="35">
        <f t="shared" si="95"/>
        <v>0</v>
      </c>
      <c r="O285" s="35">
        <f t="shared" si="95"/>
        <v>0</v>
      </c>
      <c r="P285" s="35">
        <f t="shared" si="95"/>
        <v>141957</v>
      </c>
      <c r="Q285" s="157"/>
    </row>
    <row r="286" spans="1:17" s="96" customFormat="1" ht="39.75" customHeight="1">
      <c r="A286" s="95"/>
      <c r="B286" s="79">
        <v>7618701</v>
      </c>
      <c r="C286" s="80" t="s">
        <v>94</v>
      </c>
      <c r="D286" s="81" t="s">
        <v>311</v>
      </c>
      <c r="E286" s="64">
        <f>F286+I286</f>
        <v>141957</v>
      </c>
      <c r="F286" s="88">
        <f>164814-22857</f>
        <v>141957</v>
      </c>
      <c r="G286" s="70"/>
      <c r="H286" s="70"/>
      <c r="I286" s="70"/>
      <c r="J286" s="64">
        <f>K286+N286</f>
        <v>0</v>
      </c>
      <c r="K286" s="70"/>
      <c r="L286" s="70"/>
      <c r="M286" s="70"/>
      <c r="N286" s="70"/>
      <c r="O286" s="70"/>
      <c r="P286" s="64">
        <f>E286+J286</f>
        <v>141957</v>
      </c>
      <c r="Q286" s="157"/>
    </row>
    <row r="287" spans="1:17" s="26" customFormat="1" ht="23.25" customHeight="1">
      <c r="A287" s="48"/>
      <c r="B287" s="54">
        <v>7618800</v>
      </c>
      <c r="C287" s="45" t="s">
        <v>89</v>
      </c>
      <c r="D287" s="129" t="s">
        <v>90</v>
      </c>
      <c r="E287" s="73">
        <f>E288</f>
        <v>198500</v>
      </c>
      <c r="F287" s="73">
        <f aca="true" t="shared" si="96" ref="F287:P287">F288</f>
        <v>198500</v>
      </c>
      <c r="G287" s="73">
        <f t="shared" si="96"/>
        <v>0</v>
      </c>
      <c r="H287" s="73">
        <f t="shared" si="96"/>
        <v>0</v>
      </c>
      <c r="I287" s="73">
        <f t="shared" si="96"/>
        <v>0</v>
      </c>
      <c r="J287" s="73">
        <f t="shared" si="96"/>
        <v>700000</v>
      </c>
      <c r="K287" s="73">
        <f t="shared" si="96"/>
        <v>0</v>
      </c>
      <c r="L287" s="73">
        <f t="shared" si="96"/>
        <v>0</v>
      </c>
      <c r="M287" s="73">
        <f t="shared" si="96"/>
        <v>0</v>
      </c>
      <c r="N287" s="73">
        <f t="shared" si="96"/>
        <v>700000</v>
      </c>
      <c r="O287" s="73">
        <f t="shared" si="96"/>
        <v>700000</v>
      </c>
      <c r="P287" s="73">
        <f t="shared" si="96"/>
        <v>898500</v>
      </c>
      <c r="Q287" s="157"/>
    </row>
    <row r="288" spans="1:17" s="26" customFormat="1" ht="31.5" customHeight="1">
      <c r="A288" s="24"/>
      <c r="B288" s="80" t="s">
        <v>304</v>
      </c>
      <c r="C288" s="80" t="s">
        <v>89</v>
      </c>
      <c r="D288" s="126" t="s">
        <v>306</v>
      </c>
      <c r="E288" s="75">
        <f>F288+I288</f>
        <v>198500</v>
      </c>
      <c r="F288" s="139">
        <f>190000+8500</f>
        <v>198500</v>
      </c>
      <c r="G288" s="74"/>
      <c r="H288" s="74"/>
      <c r="I288" s="74"/>
      <c r="J288" s="73">
        <f>K288+N288</f>
        <v>700000</v>
      </c>
      <c r="K288" s="58"/>
      <c r="L288" s="58"/>
      <c r="M288" s="58"/>
      <c r="N288" s="73">
        <f>500000+200000</f>
        <v>700000</v>
      </c>
      <c r="O288" s="73">
        <f>500000+200000</f>
        <v>700000</v>
      </c>
      <c r="P288" s="73">
        <f>E288+J288</f>
        <v>898500</v>
      </c>
      <c r="Q288" s="157"/>
    </row>
    <row r="289" spans="1:17" s="26" customFormat="1" ht="15">
      <c r="A289" s="24"/>
      <c r="B289" s="40"/>
      <c r="C289" s="31"/>
      <c r="D289" s="32" t="s">
        <v>91</v>
      </c>
      <c r="E289" s="58">
        <f aca="true" t="shared" si="97" ref="E289:P289">E15+E67+E92+E118+E193+E198+E206+E235+E241+E257+E272+E277+E281+E269</f>
        <v>1649289427.1799998</v>
      </c>
      <c r="F289" s="58">
        <f t="shared" si="97"/>
        <v>1598808434.7199998</v>
      </c>
      <c r="G289" s="58">
        <f t="shared" si="97"/>
        <v>452034405.86</v>
      </c>
      <c r="H289" s="58">
        <f t="shared" si="97"/>
        <v>92369121.78999999</v>
      </c>
      <c r="I289" s="58">
        <f t="shared" si="97"/>
        <v>39092555</v>
      </c>
      <c r="J289" s="58">
        <f t="shared" si="97"/>
        <v>490838849.6</v>
      </c>
      <c r="K289" s="58">
        <f t="shared" si="97"/>
        <v>53848757</v>
      </c>
      <c r="L289" s="58">
        <f t="shared" si="97"/>
        <v>11367440</v>
      </c>
      <c r="M289" s="58">
        <f t="shared" si="97"/>
        <v>2168292</v>
      </c>
      <c r="N289" s="58">
        <f t="shared" si="97"/>
        <v>436990092.6</v>
      </c>
      <c r="O289" s="58">
        <f t="shared" si="97"/>
        <v>428910695.28</v>
      </c>
      <c r="P289" s="58">
        <f t="shared" si="97"/>
        <v>2140128276.78</v>
      </c>
      <c r="Q289" s="157"/>
    </row>
    <row r="290" spans="1:17" s="26" customFormat="1" ht="28.5">
      <c r="A290" s="24"/>
      <c r="B290" s="40"/>
      <c r="C290" s="31"/>
      <c r="D290" s="32" t="s">
        <v>92</v>
      </c>
      <c r="E290" s="58">
        <f>E69+E94+E120</f>
        <v>1073624544.52</v>
      </c>
      <c r="F290" s="58">
        <f aca="true" t="shared" si="98" ref="F290:P290">F69+F94+F120</f>
        <v>1073624544.52</v>
      </c>
      <c r="G290" s="58">
        <f t="shared" si="98"/>
        <v>259015420</v>
      </c>
      <c r="H290" s="58">
        <f t="shared" si="98"/>
        <v>47607786</v>
      </c>
      <c r="I290" s="58">
        <f t="shared" si="98"/>
        <v>0</v>
      </c>
      <c r="J290" s="58">
        <f t="shared" si="98"/>
        <v>0</v>
      </c>
      <c r="K290" s="58">
        <f t="shared" si="98"/>
        <v>0</v>
      </c>
      <c r="L290" s="58">
        <f t="shared" si="98"/>
        <v>0</v>
      </c>
      <c r="M290" s="58">
        <f t="shared" si="98"/>
        <v>0</v>
      </c>
      <c r="N290" s="58">
        <f t="shared" si="98"/>
        <v>0</v>
      </c>
      <c r="O290" s="58">
        <f t="shared" si="98"/>
        <v>0</v>
      </c>
      <c r="P290" s="58">
        <f t="shared" si="98"/>
        <v>1073624544.52</v>
      </c>
      <c r="Q290" s="157"/>
    </row>
    <row r="291" spans="1:17" ht="6.75" customHeight="1">
      <c r="A291" s="16"/>
      <c r="B291" s="39"/>
      <c r="C291" s="16"/>
      <c r="D291" s="16"/>
      <c r="E291" s="130"/>
      <c r="F291" s="130"/>
      <c r="G291" s="130"/>
      <c r="H291" s="130"/>
      <c r="I291" s="130"/>
      <c r="J291" s="130"/>
      <c r="K291" s="130"/>
      <c r="L291" s="130"/>
      <c r="M291" s="130"/>
      <c r="N291" s="130"/>
      <c r="O291" s="130"/>
      <c r="P291" s="130"/>
      <c r="Q291" s="157"/>
    </row>
    <row r="292" spans="1:17" s="14" customFormat="1" ht="16.5" customHeight="1">
      <c r="A292" s="77"/>
      <c r="B292" s="101"/>
      <c r="C292" s="77"/>
      <c r="D292" s="77"/>
      <c r="E292" s="131"/>
      <c r="F292" s="131"/>
      <c r="G292" s="131"/>
      <c r="H292" s="131"/>
      <c r="I292" s="131"/>
      <c r="J292" s="131"/>
      <c r="K292" s="131"/>
      <c r="L292" s="131"/>
      <c r="M292" s="131"/>
      <c r="N292" s="131"/>
      <c r="O292" s="131"/>
      <c r="P292" s="131"/>
      <c r="Q292" s="157"/>
    </row>
    <row r="293" spans="2:17" ht="37.5" customHeight="1">
      <c r="B293" s="176"/>
      <c r="C293" s="176"/>
      <c r="D293" s="176"/>
      <c r="E293" s="176"/>
      <c r="F293" s="176"/>
      <c r="G293" s="176"/>
      <c r="H293" s="176"/>
      <c r="I293" s="176"/>
      <c r="J293" s="176"/>
      <c r="K293" s="176"/>
      <c r="L293" s="176"/>
      <c r="M293" s="176"/>
      <c r="N293" s="176"/>
      <c r="O293" s="176"/>
      <c r="P293" s="176"/>
      <c r="Q293" s="157"/>
    </row>
    <row r="294" spans="5:17" ht="6.75" customHeight="1">
      <c r="E294" s="132"/>
      <c r="F294" s="132"/>
      <c r="G294" s="132"/>
      <c r="H294" s="132"/>
      <c r="I294" s="132"/>
      <c r="J294" s="132"/>
      <c r="K294" s="132"/>
      <c r="L294" s="132"/>
      <c r="M294" s="132"/>
      <c r="N294" s="132"/>
      <c r="O294" s="132"/>
      <c r="P294" s="132"/>
      <c r="Q294" s="157"/>
    </row>
    <row r="295" spans="1:17" s="14" customFormat="1" ht="6.75" customHeight="1">
      <c r="A295" s="77"/>
      <c r="B295" s="101"/>
      <c r="C295" s="77"/>
      <c r="D295" s="77"/>
      <c r="E295" s="131"/>
      <c r="F295" s="131"/>
      <c r="G295" s="131"/>
      <c r="H295" s="131"/>
      <c r="I295" s="131"/>
      <c r="J295" s="131"/>
      <c r="K295" s="131"/>
      <c r="L295" s="131"/>
      <c r="M295" s="131"/>
      <c r="N295" s="131"/>
      <c r="O295" s="131"/>
      <c r="P295" s="131"/>
      <c r="Q295" s="157"/>
    </row>
    <row r="296" spans="5:17" ht="6.75" customHeight="1">
      <c r="E296" s="132"/>
      <c r="F296" s="132"/>
      <c r="G296" s="132"/>
      <c r="H296" s="132"/>
      <c r="I296" s="132"/>
      <c r="J296" s="132"/>
      <c r="K296" s="132"/>
      <c r="L296" s="132"/>
      <c r="M296" s="132"/>
      <c r="N296" s="132"/>
      <c r="O296" s="132"/>
      <c r="P296" s="132"/>
      <c r="Q296" s="157"/>
    </row>
    <row r="297" spans="1:17" s="12" customFormat="1" ht="23.25" customHeight="1">
      <c r="A297" s="11"/>
      <c r="C297" s="178" t="s">
        <v>473</v>
      </c>
      <c r="D297" s="178"/>
      <c r="E297" s="178"/>
      <c r="F297" s="133"/>
      <c r="G297" s="133"/>
      <c r="H297" s="133"/>
      <c r="I297" s="133"/>
      <c r="J297" s="133"/>
      <c r="K297" s="133"/>
      <c r="L297" s="140"/>
      <c r="M297" s="140"/>
      <c r="N297" s="140"/>
      <c r="O297" s="140"/>
      <c r="P297" s="11"/>
      <c r="Q297" s="157"/>
    </row>
    <row r="298" spans="1:17" s="151" customFormat="1" ht="26.25" customHeight="1">
      <c r="A298" s="150"/>
      <c r="C298" s="178"/>
      <c r="D298" s="178"/>
      <c r="E298" s="178"/>
      <c r="F298" s="152"/>
      <c r="G298" s="152"/>
      <c r="H298" s="152"/>
      <c r="I298" s="152"/>
      <c r="J298" s="152"/>
      <c r="K298" s="152"/>
      <c r="L298" s="153"/>
      <c r="M298" s="153"/>
      <c r="N298" s="153"/>
      <c r="O298" s="179" t="s">
        <v>471</v>
      </c>
      <c r="P298" s="179"/>
      <c r="Q298" s="157"/>
    </row>
    <row r="299" spans="1:17" s="135" customFormat="1" ht="23.25" customHeight="1">
      <c r="A299" s="11"/>
      <c r="B299" s="12"/>
      <c r="C299" s="144"/>
      <c r="D299" s="144"/>
      <c r="E299" s="144"/>
      <c r="F299" s="13"/>
      <c r="G299" s="13"/>
      <c r="H299" s="13"/>
      <c r="I299" s="13"/>
      <c r="J299" s="13"/>
      <c r="K299" s="13"/>
      <c r="L299" s="141"/>
      <c r="M299" s="141"/>
      <c r="N299" s="141"/>
      <c r="O299" s="136"/>
      <c r="P299" s="136"/>
      <c r="Q299" s="157"/>
    </row>
    <row r="300" spans="1:17" s="135" customFormat="1" ht="23.25" customHeight="1">
      <c r="A300" s="11"/>
      <c r="B300" s="12"/>
      <c r="C300" s="144"/>
      <c r="D300" s="144"/>
      <c r="E300" s="144"/>
      <c r="F300" s="13"/>
      <c r="G300" s="13"/>
      <c r="H300" s="13"/>
      <c r="I300" s="13"/>
      <c r="J300" s="13"/>
      <c r="K300" s="13"/>
      <c r="L300" s="141"/>
      <c r="M300" s="141"/>
      <c r="N300" s="141"/>
      <c r="O300" s="136"/>
      <c r="P300" s="136"/>
      <c r="Q300" s="157"/>
    </row>
    <row r="301" spans="1:17" s="135" customFormat="1" ht="23.25" customHeight="1">
      <c r="A301" s="11"/>
      <c r="B301" s="12"/>
      <c r="C301" s="180" t="s">
        <v>478</v>
      </c>
      <c r="D301" s="180"/>
      <c r="E301" s="144"/>
      <c r="F301" s="13"/>
      <c r="G301" s="13"/>
      <c r="H301" s="13"/>
      <c r="I301" s="13"/>
      <c r="J301" s="13"/>
      <c r="K301" s="13"/>
      <c r="L301" s="141"/>
      <c r="M301" s="141"/>
      <c r="N301" s="141"/>
      <c r="O301" s="136"/>
      <c r="P301" s="136"/>
      <c r="Q301" s="157"/>
    </row>
    <row r="302" spans="1:17" s="135" customFormat="1" ht="26.25">
      <c r="A302" s="134"/>
      <c r="B302" s="136"/>
      <c r="C302" s="181" t="s">
        <v>472</v>
      </c>
      <c r="D302" s="181"/>
      <c r="E302" s="134"/>
      <c r="N302" s="134"/>
      <c r="O302" s="134"/>
      <c r="P302" s="134"/>
      <c r="Q302" s="157"/>
    </row>
    <row r="303" spans="1:17" s="10" customFormat="1" ht="23.25">
      <c r="A303" s="9"/>
      <c r="B303" s="41"/>
      <c r="C303" s="177"/>
      <c r="D303" s="177"/>
      <c r="E303" s="177"/>
      <c r="F303" s="11"/>
      <c r="G303" s="11"/>
      <c r="H303" s="11"/>
      <c r="I303" s="11"/>
      <c r="J303" s="11"/>
      <c r="K303" s="11"/>
      <c r="L303" s="11"/>
      <c r="M303" s="11"/>
      <c r="N303" s="11"/>
      <c r="O303" s="11"/>
      <c r="P303" s="9"/>
      <c r="Q303" s="157"/>
    </row>
    <row r="304" spans="1:17" s="14" customFormat="1" ht="23.25" customHeight="1">
      <c r="A304" s="15"/>
      <c r="B304" s="37"/>
      <c r="C304" s="134"/>
      <c r="D304" s="134"/>
      <c r="E304" s="134"/>
      <c r="F304" s="77"/>
      <c r="G304" s="77"/>
      <c r="H304" s="77"/>
      <c r="I304" s="77"/>
      <c r="J304" s="77"/>
      <c r="K304" s="77"/>
      <c r="L304" s="77"/>
      <c r="M304" s="77"/>
      <c r="N304" s="77"/>
      <c r="O304" s="77"/>
      <c r="P304" s="77"/>
      <c r="Q304" s="143"/>
    </row>
    <row r="305" ht="23.25" customHeight="1">
      <c r="Q305" s="142"/>
    </row>
    <row r="306" spans="1:17" s="14" customFormat="1" ht="23.25" customHeight="1">
      <c r="A306" s="77"/>
      <c r="B306" s="101"/>
      <c r="C306" s="77"/>
      <c r="D306" s="77"/>
      <c r="E306" s="77"/>
      <c r="F306" s="77"/>
      <c r="G306" s="77"/>
      <c r="H306" s="77"/>
      <c r="I306" s="77"/>
      <c r="J306" s="77"/>
      <c r="K306" s="77"/>
      <c r="L306" s="77"/>
      <c r="M306" s="77"/>
      <c r="N306" s="77"/>
      <c r="O306" s="77"/>
      <c r="P306" s="77"/>
      <c r="Q306" s="143"/>
    </row>
    <row r="307" ht="23.25" customHeight="1"/>
    <row r="308" spans="1:17" s="14" customFormat="1" ht="23.25" customHeight="1">
      <c r="A308" s="77"/>
      <c r="B308" s="101"/>
      <c r="C308" s="77"/>
      <c r="D308" s="77"/>
      <c r="E308" s="77"/>
      <c r="F308" s="77"/>
      <c r="G308" s="77"/>
      <c r="H308" s="77"/>
      <c r="I308" s="77"/>
      <c r="J308" s="77"/>
      <c r="K308" s="77"/>
      <c r="L308" s="77"/>
      <c r="M308" s="77"/>
      <c r="N308" s="77"/>
      <c r="O308" s="77"/>
      <c r="P308" s="77"/>
      <c r="Q308" s="137"/>
    </row>
  </sheetData>
  <sheetProtection/>
  <mergeCells count="50">
    <mergeCell ref="B293:P293"/>
    <mergeCell ref="C303:E303"/>
    <mergeCell ref="C297:E298"/>
    <mergeCell ref="O298:P298"/>
    <mergeCell ref="C301:D301"/>
    <mergeCell ref="C302:D302"/>
    <mergeCell ref="L2:O2"/>
    <mergeCell ref="L4:P4"/>
    <mergeCell ref="P11:P14"/>
    <mergeCell ref="C7:P7"/>
    <mergeCell ref="L12:M12"/>
    <mergeCell ref="E11:I11"/>
    <mergeCell ref="C9:P9"/>
    <mergeCell ref="I12:I14"/>
    <mergeCell ref="N12:N14"/>
    <mergeCell ref="M13:M14"/>
    <mergeCell ref="B11:B14"/>
    <mergeCell ref="E12:E14"/>
    <mergeCell ref="F12:F14"/>
    <mergeCell ref="C11:C14"/>
    <mergeCell ref="O13:O14"/>
    <mergeCell ref="H13:H14"/>
    <mergeCell ref="L13:L14"/>
    <mergeCell ref="G12:H12"/>
    <mergeCell ref="G13:G14"/>
    <mergeCell ref="P128:P129"/>
    <mergeCell ref="L5:P5"/>
    <mergeCell ref="B128:B129"/>
    <mergeCell ref="C128:C129"/>
    <mergeCell ref="E128:E129"/>
    <mergeCell ref="F128:F129"/>
    <mergeCell ref="K12:K14"/>
    <mergeCell ref="J12:J14"/>
    <mergeCell ref="D11:D14"/>
    <mergeCell ref="J11:O11"/>
    <mergeCell ref="Q1:Q25"/>
    <mergeCell ref="Q26:Q52"/>
    <mergeCell ref="Q53:Q71"/>
    <mergeCell ref="Q139:Q149"/>
    <mergeCell ref="Q72:Q93"/>
    <mergeCell ref="Q94:Q123"/>
    <mergeCell ref="Q124:Q128"/>
    <mergeCell ref="Q129:Q138"/>
    <mergeCell ref="Q262:Q280"/>
    <mergeCell ref="Q281:Q303"/>
    <mergeCell ref="Q150:Q176"/>
    <mergeCell ref="Q177:Q194"/>
    <mergeCell ref="Q195:Q217"/>
    <mergeCell ref="Q219:Q239"/>
    <mergeCell ref="Q240:Q260"/>
  </mergeCells>
  <printOptions horizontalCentered="1"/>
  <pageMargins left="0.1968503937007874" right="0.1968503937007874" top="0.7086614173228347" bottom="0.4330708661417323" header="0.5118110236220472" footer="0.2362204724409449"/>
  <pageSetup fitToHeight="73" fitToWidth="1" horizontalDpi="600" verticalDpi="600" orientation="landscape" paperSize="9" scale="53" r:id="rId1"/>
  <headerFooter alignWithMargins="0">
    <oddFooter>&amp;R&amp;18Сторінка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2016-04-21T12:41:46Z</cp:lastPrinted>
  <dcterms:created xsi:type="dcterms:W3CDTF">2014-01-17T10:52:16Z</dcterms:created>
  <dcterms:modified xsi:type="dcterms:W3CDTF">2016-04-21T14:19:27Z</dcterms:modified>
  <cp:category/>
  <cp:version/>
  <cp:contentType/>
  <cp:contentStatus/>
</cp:coreProperties>
</file>