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3 Березень\Наказ 12.03.2024\Наказ\"/>
    </mc:Choice>
  </mc:AlternateContent>
  <bookViews>
    <workbookView xWindow="-105" yWindow="-105" windowWidth="23265" windowHeight="12465" tabRatio="322" activeTab="1"/>
  </bookViews>
  <sheets>
    <sheet name="дод 3 " sheetId="1" r:id="rId1"/>
    <sheet name="дод 7" sheetId="3" r:id="rId2"/>
  </sheets>
  <externalReferences>
    <externalReference r:id="rId3"/>
  </externalReferences>
  <definedNames>
    <definedName name="_xlnm.Print_Titles" localSheetId="0">'дод 3 '!$13:$15</definedName>
    <definedName name="_xlnm.Print_Titles" localSheetId="1">'дод 7'!$12:$14</definedName>
    <definedName name="_xlnm.Print_Area" localSheetId="0">'дод 3 '!$A$1:$P$456</definedName>
    <definedName name="_xlnm.Print_Area" localSheetId="1">'дод 7'!$A$1:$O$295</definedName>
  </definedNames>
  <calcPr calcId="162913" refMode="R1C1"/>
</workbook>
</file>

<file path=xl/calcChain.xml><?xml version="1.0" encoding="utf-8"?>
<calcChain xmlns="http://schemas.openxmlformats.org/spreadsheetml/2006/main">
  <c r="F276" i="1" l="1"/>
  <c r="E408" i="1"/>
  <c r="O394" i="1" l="1"/>
  <c r="K394" i="1"/>
  <c r="O353" i="1"/>
  <c r="K353" i="1"/>
  <c r="O347" i="1"/>
  <c r="K347" i="1"/>
  <c r="O344" i="1"/>
  <c r="K344" i="1"/>
  <c r="O343" i="1"/>
  <c r="K343" i="1"/>
  <c r="O342" i="1"/>
  <c r="K342" i="1"/>
  <c r="O283" i="1"/>
  <c r="K283" i="1"/>
  <c r="O281" i="1"/>
  <c r="K281" i="1"/>
  <c r="F280" i="1"/>
  <c r="F41" i="1"/>
  <c r="F38" i="1"/>
  <c r="F39" i="1"/>
  <c r="F37" i="1"/>
  <c r="F36" i="1"/>
  <c r="O296" i="1"/>
  <c r="K296" i="1"/>
  <c r="F296" i="1"/>
  <c r="O87" i="1" l="1"/>
  <c r="K87" i="1"/>
  <c r="O67" i="1" l="1"/>
  <c r="K67" i="1"/>
  <c r="O61" i="1"/>
  <c r="K61" i="1"/>
  <c r="O250" i="1" l="1"/>
  <c r="K250" i="1"/>
  <c r="F394" i="1" l="1"/>
  <c r="C115" i="3" l="1"/>
  <c r="F195" i="1"/>
  <c r="G195" i="1"/>
  <c r="H195" i="1"/>
  <c r="I195" i="1"/>
  <c r="K195" i="1"/>
  <c r="L195" i="1"/>
  <c r="M195" i="1"/>
  <c r="N195" i="1"/>
  <c r="O195" i="1"/>
  <c r="E135" i="3"/>
  <c r="E115" i="3" s="1"/>
  <c r="F135" i="3"/>
  <c r="F115" i="3" s="1"/>
  <c r="G135" i="3"/>
  <c r="G115" i="3" s="1"/>
  <c r="H135" i="3"/>
  <c r="H115" i="3" s="1"/>
  <c r="J135" i="3"/>
  <c r="J115" i="3" s="1"/>
  <c r="K135" i="3"/>
  <c r="K115" i="3" s="1"/>
  <c r="L135" i="3"/>
  <c r="L115" i="3" s="1"/>
  <c r="M135" i="3"/>
  <c r="M115" i="3" s="1"/>
  <c r="N135" i="3"/>
  <c r="N115" i="3" s="1"/>
  <c r="J212" i="1"/>
  <c r="I135" i="3" s="1"/>
  <c r="I115" i="3" s="1"/>
  <c r="E212" i="1"/>
  <c r="P212" i="1" s="1"/>
  <c r="P195" i="1" s="1"/>
  <c r="J195" i="1" l="1"/>
  <c r="D135" i="3"/>
  <c r="D115" i="3" s="1"/>
  <c r="E195" i="1"/>
  <c r="O135" i="3"/>
  <c r="O115" i="3" s="1"/>
  <c r="F211" i="1"/>
  <c r="K333" i="1" l="1"/>
  <c r="O333" i="1"/>
  <c r="F229" i="1"/>
  <c r="O308" i="1" l="1"/>
  <c r="K308" i="1"/>
  <c r="F308" i="1"/>
  <c r="F67" i="1"/>
  <c r="O348" i="1" l="1"/>
  <c r="K348" i="1"/>
  <c r="O338" i="1"/>
  <c r="K338" i="1"/>
  <c r="O103" i="1"/>
  <c r="K103" i="1"/>
  <c r="O86" i="1"/>
  <c r="K86" i="1"/>
  <c r="O20" i="1"/>
  <c r="K20" i="1"/>
  <c r="O173" i="1"/>
  <c r="K173" i="1"/>
  <c r="O162" i="1"/>
  <c r="K162" i="1"/>
  <c r="O139" i="1" l="1"/>
  <c r="K139" i="1"/>
  <c r="O184" i="1" l="1"/>
  <c r="K184" i="1"/>
  <c r="F72" i="1" l="1"/>
  <c r="G72" i="1"/>
  <c r="H72" i="1"/>
  <c r="I72" i="1"/>
  <c r="K72" i="1"/>
  <c r="L72" i="1"/>
  <c r="M72" i="1"/>
  <c r="N72" i="1"/>
  <c r="O72" i="1"/>
  <c r="F228" i="1" l="1"/>
  <c r="G228" i="1" l="1"/>
  <c r="H228" i="1"/>
  <c r="E216" i="3" l="1"/>
  <c r="F216" i="3"/>
  <c r="G216" i="3"/>
  <c r="H216" i="3"/>
  <c r="J216" i="3"/>
  <c r="K216" i="3"/>
  <c r="L216" i="3"/>
  <c r="M216" i="3"/>
  <c r="N216" i="3"/>
  <c r="E217" i="3"/>
  <c r="E194" i="3" s="1"/>
  <c r="E187" i="3" s="1"/>
  <c r="F217" i="3"/>
  <c r="F194" i="3" s="1"/>
  <c r="F187" i="3" s="1"/>
  <c r="G217" i="3"/>
  <c r="G194" i="3" s="1"/>
  <c r="G187" i="3" s="1"/>
  <c r="H217" i="3"/>
  <c r="H194" i="3" s="1"/>
  <c r="H187" i="3" s="1"/>
  <c r="J217" i="3"/>
  <c r="J194" i="3" s="1"/>
  <c r="J187" i="3" s="1"/>
  <c r="K217" i="3"/>
  <c r="K194" i="3" s="1"/>
  <c r="K187" i="3" s="1"/>
  <c r="L217" i="3"/>
  <c r="L194" i="3" s="1"/>
  <c r="L187" i="3" s="1"/>
  <c r="M217" i="3"/>
  <c r="M194" i="3" s="1"/>
  <c r="M187" i="3" s="1"/>
  <c r="N217" i="3"/>
  <c r="N194" i="3" s="1"/>
  <c r="N187" i="3" s="1"/>
  <c r="G257" i="1"/>
  <c r="K257" i="1"/>
  <c r="L257" i="1"/>
  <c r="M257" i="1"/>
  <c r="O257" i="1"/>
  <c r="F266" i="1"/>
  <c r="G266" i="1"/>
  <c r="H266" i="1"/>
  <c r="I266" i="1"/>
  <c r="K266" i="1"/>
  <c r="L266" i="1"/>
  <c r="M266" i="1"/>
  <c r="N266" i="1"/>
  <c r="O266" i="1"/>
  <c r="J303" i="1"/>
  <c r="I217" i="3" s="1"/>
  <c r="I194" i="3" s="1"/>
  <c r="I187" i="3" s="1"/>
  <c r="E303" i="1"/>
  <c r="E266" i="1" s="1"/>
  <c r="J302" i="1"/>
  <c r="I216" i="3" s="1"/>
  <c r="E302" i="1"/>
  <c r="F84" i="1"/>
  <c r="G84" i="1"/>
  <c r="H84" i="1"/>
  <c r="I84" i="1"/>
  <c r="K84" i="1"/>
  <c r="L84" i="1"/>
  <c r="M84" i="1"/>
  <c r="N84" i="1"/>
  <c r="O84" i="1"/>
  <c r="I69" i="1"/>
  <c r="K69" i="1"/>
  <c r="L69" i="1"/>
  <c r="M69" i="1"/>
  <c r="N69" i="1"/>
  <c r="O69" i="1"/>
  <c r="J137" i="1"/>
  <c r="J84" i="1" s="1"/>
  <c r="E137" i="1"/>
  <c r="P137" i="1" s="1"/>
  <c r="P84" i="1" s="1"/>
  <c r="J136" i="1"/>
  <c r="E136" i="1"/>
  <c r="P136" i="1" s="1"/>
  <c r="J266" i="1" l="1"/>
  <c r="D216" i="3"/>
  <c r="D217" i="3"/>
  <c r="D194" i="3" s="1"/>
  <c r="D187" i="3" s="1"/>
  <c r="E84" i="1"/>
  <c r="P302" i="1"/>
  <c r="O216" i="3" s="1"/>
  <c r="P303" i="1"/>
  <c r="P266" i="1" l="1"/>
  <c r="O217" i="3"/>
  <c r="O194" i="3" s="1"/>
  <c r="O187" i="3" s="1"/>
  <c r="D58" i="1"/>
  <c r="F87" i="1"/>
  <c r="F162" i="1" l="1"/>
  <c r="F257" i="1" l="1"/>
  <c r="F29" i="1"/>
  <c r="I276" i="1"/>
  <c r="D281" i="1" l="1"/>
  <c r="E209" i="1" l="1"/>
  <c r="F104" i="1" l="1"/>
  <c r="G104" i="1"/>
  <c r="G112" i="1"/>
  <c r="F112" i="1"/>
  <c r="H87" i="1"/>
  <c r="H86" i="1"/>
  <c r="H69" i="1" s="1"/>
  <c r="F86" i="1"/>
  <c r="I371" i="1"/>
  <c r="F371" i="1"/>
  <c r="O57" i="1"/>
  <c r="K57" i="1"/>
  <c r="G85" i="1" l="1"/>
  <c r="G69" i="1" s="1"/>
  <c r="F85" i="1"/>
  <c r="G20" i="1"/>
  <c r="F20" i="1"/>
  <c r="F57" i="1" l="1"/>
  <c r="H57" i="1"/>
  <c r="J248" i="1" l="1"/>
  <c r="J104" i="1" l="1"/>
  <c r="I304" i="1" l="1"/>
  <c r="J412" i="1" l="1"/>
  <c r="F250" i="1" l="1"/>
  <c r="F179" i="1" l="1"/>
  <c r="E370" i="1" l="1"/>
  <c r="E20" i="1"/>
  <c r="G412" i="1" l="1"/>
  <c r="F412" i="1"/>
  <c r="H20" i="1" l="1"/>
  <c r="F161" i="1"/>
  <c r="H17" i="1" l="1"/>
  <c r="J249" i="1"/>
  <c r="J27" i="1" l="1"/>
  <c r="F22" i="1" l="1"/>
  <c r="G401" i="1" l="1"/>
  <c r="F401" i="1"/>
  <c r="G332" i="1" l="1"/>
  <c r="F332" i="1"/>
  <c r="F328" i="1" l="1"/>
  <c r="G328" i="1"/>
  <c r="H328" i="1"/>
  <c r="I328" i="1"/>
  <c r="K328" i="1"/>
  <c r="L328" i="1"/>
  <c r="M328" i="1"/>
  <c r="N328" i="1"/>
  <c r="O328" i="1"/>
  <c r="H246" i="1"/>
  <c r="I246" i="1"/>
  <c r="K246" i="1"/>
  <c r="L246" i="1"/>
  <c r="M246" i="1"/>
  <c r="N246" i="1"/>
  <c r="O246" i="1"/>
  <c r="G237" i="1"/>
  <c r="H237" i="1"/>
  <c r="I237" i="1"/>
  <c r="L237" i="1"/>
  <c r="M237" i="1"/>
  <c r="N237" i="1"/>
  <c r="G191" i="1"/>
  <c r="H191" i="1"/>
  <c r="I191" i="1"/>
  <c r="K191" i="1"/>
  <c r="L191" i="1"/>
  <c r="M191" i="1"/>
  <c r="N191" i="1"/>
  <c r="O191" i="1"/>
  <c r="F151" i="1"/>
  <c r="G151" i="1"/>
  <c r="H151" i="1"/>
  <c r="I151" i="1"/>
  <c r="K151" i="1"/>
  <c r="L151" i="1"/>
  <c r="M151" i="1"/>
  <c r="N151" i="1"/>
  <c r="O151" i="1"/>
  <c r="G17" i="1"/>
  <c r="K17" i="1"/>
  <c r="L17" i="1"/>
  <c r="M17" i="1"/>
  <c r="N17" i="1"/>
  <c r="O17" i="1"/>
  <c r="E177" i="3" l="1"/>
  <c r="F177" i="3"/>
  <c r="G177" i="3"/>
  <c r="H177" i="3"/>
  <c r="J177" i="3"/>
  <c r="K177" i="3"/>
  <c r="L177" i="3"/>
  <c r="M177" i="3"/>
  <c r="N177" i="3"/>
  <c r="E277" i="1" l="1"/>
  <c r="E278" i="1"/>
  <c r="E279" i="1"/>
  <c r="D177" i="3" l="1"/>
  <c r="F128" i="1"/>
  <c r="F204" i="1" l="1"/>
  <c r="F210" i="1"/>
  <c r="F28" i="1"/>
  <c r="F203" i="1" l="1"/>
  <c r="F201" i="1"/>
  <c r="F130" i="1"/>
  <c r="F69" i="1" s="1"/>
  <c r="F54" i="1"/>
  <c r="F252" i="1"/>
  <c r="F403" i="1"/>
  <c r="F56" i="1"/>
  <c r="F49" i="1"/>
  <c r="I47" i="1"/>
  <c r="I45" i="1"/>
  <c r="I17" i="1" l="1"/>
  <c r="F17" i="1"/>
  <c r="F191" i="1"/>
  <c r="G250" i="1" l="1"/>
  <c r="G246" i="1" l="1"/>
  <c r="F16" i="1"/>
  <c r="F18" i="1"/>
  <c r="G18" i="1"/>
  <c r="H18" i="1"/>
  <c r="I18" i="1"/>
  <c r="K18" i="1"/>
  <c r="L18" i="1"/>
  <c r="M18" i="1"/>
  <c r="N18" i="1"/>
  <c r="O18" i="1"/>
  <c r="E222" i="3"/>
  <c r="F222" i="3"/>
  <c r="G222" i="3"/>
  <c r="H222" i="3"/>
  <c r="J222" i="3"/>
  <c r="K222" i="3"/>
  <c r="L222" i="3"/>
  <c r="M222" i="3"/>
  <c r="N222" i="3"/>
  <c r="E213" i="3"/>
  <c r="F213" i="3"/>
  <c r="G213" i="3"/>
  <c r="H213" i="3"/>
  <c r="J213" i="3"/>
  <c r="K213" i="3"/>
  <c r="L213" i="3"/>
  <c r="M213" i="3"/>
  <c r="N213" i="3"/>
  <c r="J285" i="1"/>
  <c r="J286" i="1"/>
  <c r="J287" i="1"/>
  <c r="J288" i="1"/>
  <c r="J289" i="1"/>
  <c r="J290" i="1"/>
  <c r="J291" i="1"/>
  <c r="J292" i="1"/>
  <c r="J293" i="1"/>
  <c r="J294" i="1"/>
  <c r="J295" i="1"/>
  <c r="J296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P296" i="1" l="1"/>
  <c r="O213" i="3" s="1"/>
  <c r="P292" i="1"/>
  <c r="P288" i="1"/>
  <c r="D213" i="3"/>
  <c r="P289" i="1"/>
  <c r="P295" i="1"/>
  <c r="P287" i="1"/>
  <c r="P293" i="1"/>
  <c r="P285" i="1"/>
  <c r="P291" i="1"/>
  <c r="P294" i="1"/>
  <c r="P286" i="1"/>
  <c r="I213" i="3"/>
  <c r="P290" i="1"/>
  <c r="F402" i="1" l="1"/>
  <c r="I275" i="1" l="1"/>
  <c r="I257" i="1" s="1"/>
  <c r="F248" i="1" l="1"/>
  <c r="F246" i="1" s="1"/>
  <c r="J50" i="1" l="1"/>
  <c r="I245" i="1" l="1"/>
  <c r="H276" i="1"/>
  <c r="H257" i="1" s="1"/>
  <c r="E42" i="1"/>
  <c r="E43" i="1"/>
  <c r="E44" i="1"/>
  <c r="E45" i="1"/>
  <c r="D222" i="3" l="1"/>
  <c r="F241" i="1"/>
  <c r="F237" i="1" s="1"/>
  <c r="E175" i="3" l="1"/>
  <c r="F175" i="3"/>
  <c r="G175" i="3"/>
  <c r="H175" i="3"/>
  <c r="J175" i="3"/>
  <c r="K175" i="3"/>
  <c r="L175" i="3"/>
  <c r="M175" i="3"/>
  <c r="N175" i="3"/>
  <c r="I256" i="1"/>
  <c r="G256" i="1"/>
  <c r="H256" i="1"/>
  <c r="E133" i="3"/>
  <c r="F133" i="3"/>
  <c r="G133" i="3"/>
  <c r="H133" i="3"/>
  <c r="J133" i="3"/>
  <c r="K133" i="3"/>
  <c r="L133" i="3"/>
  <c r="M133" i="3"/>
  <c r="N133" i="3"/>
  <c r="F256" i="1" l="1"/>
  <c r="E275" i="1" l="1"/>
  <c r="J128" i="1" l="1"/>
  <c r="E128" i="1"/>
  <c r="P128" i="1" l="1"/>
  <c r="E403" i="1"/>
  <c r="H17" i="3"/>
  <c r="K17" i="3"/>
  <c r="L17" i="3"/>
  <c r="M17" i="3"/>
  <c r="E412" i="1"/>
  <c r="P412" i="1" l="1"/>
  <c r="E411" i="1"/>
  <c r="F411" i="1"/>
  <c r="F410" i="1" s="1"/>
  <c r="G411" i="1"/>
  <c r="G410" i="1" s="1"/>
  <c r="H411" i="1"/>
  <c r="H410" i="1" s="1"/>
  <c r="I411" i="1"/>
  <c r="I410" i="1" s="1"/>
  <c r="J411" i="1"/>
  <c r="J410" i="1" s="1"/>
  <c r="K411" i="1"/>
  <c r="K410" i="1" s="1"/>
  <c r="L411" i="1"/>
  <c r="L410" i="1" s="1"/>
  <c r="M411" i="1"/>
  <c r="M410" i="1" s="1"/>
  <c r="N411" i="1"/>
  <c r="N410" i="1" s="1"/>
  <c r="O411" i="1"/>
  <c r="O410" i="1" s="1"/>
  <c r="E410" i="1" l="1"/>
  <c r="P410" i="1" s="1"/>
  <c r="P411" i="1"/>
  <c r="F330" i="1"/>
  <c r="G330" i="1"/>
  <c r="H330" i="1"/>
  <c r="I330" i="1"/>
  <c r="K330" i="1"/>
  <c r="L330" i="1"/>
  <c r="M330" i="1"/>
  <c r="N330" i="1"/>
  <c r="O330" i="1"/>
  <c r="E86" i="1" l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72" i="1" s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8" i="1"/>
  <c r="E139" i="1"/>
  <c r="E140" i="1"/>
  <c r="E141" i="1"/>
  <c r="E142" i="1"/>
  <c r="E143" i="1"/>
  <c r="E144" i="1"/>
  <c r="E145" i="1"/>
  <c r="E85" i="1"/>
  <c r="E240" i="3" l="1"/>
  <c r="F240" i="3"/>
  <c r="G240" i="3"/>
  <c r="H240" i="3"/>
  <c r="J240" i="3"/>
  <c r="K240" i="3"/>
  <c r="L240" i="3"/>
  <c r="N240" i="3"/>
  <c r="E247" i="1" l="1"/>
  <c r="E248" i="1"/>
  <c r="E249" i="1"/>
  <c r="E250" i="1"/>
  <c r="E251" i="1"/>
  <c r="E252" i="1"/>
  <c r="K196" i="1"/>
  <c r="D300" i="1" l="1"/>
  <c r="C300" i="1"/>
  <c r="B300" i="1"/>
  <c r="E228" i="3"/>
  <c r="F228" i="3"/>
  <c r="G228" i="3"/>
  <c r="H228" i="3"/>
  <c r="J228" i="3"/>
  <c r="K228" i="3"/>
  <c r="L228" i="3"/>
  <c r="M228" i="3"/>
  <c r="N228" i="3"/>
  <c r="B299" i="1"/>
  <c r="E230" i="3" l="1"/>
  <c r="F230" i="3"/>
  <c r="G230" i="3"/>
  <c r="H230" i="3"/>
  <c r="J230" i="3"/>
  <c r="K230" i="3"/>
  <c r="L230" i="3"/>
  <c r="M230" i="3"/>
  <c r="N230" i="3"/>
  <c r="F258" i="1"/>
  <c r="G258" i="1"/>
  <c r="H258" i="1"/>
  <c r="I258" i="1"/>
  <c r="K258" i="1"/>
  <c r="L258" i="1"/>
  <c r="M258" i="1"/>
  <c r="N258" i="1"/>
  <c r="O258" i="1"/>
  <c r="J301" i="1"/>
  <c r="E300" i="1"/>
  <c r="E301" i="1"/>
  <c r="J258" i="1" l="1"/>
  <c r="I230" i="3"/>
  <c r="I219" i="3" s="1"/>
  <c r="D230" i="3"/>
  <c r="P301" i="1"/>
  <c r="O230" i="3" s="1"/>
  <c r="E258" i="1"/>
  <c r="P258" i="1" l="1"/>
  <c r="E299" i="1"/>
  <c r="J299" i="1"/>
  <c r="E298" i="1"/>
  <c r="C299" i="1"/>
  <c r="D299" i="1"/>
  <c r="I228" i="3" l="1"/>
  <c r="D228" i="3"/>
  <c r="P299" i="1"/>
  <c r="O228" i="3" l="1"/>
  <c r="J139" i="1"/>
  <c r="D226" i="1" l="1"/>
  <c r="D224" i="1"/>
  <c r="D222" i="1"/>
  <c r="J340" i="1" l="1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E83" i="3"/>
  <c r="F83" i="3"/>
  <c r="G83" i="3"/>
  <c r="H83" i="3"/>
  <c r="J83" i="3"/>
  <c r="K83" i="3"/>
  <c r="L83" i="3"/>
  <c r="M83" i="3"/>
  <c r="N83" i="3"/>
  <c r="J334" i="1"/>
  <c r="J335" i="1"/>
  <c r="J336" i="1"/>
  <c r="J337" i="1"/>
  <c r="J338" i="1"/>
  <c r="J339" i="1"/>
  <c r="E334" i="1"/>
  <c r="E335" i="1"/>
  <c r="E336" i="1"/>
  <c r="E337" i="1"/>
  <c r="E338" i="1"/>
  <c r="E339" i="1"/>
  <c r="E340" i="1"/>
  <c r="E341" i="1"/>
  <c r="J330" i="1" l="1"/>
  <c r="D85" i="3"/>
  <c r="E330" i="1"/>
  <c r="D84" i="3"/>
  <c r="D83" i="3"/>
  <c r="P334" i="1"/>
  <c r="P337" i="1"/>
  <c r="P336" i="1"/>
  <c r="P335" i="1"/>
  <c r="P338" i="1"/>
  <c r="P340" i="1"/>
  <c r="P330" i="1" s="1"/>
  <c r="P339" i="1"/>
  <c r="F196" i="1" l="1"/>
  <c r="G196" i="1"/>
  <c r="H196" i="1"/>
  <c r="I196" i="1"/>
  <c r="L196" i="1"/>
  <c r="M196" i="1"/>
  <c r="N196" i="1"/>
  <c r="O196" i="1"/>
  <c r="K193" i="1"/>
  <c r="J113" i="3" s="1"/>
  <c r="L193" i="1"/>
  <c r="K113" i="3" s="1"/>
  <c r="M193" i="1"/>
  <c r="L113" i="3" s="1"/>
  <c r="N193" i="1"/>
  <c r="M113" i="3" s="1"/>
  <c r="O193" i="1"/>
  <c r="N113" i="3" s="1"/>
  <c r="F82" i="1"/>
  <c r="G82" i="1"/>
  <c r="H82" i="1"/>
  <c r="I82" i="1"/>
  <c r="K82" i="1"/>
  <c r="L82" i="1"/>
  <c r="M82" i="1"/>
  <c r="N82" i="1"/>
  <c r="O82" i="1"/>
  <c r="E82" i="1"/>
  <c r="E35" i="3"/>
  <c r="F35" i="3"/>
  <c r="G35" i="3"/>
  <c r="H35" i="3"/>
  <c r="J35" i="3"/>
  <c r="K35" i="3"/>
  <c r="L35" i="3"/>
  <c r="M35" i="3"/>
  <c r="N35" i="3"/>
  <c r="D35" i="3"/>
  <c r="J121" i="1"/>
  <c r="J122" i="1"/>
  <c r="J123" i="1"/>
  <c r="J124" i="1"/>
  <c r="J125" i="1"/>
  <c r="J126" i="1"/>
  <c r="J127" i="1"/>
  <c r="J129" i="1"/>
  <c r="P125" i="1" l="1"/>
  <c r="I83" i="3"/>
  <c r="P127" i="1"/>
  <c r="I85" i="3"/>
  <c r="I35" i="3" s="1"/>
  <c r="P126" i="1"/>
  <c r="I84" i="3"/>
  <c r="J82" i="1"/>
  <c r="P82" i="1" l="1"/>
  <c r="O84" i="3"/>
  <c r="O83" i="3"/>
  <c r="O85" i="3"/>
  <c r="O35" i="3" s="1"/>
  <c r="O265" i="1" l="1"/>
  <c r="N265" i="1"/>
  <c r="M265" i="1"/>
  <c r="L265" i="1"/>
  <c r="K265" i="1"/>
  <c r="I265" i="1"/>
  <c r="H265" i="1"/>
  <c r="G265" i="1"/>
  <c r="F265" i="1"/>
  <c r="C186" i="3"/>
  <c r="N215" i="3"/>
  <c r="N186" i="3" s="1"/>
  <c r="M215" i="3"/>
  <c r="M186" i="3" s="1"/>
  <c r="L215" i="3"/>
  <c r="L186" i="3" s="1"/>
  <c r="K215" i="3"/>
  <c r="K186" i="3" s="1"/>
  <c r="J215" i="3"/>
  <c r="J186" i="3" s="1"/>
  <c r="H215" i="3"/>
  <c r="H186" i="3" s="1"/>
  <c r="G215" i="3"/>
  <c r="G186" i="3" s="1"/>
  <c r="F215" i="3"/>
  <c r="F186" i="3" s="1"/>
  <c r="E215" i="3"/>
  <c r="E186" i="3" s="1"/>
  <c r="D215" i="3"/>
  <c r="D186" i="3" s="1"/>
  <c r="J298" i="1"/>
  <c r="D298" i="1"/>
  <c r="D265" i="1" s="1"/>
  <c r="D297" i="1"/>
  <c r="N214" i="3"/>
  <c r="M214" i="3"/>
  <c r="L214" i="3"/>
  <c r="K214" i="3"/>
  <c r="J214" i="3"/>
  <c r="H214" i="3"/>
  <c r="G214" i="3"/>
  <c r="F214" i="3"/>
  <c r="E214" i="3"/>
  <c r="J297" i="1"/>
  <c r="E297" i="1"/>
  <c r="D214" i="3" l="1"/>
  <c r="J265" i="1"/>
  <c r="P298" i="1"/>
  <c r="E265" i="1"/>
  <c r="I215" i="3"/>
  <c r="I186" i="3" s="1"/>
  <c r="I214" i="3"/>
  <c r="P297" i="1"/>
  <c r="O215" i="3" l="1"/>
  <c r="O186" i="3" s="1"/>
  <c r="O214" i="3"/>
  <c r="P265" i="1"/>
  <c r="C185" i="3" l="1"/>
  <c r="E196" i="3" l="1"/>
  <c r="F196" i="3"/>
  <c r="G196" i="3"/>
  <c r="H196" i="3"/>
  <c r="J196" i="3"/>
  <c r="K196" i="3"/>
  <c r="L196" i="3"/>
  <c r="M196" i="3"/>
  <c r="N196" i="3"/>
  <c r="C196" i="3"/>
  <c r="F264" i="1"/>
  <c r="G264" i="1"/>
  <c r="H264" i="1"/>
  <c r="I264" i="1"/>
  <c r="K264" i="1"/>
  <c r="L264" i="1"/>
  <c r="M264" i="1"/>
  <c r="N264" i="1"/>
  <c r="O264" i="1"/>
  <c r="E281" i="1"/>
  <c r="E282" i="1"/>
  <c r="J282" i="1"/>
  <c r="F185" i="3" l="1"/>
  <c r="F288" i="3" s="1"/>
  <c r="J185" i="3"/>
  <c r="J288" i="3" s="1"/>
  <c r="N185" i="3"/>
  <c r="N288" i="3" s="1"/>
  <c r="E185" i="3"/>
  <c r="E288" i="3" s="1"/>
  <c r="M185" i="3"/>
  <c r="M288" i="3" s="1"/>
  <c r="D196" i="3"/>
  <c r="L185" i="3"/>
  <c r="L288" i="3" s="1"/>
  <c r="G185" i="3"/>
  <c r="G288" i="3" s="1"/>
  <c r="K185" i="3"/>
  <c r="K288" i="3" s="1"/>
  <c r="H185" i="3"/>
  <c r="H288" i="3" s="1"/>
  <c r="P282" i="1"/>
  <c r="J264" i="1"/>
  <c r="I196" i="3"/>
  <c r="E264" i="1"/>
  <c r="D185" i="3" l="1"/>
  <c r="D288" i="3" s="1"/>
  <c r="I185" i="3"/>
  <c r="I288" i="3" s="1"/>
  <c r="O196" i="3"/>
  <c r="P264" i="1"/>
  <c r="O185" i="3" l="1"/>
  <c r="O288" i="3" s="1"/>
  <c r="E248" i="3" l="1"/>
  <c r="F248" i="3"/>
  <c r="G248" i="3"/>
  <c r="H248" i="3"/>
  <c r="J248" i="3"/>
  <c r="K248" i="3"/>
  <c r="L248" i="3"/>
  <c r="M248" i="3"/>
  <c r="E247" i="3"/>
  <c r="F247" i="3"/>
  <c r="G247" i="3"/>
  <c r="H247" i="3"/>
  <c r="J247" i="3"/>
  <c r="K247" i="3"/>
  <c r="L247" i="3"/>
  <c r="M247" i="3"/>
  <c r="F83" i="1" l="1"/>
  <c r="G83" i="1"/>
  <c r="H83" i="1"/>
  <c r="I83" i="1"/>
  <c r="K83" i="1"/>
  <c r="L83" i="1"/>
  <c r="M83" i="1"/>
  <c r="N83" i="1"/>
  <c r="O83" i="1"/>
  <c r="J143" i="1"/>
  <c r="E83" i="1"/>
  <c r="E245" i="3"/>
  <c r="J245" i="3"/>
  <c r="J142" i="1"/>
  <c r="C142" i="1"/>
  <c r="D142" i="1"/>
  <c r="B142" i="1"/>
  <c r="J83" i="1" l="1"/>
  <c r="P143" i="1"/>
  <c r="P142" i="1"/>
  <c r="P83" i="1" l="1"/>
  <c r="J284" i="1" l="1"/>
  <c r="E258" i="3" l="1"/>
  <c r="F258" i="3"/>
  <c r="H258" i="3"/>
  <c r="J258" i="3"/>
  <c r="K258" i="3"/>
  <c r="L258" i="3"/>
  <c r="M258" i="3"/>
  <c r="N258" i="3"/>
  <c r="J140" i="1"/>
  <c r="J141" i="1"/>
  <c r="J144" i="1"/>
  <c r="D144" i="1"/>
  <c r="C144" i="1"/>
  <c r="P144" i="1" l="1"/>
  <c r="J305" i="1"/>
  <c r="J283" i="1"/>
  <c r="J232" i="3"/>
  <c r="K232" i="3"/>
  <c r="L232" i="3"/>
  <c r="M232" i="3"/>
  <c r="N232" i="3"/>
  <c r="E260" i="3" l="1"/>
  <c r="F260" i="3"/>
  <c r="G260" i="3"/>
  <c r="H260" i="3"/>
  <c r="J260" i="3"/>
  <c r="K260" i="3"/>
  <c r="L260" i="3"/>
  <c r="M260" i="3"/>
  <c r="N260" i="3"/>
  <c r="J311" i="1"/>
  <c r="E311" i="1"/>
  <c r="F261" i="3"/>
  <c r="G261" i="3"/>
  <c r="H261" i="3"/>
  <c r="J261" i="3"/>
  <c r="K261" i="3"/>
  <c r="L261" i="3"/>
  <c r="M261" i="3"/>
  <c r="N261" i="3"/>
  <c r="E305" i="1"/>
  <c r="J277" i="1"/>
  <c r="J278" i="1"/>
  <c r="J279" i="1"/>
  <c r="F244" i="3"/>
  <c r="G244" i="3"/>
  <c r="H244" i="3"/>
  <c r="K244" i="3"/>
  <c r="L244" i="3"/>
  <c r="M244" i="3"/>
  <c r="P141" i="1"/>
  <c r="C141" i="1"/>
  <c r="D141" i="1"/>
  <c r="B141" i="1"/>
  <c r="I177" i="3" l="1"/>
  <c r="D260" i="3"/>
  <c r="I260" i="3"/>
  <c r="P305" i="1"/>
  <c r="P278" i="1"/>
  <c r="P277" i="1"/>
  <c r="P279" i="1"/>
  <c r="O177" i="3" s="1"/>
  <c r="P311" i="1"/>
  <c r="P140" i="1"/>
  <c r="E67" i="1"/>
  <c r="E310" i="1"/>
  <c r="O260" i="3" l="1"/>
  <c r="J308" i="1"/>
  <c r="J310" i="1"/>
  <c r="J309" i="1"/>
  <c r="E312" i="1"/>
  <c r="E313" i="1"/>
  <c r="E314" i="1"/>
  <c r="E315" i="1"/>
  <c r="E316" i="1"/>
  <c r="E317" i="1"/>
  <c r="E309" i="1"/>
  <c r="D310" i="1"/>
  <c r="C310" i="1"/>
  <c r="G258" i="3"/>
  <c r="P310" i="1" l="1"/>
  <c r="P309" i="1"/>
  <c r="F235" i="3"/>
  <c r="G235" i="3"/>
  <c r="K235" i="3"/>
  <c r="L235" i="3"/>
  <c r="M235" i="3"/>
  <c r="C371" i="1"/>
  <c r="D371" i="1"/>
  <c r="B371" i="1"/>
  <c r="C370" i="1"/>
  <c r="D370" i="1"/>
  <c r="B370" i="1"/>
  <c r="I326" i="1"/>
  <c r="H235" i="3" s="1"/>
  <c r="F326" i="1"/>
  <c r="E235" i="3" s="1"/>
  <c r="H325" i="1"/>
  <c r="G325" i="1"/>
  <c r="F325" i="1"/>
  <c r="O371" i="1"/>
  <c r="K371" i="1"/>
  <c r="E371" i="1"/>
  <c r="O370" i="1"/>
  <c r="K370" i="1"/>
  <c r="N369" i="1"/>
  <c r="N368" i="1" s="1"/>
  <c r="M369" i="1"/>
  <c r="M368" i="1" s="1"/>
  <c r="L369" i="1"/>
  <c r="L368" i="1" s="1"/>
  <c r="I369" i="1"/>
  <c r="I368" i="1" s="1"/>
  <c r="H369" i="1"/>
  <c r="H368" i="1" s="1"/>
  <c r="G369" i="1"/>
  <c r="G368" i="1" s="1"/>
  <c r="F369" i="1"/>
  <c r="F368" i="1" s="1"/>
  <c r="J370" i="1" l="1"/>
  <c r="J371" i="1"/>
  <c r="K369" i="1"/>
  <c r="K368" i="1" s="1"/>
  <c r="E369" i="1"/>
  <c r="E368" i="1" s="1"/>
  <c r="O369" i="1"/>
  <c r="O368" i="1" s="1"/>
  <c r="P370" i="1" l="1"/>
  <c r="P371" i="1"/>
  <c r="J369" i="1"/>
  <c r="J368" i="1" s="1"/>
  <c r="E162" i="1"/>
  <c r="P369" i="1" l="1"/>
  <c r="P368" i="1" s="1"/>
  <c r="E409" i="1"/>
  <c r="H374" i="1" l="1"/>
  <c r="G17" i="3" s="1"/>
  <c r="G374" i="1"/>
  <c r="F17" i="3" s="1"/>
  <c r="F374" i="1"/>
  <c r="E17" i="3" s="1"/>
  <c r="E261" i="3"/>
  <c r="D91" i="1" l="1"/>
  <c r="D186" i="1" l="1"/>
  <c r="D162" i="1"/>
  <c r="D87" i="1"/>
  <c r="D53" i="1"/>
  <c r="E246" i="3" l="1"/>
  <c r="E291" i="3" s="1"/>
  <c r="F246" i="3"/>
  <c r="F291" i="3" s="1"/>
  <c r="G246" i="3"/>
  <c r="G291" i="3" s="1"/>
  <c r="H246" i="3"/>
  <c r="H291" i="3" s="1"/>
  <c r="J246" i="3"/>
  <c r="J291" i="3" s="1"/>
  <c r="K246" i="3"/>
  <c r="K291" i="3" s="1"/>
  <c r="L246" i="3"/>
  <c r="L291" i="3" s="1"/>
  <c r="M246" i="3"/>
  <c r="M291" i="3" s="1"/>
  <c r="F160" i="1"/>
  <c r="G160" i="1"/>
  <c r="H160" i="1"/>
  <c r="I160" i="1"/>
  <c r="K160" i="1"/>
  <c r="L160" i="1"/>
  <c r="M160" i="1"/>
  <c r="N160" i="1"/>
  <c r="E187" i="1"/>
  <c r="N418" i="1" l="1"/>
  <c r="M304" i="3" s="1"/>
  <c r="M418" i="1"/>
  <c r="G418" i="1"/>
  <c r="I418" i="1"/>
  <c r="I431" i="1" s="1"/>
  <c r="H418" i="1"/>
  <c r="H431" i="1" s="1"/>
  <c r="L418" i="1"/>
  <c r="K418" i="1"/>
  <c r="J304" i="3" s="1"/>
  <c r="F418" i="1"/>
  <c r="D248" i="3"/>
  <c r="D246" i="3" s="1"/>
  <c r="D291" i="3" s="1"/>
  <c r="N248" i="3"/>
  <c r="N246" i="3" s="1"/>
  <c r="N291" i="3" s="1"/>
  <c r="J187" i="1"/>
  <c r="E160" i="1"/>
  <c r="O160" i="1"/>
  <c r="M431" i="1"/>
  <c r="H304" i="3" l="1"/>
  <c r="K431" i="1"/>
  <c r="N431" i="1"/>
  <c r="F431" i="1"/>
  <c r="E304" i="3"/>
  <c r="K304" i="3"/>
  <c r="L304" i="3"/>
  <c r="G304" i="3"/>
  <c r="G431" i="1"/>
  <c r="L431" i="1"/>
  <c r="F304" i="3"/>
  <c r="E418" i="1"/>
  <c r="D304" i="3" s="1"/>
  <c r="I248" i="3"/>
  <c r="I246" i="3" s="1"/>
  <c r="I291" i="3" s="1"/>
  <c r="P187" i="1"/>
  <c r="O248" i="3" s="1"/>
  <c r="O246" i="3" s="1"/>
  <c r="O291" i="3" s="1"/>
  <c r="J160" i="1"/>
  <c r="O418" i="1"/>
  <c r="N304" i="3" s="1"/>
  <c r="E431" i="1" l="1"/>
  <c r="J418" i="1"/>
  <c r="J431" i="1" s="1"/>
  <c r="P160" i="1"/>
  <c r="P418" i="1" s="1"/>
  <c r="O431" i="1"/>
  <c r="J432" i="1"/>
  <c r="I304" i="3" l="1"/>
  <c r="O304" i="3"/>
  <c r="P431" i="1"/>
  <c r="C326" i="1"/>
  <c r="D326" i="1"/>
  <c r="B326" i="1"/>
  <c r="F324" i="1"/>
  <c r="G324" i="1"/>
  <c r="H324" i="1"/>
  <c r="I324" i="1"/>
  <c r="L324" i="1"/>
  <c r="M324" i="1"/>
  <c r="N324" i="1"/>
  <c r="O326" i="1"/>
  <c r="J326" i="1" s="1"/>
  <c r="K326" i="1"/>
  <c r="E326" i="1"/>
  <c r="P326" i="1" l="1"/>
  <c r="J312" i="1" l="1"/>
  <c r="L433" i="1"/>
  <c r="E432" i="1"/>
  <c r="L435" i="1" l="1"/>
  <c r="C52" i="1" l="1"/>
  <c r="B52" i="1"/>
  <c r="F236" i="3"/>
  <c r="G236" i="3"/>
  <c r="H236" i="3"/>
  <c r="J236" i="3"/>
  <c r="K236" i="3"/>
  <c r="L236" i="3"/>
  <c r="M236" i="3"/>
  <c r="N236" i="3"/>
  <c r="J52" i="1" l="1"/>
  <c r="E52" i="1"/>
  <c r="E401" i="1"/>
  <c r="L434" i="1"/>
  <c r="P52" i="1" l="1"/>
  <c r="L432" i="1" l="1"/>
  <c r="N247" i="3" l="1"/>
  <c r="N245" i="3" s="1"/>
  <c r="G400" i="1" l="1"/>
  <c r="H400" i="1"/>
  <c r="I400" i="1"/>
  <c r="K400" i="1"/>
  <c r="L400" i="1"/>
  <c r="M400" i="1"/>
  <c r="N400" i="1"/>
  <c r="O400" i="1"/>
  <c r="J404" i="1"/>
  <c r="E404" i="1"/>
  <c r="P404" i="1" l="1"/>
  <c r="E239" i="3" l="1"/>
  <c r="F239" i="3"/>
  <c r="G239" i="3"/>
  <c r="H239" i="3"/>
  <c r="K239" i="3"/>
  <c r="L239" i="3"/>
  <c r="M239" i="3"/>
  <c r="E238" i="3"/>
  <c r="F238" i="3"/>
  <c r="G238" i="3"/>
  <c r="H238" i="3"/>
  <c r="K238" i="3"/>
  <c r="L238" i="3"/>
  <c r="M238" i="3"/>
  <c r="E212" i="3"/>
  <c r="F212" i="3"/>
  <c r="G212" i="3"/>
  <c r="H212" i="3"/>
  <c r="K212" i="3"/>
  <c r="L212" i="3"/>
  <c r="M212" i="3"/>
  <c r="E204" i="3"/>
  <c r="F204" i="3"/>
  <c r="G204" i="3"/>
  <c r="H204" i="3"/>
  <c r="K204" i="3"/>
  <c r="L204" i="3"/>
  <c r="M204" i="3"/>
  <c r="E190" i="3"/>
  <c r="F190" i="3"/>
  <c r="G190" i="3"/>
  <c r="H190" i="3"/>
  <c r="K190" i="3"/>
  <c r="L190" i="3"/>
  <c r="M190" i="3"/>
  <c r="E181" i="3"/>
  <c r="F181" i="3"/>
  <c r="G181" i="3"/>
  <c r="H181" i="3"/>
  <c r="K181" i="3"/>
  <c r="L181" i="3"/>
  <c r="M181" i="3"/>
  <c r="C395" i="1"/>
  <c r="D395" i="1"/>
  <c r="C396" i="1"/>
  <c r="D396" i="1"/>
  <c r="C397" i="1"/>
  <c r="D397" i="1"/>
  <c r="C398" i="1"/>
  <c r="D398" i="1"/>
  <c r="B398" i="1"/>
  <c r="B397" i="1"/>
  <c r="B396" i="1"/>
  <c r="B395" i="1"/>
  <c r="C394" i="1"/>
  <c r="D394" i="1"/>
  <c r="B394" i="1"/>
  <c r="C393" i="1"/>
  <c r="D393" i="1"/>
  <c r="B393" i="1"/>
  <c r="C392" i="1"/>
  <c r="D392" i="1"/>
  <c r="B392" i="1"/>
  <c r="C391" i="1"/>
  <c r="D391" i="1"/>
  <c r="B391" i="1"/>
  <c r="F389" i="1"/>
  <c r="F388" i="1" s="1"/>
  <c r="G389" i="1"/>
  <c r="G388" i="1" s="1"/>
  <c r="H389" i="1"/>
  <c r="H388" i="1" s="1"/>
  <c r="I389" i="1"/>
  <c r="I388" i="1" s="1"/>
  <c r="L389" i="1"/>
  <c r="L388" i="1" s="1"/>
  <c r="M389" i="1"/>
  <c r="M388" i="1" s="1"/>
  <c r="N389" i="1"/>
  <c r="N388" i="1" s="1"/>
  <c r="N244" i="3"/>
  <c r="J244" i="3"/>
  <c r="E398" i="1"/>
  <c r="J397" i="1"/>
  <c r="J239" i="3"/>
  <c r="E397" i="1"/>
  <c r="J396" i="1"/>
  <c r="J238" i="3"/>
  <c r="E396" i="1"/>
  <c r="N235" i="3"/>
  <c r="J235" i="3"/>
  <c r="E395" i="1"/>
  <c r="N212" i="3"/>
  <c r="J212" i="3"/>
  <c r="E394" i="1"/>
  <c r="J393" i="1"/>
  <c r="J204" i="3"/>
  <c r="E393" i="1"/>
  <c r="J392" i="1"/>
  <c r="J190" i="3"/>
  <c r="E392" i="1"/>
  <c r="J391" i="1"/>
  <c r="J181" i="3"/>
  <c r="E391" i="1"/>
  <c r="C387" i="1"/>
  <c r="B387" i="1"/>
  <c r="C386" i="1"/>
  <c r="B386" i="1"/>
  <c r="C385" i="1"/>
  <c r="B385" i="1"/>
  <c r="C384" i="1"/>
  <c r="B384" i="1"/>
  <c r="C383" i="1"/>
  <c r="B383" i="1"/>
  <c r="C390" i="1"/>
  <c r="B390" i="1"/>
  <c r="C382" i="1"/>
  <c r="B382" i="1"/>
  <c r="C325" i="1"/>
  <c r="B325" i="1"/>
  <c r="D387" i="1"/>
  <c r="D386" i="1"/>
  <c r="D385" i="1"/>
  <c r="D384" i="1"/>
  <c r="D383" i="1"/>
  <c r="D382" i="1"/>
  <c r="D390" i="1"/>
  <c r="E390" i="1"/>
  <c r="J387" i="1"/>
  <c r="E387" i="1"/>
  <c r="J386" i="1"/>
  <c r="E386" i="1"/>
  <c r="J385" i="1"/>
  <c r="E385" i="1"/>
  <c r="J384" i="1"/>
  <c r="E384" i="1"/>
  <c r="J383" i="1"/>
  <c r="E383" i="1"/>
  <c r="J382" i="1"/>
  <c r="E382" i="1"/>
  <c r="O381" i="1"/>
  <c r="O380" i="1" s="1"/>
  <c r="N381" i="1"/>
  <c r="N380" i="1" s="1"/>
  <c r="M381" i="1"/>
  <c r="M380" i="1" s="1"/>
  <c r="L381" i="1"/>
  <c r="L380" i="1" s="1"/>
  <c r="K381" i="1"/>
  <c r="K380" i="1" s="1"/>
  <c r="I381" i="1"/>
  <c r="I380" i="1" s="1"/>
  <c r="H381" i="1"/>
  <c r="H380" i="1" s="1"/>
  <c r="G381" i="1"/>
  <c r="G380" i="1" s="1"/>
  <c r="F381" i="1"/>
  <c r="F380" i="1" s="1"/>
  <c r="D325" i="1"/>
  <c r="O325" i="1"/>
  <c r="O324" i="1" s="1"/>
  <c r="O323" i="1" s="1"/>
  <c r="K325" i="1"/>
  <c r="K324" i="1" s="1"/>
  <c r="K323" i="1" s="1"/>
  <c r="E325" i="1"/>
  <c r="E324" i="1" s="1"/>
  <c r="M323" i="1"/>
  <c r="L323" i="1"/>
  <c r="I323" i="1"/>
  <c r="H323" i="1"/>
  <c r="G323" i="1"/>
  <c r="F323" i="1"/>
  <c r="N323" i="1"/>
  <c r="J325" i="1" l="1"/>
  <c r="J381" i="1"/>
  <c r="J380" i="1" s="1"/>
  <c r="O389" i="1"/>
  <c r="O388" i="1" s="1"/>
  <c r="J395" i="1"/>
  <c r="J324" i="1"/>
  <c r="J323" i="1" s="1"/>
  <c r="K389" i="1"/>
  <c r="K388" i="1" s="1"/>
  <c r="N181" i="3"/>
  <c r="N190" i="3"/>
  <c r="N238" i="3"/>
  <c r="J390" i="1"/>
  <c r="N204" i="3"/>
  <c r="N239" i="3"/>
  <c r="J394" i="1"/>
  <c r="J398" i="1"/>
  <c r="P391" i="1"/>
  <c r="P392" i="1"/>
  <c r="P393" i="1"/>
  <c r="P396" i="1"/>
  <c r="P397" i="1"/>
  <c r="E389" i="1"/>
  <c r="E388" i="1" s="1"/>
  <c r="P325" i="1"/>
  <c r="P383" i="1"/>
  <c r="P385" i="1"/>
  <c r="P387" i="1"/>
  <c r="E381" i="1"/>
  <c r="E380" i="1" s="1"/>
  <c r="P382" i="1"/>
  <c r="P384" i="1"/>
  <c r="P386" i="1"/>
  <c r="E323" i="1"/>
  <c r="P398" i="1" l="1"/>
  <c r="P390" i="1"/>
  <c r="P395" i="1"/>
  <c r="P394" i="1"/>
  <c r="J389" i="1"/>
  <c r="J388" i="1" s="1"/>
  <c r="P324" i="1"/>
  <c r="P323" i="1" s="1"/>
  <c r="P381" i="1"/>
  <c r="P380" i="1" s="1"/>
  <c r="P389" i="1" l="1"/>
  <c r="P388" i="1" s="1"/>
  <c r="E236" i="3"/>
  <c r="K442" i="1"/>
  <c r="L442" i="1" s="1"/>
  <c r="J442" i="1"/>
  <c r="E244" i="3" l="1"/>
  <c r="F400" i="1" l="1"/>
  <c r="G173" i="3"/>
  <c r="H173" i="3"/>
  <c r="J173" i="3"/>
  <c r="K173" i="3"/>
  <c r="L173" i="3"/>
  <c r="M173" i="3"/>
  <c r="N173" i="3"/>
  <c r="J272" i="1"/>
  <c r="J273" i="1"/>
  <c r="J274" i="1"/>
  <c r="I173" i="3" l="1"/>
  <c r="K256" i="1"/>
  <c r="L256" i="1"/>
  <c r="M256" i="1"/>
  <c r="O256" i="1"/>
  <c r="J280" i="1"/>
  <c r="D272" i="1" l="1"/>
  <c r="K438" i="1" l="1"/>
  <c r="J438" i="1"/>
  <c r="E438" i="1"/>
  <c r="E101" i="3" l="1"/>
  <c r="F101" i="3"/>
  <c r="G101" i="3"/>
  <c r="H101" i="3"/>
  <c r="J101" i="3"/>
  <c r="K101" i="3"/>
  <c r="L101" i="3"/>
  <c r="M101" i="3"/>
  <c r="N101" i="3"/>
  <c r="N283" i="3" l="1"/>
  <c r="M283" i="3"/>
  <c r="L283" i="3"/>
  <c r="K283" i="3"/>
  <c r="J283" i="3"/>
  <c r="H283" i="3"/>
  <c r="G283" i="3"/>
  <c r="F283" i="3"/>
  <c r="E283" i="3"/>
  <c r="J66" i="1"/>
  <c r="E66" i="1"/>
  <c r="P66" i="1" l="1"/>
  <c r="C34" i="3" l="1"/>
  <c r="N98" i="3"/>
  <c r="N92" i="3" s="1"/>
  <c r="M98" i="3"/>
  <c r="M92" i="3" s="1"/>
  <c r="L98" i="3"/>
  <c r="L92" i="3" s="1"/>
  <c r="K98" i="3"/>
  <c r="K92" i="3" s="1"/>
  <c r="J98" i="3"/>
  <c r="J92" i="3" s="1"/>
  <c r="H98" i="3"/>
  <c r="H92" i="3" s="1"/>
  <c r="G98" i="3"/>
  <c r="G92" i="3" s="1"/>
  <c r="F98" i="3"/>
  <c r="F92" i="3" s="1"/>
  <c r="E98" i="3"/>
  <c r="E92" i="3" s="1"/>
  <c r="D98" i="3"/>
  <c r="D92" i="3" s="1"/>
  <c r="C91" i="3"/>
  <c r="C98" i="3"/>
  <c r="O152" i="1"/>
  <c r="N152" i="1"/>
  <c r="M152" i="1"/>
  <c r="L152" i="1"/>
  <c r="K152" i="1"/>
  <c r="I152" i="1"/>
  <c r="H152" i="1"/>
  <c r="G152" i="1"/>
  <c r="F152" i="1"/>
  <c r="E152" i="1"/>
  <c r="J166" i="1"/>
  <c r="O80" i="1"/>
  <c r="N80" i="1"/>
  <c r="M80" i="1"/>
  <c r="L80" i="1"/>
  <c r="K80" i="1"/>
  <c r="I80" i="1"/>
  <c r="H80" i="1"/>
  <c r="G80" i="1"/>
  <c r="F80" i="1"/>
  <c r="C60" i="3"/>
  <c r="N40" i="3"/>
  <c r="N34" i="3" s="1"/>
  <c r="M40" i="3"/>
  <c r="M34" i="3" s="1"/>
  <c r="L40" i="3"/>
  <c r="L34" i="3" s="1"/>
  <c r="K40" i="3"/>
  <c r="K34" i="3" s="1"/>
  <c r="J40" i="3"/>
  <c r="J34" i="3" s="1"/>
  <c r="H40" i="3"/>
  <c r="H34" i="3" s="1"/>
  <c r="G40" i="3"/>
  <c r="G34" i="3" s="1"/>
  <c r="F40" i="3"/>
  <c r="F34" i="3" s="1"/>
  <c r="E40" i="3"/>
  <c r="E34" i="3" s="1"/>
  <c r="D40" i="3"/>
  <c r="D34" i="3" s="1"/>
  <c r="C40" i="3"/>
  <c r="J88" i="1"/>
  <c r="P166" i="1" l="1"/>
  <c r="O98" i="3" s="1"/>
  <c r="O92" i="3" s="1"/>
  <c r="P88" i="1"/>
  <c r="O40" i="3" s="1"/>
  <c r="O34" i="3" s="1"/>
  <c r="J152" i="1"/>
  <c r="I98" i="3"/>
  <c r="I92" i="3" s="1"/>
  <c r="I40" i="3"/>
  <c r="I34" i="3" s="1"/>
  <c r="P152" i="1" l="1"/>
  <c r="E234" i="1"/>
  <c r="E170" i="1" l="1"/>
  <c r="J170" i="1"/>
  <c r="I101" i="3" l="1"/>
  <c r="D101" i="3"/>
  <c r="J138" i="1"/>
  <c r="P138" i="1" l="1"/>
  <c r="E268" i="3"/>
  <c r="F268" i="3"/>
  <c r="G268" i="3"/>
  <c r="H268" i="3"/>
  <c r="J268" i="3"/>
  <c r="K268" i="3"/>
  <c r="L268" i="3"/>
  <c r="M268" i="3"/>
  <c r="N268" i="3"/>
  <c r="J313" i="1"/>
  <c r="D268" i="3"/>
  <c r="I268" i="3" l="1"/>
  <c r="P313" i="1"/>
  <c r="O268" i="3" l="1"/>
  <c r="H190" i="1"/>
  <c r="I190" i="1"/>
  <c r="L190" i="1"/>
  <c r="M190" i="1"/>
  <c r="N190" i="1"/>
  <c r="F192" i="1"/>
  <c r="G192" i="1"/>
  <c r="H192" i="1"/>
  <c r="I192" i="1"/>
  <c r="K192" i="1"/>
  <c r="L192" i="1"/>
  <c r="M192" i="1"/>
  <c r="N192" i="1"/>
  <c r="O192" i="1"/>
  <c r="F193" i="1"/>
  <c r="G193" i="1"/>
  <c r="H193" i="1"/>
  <c r="I193" i="1"/>
  <c r="F194" i="1"/>
  <c r="F416" i="1" s="1"/>
  <c r="G194" i="1"/>
  <c r="G416" i="1" s="1"/>
  <c r="H194" i="1"/>
  <c r="H416" i="1" s="1"/>
  <c r="I194" i="1"/>
  <c r="I416" i="1" s="1"/>
  <c r="K194" i="1"/>
  <c r="K416" i="1" s="1"/>
  <c r="L194" i="1"/>
  <c r="L416" i="1" s="1"/>
  <c r="M194" i="1"/>
  <c r="M416" i="1" s="1"/>
  <c r="N194" i="1"/>
  <c r="N416" i="1" s="1"/>
  <c r="O194" i="1"/>
  <c r="O416" i="1" s="1"/>
  <c r="C233" i="1"/>
  <c r="D233" i="1"/>
  <c r="B233" i="1"/>
  <c r="C314" i="1"/>
  <c r="D314" i="1"/>
  <c r="B314" i="1"/>
  <c r="C319" i="1"/>
  <c r="D319" i="1"/>
  <c r="B319" i="1"/>
  <c r="E270" i="3"/>
  <c r="F270" i="3"/>
  <c r="G270" i="3"/>
  <c r="H270" i="3"/>
  <c r="J270" i="3"/>
  <c r="K270" i="3"/>
  <c r="L270" i="3"/>
  <c r="M270" i="3"/>
  <c r="N270" i="3"/>
  <c r="E269" i="3"/>
  <c r="F269" i="3"/>
  <c r="G269" i="3"/>
  <c r="H269" i="3"/>
  <c r="J269" i="3"/>
  <c r="K269" i="3"/>
  <c r="L269" i="3"/>
  <c r="M269" i="3"/>
  <c r="N269" i="3"/>
  <c r="F284" i="3"/>
  <c r="G284" i="3"/>
  <c r="H284" i="3"/>
  <c r="J284" i="3"/>
  <c r="K284" i="3"/>
  <c r="L284" i="3"/>
  <c r="M284" i="3"/>
  <c r="N284" i="3"/>
  <c r="J319" i="1"/>
  <c r="E319" i="1"/>
  <c r="J314" i="1"/>
  <c r="J233" i="1"/>
  <c r="I270" i="3" s="1"/>
  <c r="E233" i="1"/>
  <c r="E284" i="3"/>
  <c r="I269" i="3" l="1"/>
  <c r="F113" i="3"/>
  <c r="E113" i="3"/>
  <c r="H113" i="3"/>
  <c r="G113" i="3"/>
  <c r="P233" i="1"/>
  <c r="O270" i="3" s="1"/>
  <c r="P314" i="1"/>
  <c r="P319" i="1"/>
  <c r="D269" i="3"/>
  <c r="D270" i="3"/>
  <c r="O269" i="3" l="1"/>
  <c r="G74" i="1" l="1"/>
  <c r="H74" i="1"/>
  <c r="I74" i="1"/>
  <c r="K74" i="1"/>
  <c r="L74" i="1"/>
  <c r="M74" i="1"/>
  <c r="N74" i="1"/>
  <c r="O74" i="1"/>
  <c r="C272" i="1" l="1"/>
  <c r="B272" i="1"/>
  <c r="E172" i="3"/>
  <c r="F172" i="3"/>
  <c r="G172" i="3"/>
  <c r="H172" i="3"/>
  <c r="J172" i="3"/>
  <c r="K172" i="3"/>
  <c r="L172" i="3"/>
  <c r="M172" i="3"/>
  <c r="N172" i="3"/>
  <c r="I172" i="3"/>
  <c r="E272" i="1"/>
  <c r="P272" i="1" l="1"/>
  <c r="O172" i="3" s="1"/>
  <c r="D172" i="3"/>
  <c r="C61" i="1" l="1"/>
  <c r="D61" i="1"/>
  <c r="B61" i="1"/>
  <c r="J61" i="1"/>
  <c r="E61" i="1"/>
  <c r="F271" i="3"/>
  <c r="G271" i="3"/>
  <c r="H271" i="3"/>
  <c r="J271" i="3"/>
  <c r="K271" i="3"/>
  <c r="L271" i="3"/>
  <c r="M271" i="3"/>
  <c r="N271" i="3"/>
  <c r="J315" i="1"/>
  <c r="I258" i="3" l="1"/>
  <c r="D258" i="3"/>
  <c r="E271" i="3"/>
  <c r="P61" i="1"/>
  <c r="O258" i="3" s="1"/>
  <c r="P315" i="1"/>
  <c r="E65" i="1" l="1"/>
  <c r="E189" i="1"/>
  <c r="J234" i="1"/>
  <c r="P234" i="1" s="1"/>
  <c r="J189" i="1"/>
  <c r="J65" i="1"/>
  <c r="D271" i="3" l="1"/>
  <c r="P189" i="1"/>
  <c r="I271" i="3"/>
  <c r="P65" i="1"/>
  <c r="P170" i="1"/>
  <c r="O101" i="3" l="1"/>
  <c r="O271" i="3"/>
  <c r="N93" i="3" l="1"/>
  <c r="M93" i="3"/>
  <c r="L93" i="3"/>
  <c r="K93" i="3"/>
  <c r="J93" i="3"/>
  <c r="H93" i="3"/>
  <c r="G93" i="3"/>
  <c r="F93" i="3"/>
  <c r="I327" i="1"/>
  <c r="J176" i="3" l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90" i="1" l="1"/>
  <c r="N282" i="3" l="1"/>
  <c r="M282" i="3"/>
  <c r="L282" i="3"/>
  <c r="K282" i="3"/>
  <c r="J282" i="3"/>
  <c r="H282" i="3"/>
  <c r="G282" i="3"/>
  <c r="F282" i="3"/>
  <c r="E282" i="3"/>
  <c r="J317" i="1"/>
  <c r="D282" i="3"/>
  <c r="I282" i="3" l="1"/>
  <c r="P317" i="1"/>
  <c r="O282" i="3" l="1"/>
  <c r="M36" i="3"/>
  <c r="L36" i="3"/>
  <c r="K36" i="3"/>
  <c r="H36" i="3"/>
  <c r="E36" i="3"/>
  <c r="E38" i="3" l="1"/>
  <c r="N36" i="3"/>
  <c r="J36" i="3"/>
  <c r="J333" i="1"/>
  <c r="E333" i="1"/>
  <c r="E93" i="3" l="1"/>
  <c r="P333" i="1"/>
  <c r="F38" i="3" l="1"/>
  <c r="F36" i="3" l="1"/>
  <c r="G38" i="3" l="1"/>
  <c r="F46" i="3" l="1"/>
  <c r="E46" i="3"/>
  <c r="F190" i="1" l="1"/>
  <c r="G36" i="3" l="1"/>
  <c r="E63" i="3" l="1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F70" i="1"/>
  <c r="G70" i="1"/>
  <c r="H70" i="1"/>
  <c r="I70" i="1"/>
  <c r="K70" i="1"/>
  <c r="L70" i="1"/>
  <c r="M70" i="1"/>
  <c r="N70" i="1"/>
  <c r="O70" i="1"/>
  <c r="J105" i="1"/>
  <c r="J106" i="1"/>
  <c r="D63" i="3"/>
  <c r="D64" i="3"/>
  <c r="D65" i="3"/>
  <c r="D105" i="1"/>
  <c r="D104" i="1"/>
  <c r="D96" i="1"/>
  <c r="I65" i="3" l="1"/>
  <c r="I64" i="3"/>
  <c r="I63" i="3"/>
  <c r="P104" i="1"/>
  <c r="P106" i="1"/>
  <c r="P105" i="1"/>
  <c r="O64" i="3" l="1"/>
  <c r="O63" i="3"/>
  <c r="O65" i="3"/>
  <c r="D198" i="1" l="1"/>
  <c r="D210" i="1"/>
  <c r="D215" i="1"/>
  <c r="D219" i="1"/>
  <c r="D231" i="1"/>
  <c r="D248" i="1"/>
  <c r="D253" i="1"/>
  <c r="D267" i="1"/>
  <c r="D279" i="1"/>
  <c r="D283" i="1"/>
  <c r="D341" i="1"/>
  <c r="D343" i="1"/>
  <c r="D344" i="1"/>
  <c r="D345" i="1"/>
  <c r="D346" i="1"/>
  <c r="D347" i="1"/>
  <c r="D353" i="1"/>
  <c r="D361" i="1"/>
  <c r="D363" i="1"/>
  <c r="D401" i="1"/>
  <c r="D374" i="1"/>
  <c r="D367" i="1"/>
  <c r="D359" i="1"/>
  <c r="D332" i="1"/>
  <c r="D322" i="1"/>
  <c r="D247" i="1"/>
  <c r="D239" i="1"/>
  <c r="D197" i="1"/>
  <c r="D180" i="1"/>
  <c r="D171" i="1"/>
  <c r="D168" i="1"/>
  <c r="D161" i="1"/>
  <c r="D148" i="1"/>
  <c r="D145" i="1"/>
  <c r="D132" i="1"/>
  <c r="D130" i="1"/>
  <c r="D124" i="1"/>
  <c r="D116" i="1"/>
  <c r="D113" i="1"/>
  <c r="D112" i="1"/>
  <c r="D110" i="1"/>
  <c r="D109" i="1"/>
  <c r="D108" i="1"/>
  <c r="D107" i="1"/>
  <c r="D103" i="1"/>
  <c r="D94" i="1"/>
  <c r="D90" i="1"/>
  <c r="D89" i="1"/>
  <c r="D86" i="1"/>
  <c r="D85" i="1"/>
  <c r="D50" i="1"/>
  <c r="D49" i="1"/>
  <c r="D47" i="1"/>
  <c r="D44" i="1"/>
  <c r="D43" i="1"/>
  <c r="D42" i="1"/>
  <c r="D40" i="1"/>
  <c r="D39" i="1"/>
  <c r="D38" i="1"/>
  <c r="D37" i="1"/>
  <c r="D36" i="1"/>
  <c r="D35" i="1"/>
  <c r="D34" i="1"/>
  <c r="D33" i="1"/>
  <c r="D31" i="1"/>
  <c r="D30" i="1"/>
  <c r="D29" i="1"/>
  <c r="D27" i="1"/>
  <c r="D20" i="1"/>
  <c r="E152" i="3" l="1"/>
  <c r="F152" i="3"/>
  <c r="G152" i="3"/>
  <c r="H152" i="3"/>
  <c r="J152" i="3"/>
  <c r="K152" i="3"/>
  <c r="L152" i="3"/>
  <c r="M152" i="3"/>
  <c r="N152" i="3"/>
  <c r="J242" i="1"/>
  <c r="E242" i="1"/>
  <c r="E29" i="1"/>
  <c r="P242" i="1" l="1"/>
  <c r="F358" i="1"/>
  <c r="G358" i="1"/>
  <c r="H358" i="1"/>
  <c r="I358" i="1"/>
  <c r="L358" i="1"/>
  <c r="M358" i="1"/>
  <c r="N358" i="1"/>
  <c r="J361" i="1"/>
  <c r="E361" i="1"/>
  <c r="P361" i="1" l="1"/>
  <c r="J232" i="1"/>
  <c r="E232" i="1"/>
  <c r="J210" i="1"/>
  <c r="E210" i="1"/>
  <c r="P232" i="1" l="1"/>
  <c r="P210" i="1"/>
  <c r="E262" i="3"/>
  <c r="E259" i="3" s="1"/>
  <c r="F262" i="3"/>
  <c r="F259" i="3" s="1"/>
  <c r="G262" i="3"/>
  <c r="G259" i="3" s="1"/>
  <c r="H262" i="3"/>
  <c r="H259" i="3" s="1"/>
  <c r="J262" i="3"/>
  <c r="J259" i="3" s="1"/>
  <c r="K262" i="3"/>
  <c r="K259" i="3" s="1"/>
  <c r="L262" i="3"/>
  <c r="L259" i="3" s="1"/>
  <c r="M262" i="3"/>
  <c r="M259" i="3" s="1"/>
  <c r="N262" i="3"/>
  <c r="N259" i="3" s="1"/>
  <c r="E132" i="3" l="1"/>
  <c r="F132" i="3"/>
  <c r="G132" i="3"/>
  <c r="H132" i="3"/>
  <c r="J132" i="3"/>
  <c r="K132" i="3"/>
  <c r="L132" i="3"/>
  <c r="M132" i="3"/>
  <c r="N132" i="3"/>
  <c r="D132" i="3"/>
  <c r="J29" i="1"/>
  <c r="E200" i="3"/>
  <c r="F200" i="3"/>
  <c r="G200" i="3"/>
  <c r="H200" i="3"/>
  <c r="J200" i="3"/>
  <c r="K200" i="3"/>
  <c r="L200" i="3"/>
  <c r="M200" i="3"/>
  <c r="N200" i="3"/>
  <c r="J42" i="1"/>
  <c r="J43" i="1"/>
  <c r="I132" i="3" l="1"/>
  <c r="P29" i="1"/>
  <c r="P42" i="1"/>
  <c r="O132" i="3" l="1"/>
  <c r="F156" i="1"/>
  <c r="F158" i="1"/>
  <c r="M209" i="3" l="1"/>
  <c r="M192" i="3" s="1"/>
  <c r="L209" i="3"/>
  <c r="L192" i="3" s="1"/>
  <c r="K209" i="3"/>
  <c r="K192" i="3" s="1"/>
  <c r="H209" i="3"/>
  <c r="H192" i="3" s="1"/>
  <c r="G209" i="3"/>
  <c r="G192" i="3" s="1"/>
  <c r="F209" i="3"/>
  <c r="F192" i="3" s="1"/>
  <c r="E209" i="3"/>
  <c r="E192" i="3" s="1"/>
  <c r="M208" i="3"/>
  <c r="L208" i="3"/>
  <c r="K208" i="3"/>
  <c r="H208" i="3"/>
  <c r="G208" i="3"/>
  <c r="F208" i="3"/>
  <c r="E208" i="3"/>
  <c r="O329" i="1"/>
  <c r="O414" i="1" s="1"/>
  <c r="N329" i="1"/>
  <c r="N414" i="1" s="1"/>
  <c r="M329" i="1"/>
  <c r="M414" i="1" s="1"/>
  <c r="L329" i="1"/>
  <c r="L414" i="1" s="1"/>
  <c r="K329" i="1"/>
  <c r="K414" i="1" s="1"/>
  <c r="I329" i="1"/>
  <c r="I414" i="1" s="1"/>
  <c r="H329" i="1"/>
  <c r="H414" i="1" s="1"/>
  <c r="G329" i="1"/>
  <c r="G414" i="1" s="1"/>
  <c r="F329" i="1"/>
  <c r="F414" i="1" s="1"/>
  <c r="E351" i="1"/>
  <c r="J351" i="1"/>
  <c r="N208" i="3"/>
  <c r="J208" i="3"/>
  <c r="N209" i="3"/>
  <c r="N192" i="3" s="1"/>
  <c r="E329" i="1" l="1"/>
  <c r="J209" i="3"/>
  <c r="J192" i="3" s="1"/>
  <c r="P351" i="1"/>
  <c r="P329" i="1" s="1"/>
  <c r="J329" i="1"/>
  <c r="J63" i="1" l="1"/>
  <c r="J64" i="1"/>
  <c r="E64" i="1"/>
  <c r="P64" i="1" l="1"/>
  <c r="E178" i="3" l="1"/>
  <c r="F178" i="3"/>
  <c r="G178" i="3"/>
  <c r="H178" i="3"/>
  <c r="J178" i="3"/>
  <c r="K178" i="3"/>
  <c r="L178" i="3"/>
  <c r="M178" i="3"/>
  <c r="N178" i="3"/>
  <c r="E179" i="3"/>
  <c r="F179" i="3"/>
  <c r="G179" i="3"/>
  <c r="H179" i="3"/>
  <c r="J179" i="3"/>
  <c r="K179" i="3"/>
  <c r="L179" i="3"/>
  <c r="M179" i="3"/>
  <c r="N179" i="3"/>
  <c r="F261" i="1"/>
  <c r="G261" i="1"/>
  <c r="H261" i="1"/>
  <c r="I261" i="1"/>
  <c r="K261" i="1"/>
  <c r="L261" i="1"/>
  <c r="M261" i="1"/>
  <c r="N261" i="1"/>
  <c r="O261" i="1"/>
  <c r="P261" i="1" l="1"/>
  <c r="E261" i="1"/>
  <c r="J261" i="1"/>
  <c r="K190" i="1" l="1"/>
  <c r="O190" i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7" i="1"/>
  <c r="J96" i="1"/>
  <c r="J90" i="1"/>
  <c r="I48" i="3" l="1"/>
  <c r="I54" i="3"/>
  <c r="I55" i="3"/>
  <c r="P90" i="1"/>
  <c r="P97" i="1"/>
  <c r="P96" i="1"/>
  <c r="D48" i="3"/>
  <c r="D54" i="3"/>
  <c r="D55" i="3"/>
  <c r="N221" i="3"/>
  <c r="M221" i="3"/>
  <c r="L221" i="3"/>
  <c r="K221" i="3"/>
  <c r="J221" i="3"/>
  <c r="H221" i="3"/>
  <c r="G221" i="3"/>
  <c r="F221" i="3"/>
  <c r="E221" i="3"/>
  <c r="N211" i="3"/>
  <c r="M211" i="3"/>
  <c r="L211" i="3"/>
  <c r="K211" i="3"/>
  <c r="J211" i="3"/>
  <c r="H211" i="3"/>
  <c r="G211" i="3"/>
  <c r="F211" i="3"/>
  <c r="E211" i="3"/>
  <c r="N210" i="3"/>
  <c r="M210" i="3"/>
  <c r="L210" i="3"/>
  <c r="K210" i="3"/>
  <c r="J210" i="3"/>
  <c r="H210" i="3"/>
  <c r="G210" i="3"/>
  <c r="F210" i="3"/>
  <c r="E210" i="3"/>
  <c r="O55" i="3" l="1"/>
  <c r="O54" i="3"/>
  <c r="O48" i="3"/>
  <c r="O158" i="1"/>
  <c r="N158" i="1"/>
  <c r="M158" i="1"/>
  <c r="L158" i="1"/>
  <c r="K158" i="1"/>
  <c r="I158" i="1"/>
  <c r="H158" i="1"/>
  <c r="G158" i="1"/>
  <c r="N96" i="3"/>
  <c r="M96" i="3"/>
  <c r="L96" i="3"/>
  <c r="K96" i="3"/>
  <c r="J96" i="3"/>
  <c r="H96" i="3"/>
  <c r="G96" i="3"/>
  <c r="F96" i="3"/>
  <c r="E96" i="3"/>
  <c r="N198" i="3"/>
  <c r="N193" i="3" s="1"/>
  <c r="M198" i="3"/>
  <c r="M193" i="3" s="1"/>
  <c r="L198" i="3"/>
  <c r="L193" i="3" s="1"/>
  <c r="K198" i="3"/>
  <c r="K193" i="3" s="1"/>
  <c r="J198" i="3"/>
  <c r="H198" i="3"/>
  <c r="H193" i="3" s="1"/>
  <c r="G198" i="3"/>
  <c r="G193" i="3" s="1"/>
  <c r="F198" i="3"/>
  <c r="F193" i="3" s="1"/>
  <c r="E198" i="3"/>
  <c r="E193" i="3" s="1"/>
  <c r="N76" i="3"/>
  <c r="N33" i="3" s="1"/>
  <c r="M76" i="3"/>
  <c r="M33" i="3" s="1"/>
  <c r="L76" i="3"/>
  <c r="L33" i="3" s="1"/>
  <c r="K76" i="3"/>
  <c r="K33" i="3" s="1"/>
  <c r="J76" i="3"/>
  <c r="J33" i="3" s="1"/>
  <c r="H76" i="3"/>
  <c r="H33" i="3" s="1"/>
  <c r="G76" i="3"/>
  <c r="G33" i="3" s="1"/>
  <c r="F76" i="3"/>
  <c r="F33" i="3" s="1"/>
  <c r="E76" i="3"/>
  <c r="E33" i="3" s="1"/>
  <c r="O262" i="1"/>
  <c r="N262" i="1"/>
  <c r="M262" i="1"/>
  <c r="L262" i="1"/>
  <c r="K262" i="1"/>
  <c r="I262" i="1"/>
  <c r="H262" i="1"/>
  <c r="G262" i="1"/>
  <c r="F262" i="1"/>
  <c r="O81" i="1"/>
  <c r="N81" i="1"/>
  <c r="M81" i="1"/>
  <c r="L81" i="1"/>
  <c r="K81" i="1"/>
  <c r="I81" i="1"/>
  <c r="H81" i="1"/>
  <c r="G81" i="1"/>
  <c r="F81" i="1"/>
  <c r="D198" i="3"/>
  <c r="J133" i="1"/>
  <c r="J117" i="1"/>
  <c r="D76" i="3"/>
  <c r="D33" i="3" s="1"/>
  <c r="J193" i="3" l="1"/>
  <c r="J184" i="3" s="1"/>
  <c r="I221" i="3"/>
  <c r="D221" i="3"/>
  <c r="I198" i="3"/>
  <c r="I210" i="3"/>
  <c r="I211" i="3"/>
  <c r="I76" i="3"/>
  <c r="I33" i="3" s="1"/>
  <c r="D210" i="3"/>
  <c r="E262" i="1"/>
  <c r="D211" i="3"/>
  <c r="D193" i="3" s="1"/>
  <c r="D184" i="3" s="1"/>
  <c r="F184" i="3"/>
  <c r="H184" i="3"/>
  <c r="K184" i="3"/>
  <c r="M184" i="3"/>
  <c r="E184" i="3"/>
  <c r="G184" i="3"/>
  <c r="L184" i="3"/>
  <c r="N184" i="3"/>
  <c r="J262" i="1"/>
  <c r="O221" i="3"/>
  <c r="P133" i="1"/>
  <c r="P117" i="1"/>
  <c r="I193" i="3" l="1"/>
  <c r="I184" i="3"/>
  <c r="O211" i="3"/>
  <c r="O210" i="3"/>
  <c r="O76" i="3"/>
  <c r="O33" i="3" s="1"/>
  <c r="O198" i="3"/>
  <c r="O193" i="3" s="1"/>
  <c r="P262" i="1"/>
  <c r="O184" i="3" l="1"/>
  <c r="J148" i="1"/>
  <c r="E148" i="1"/>
  <c r="P148" i="1" l="1"/>
  <c r="N224" i="3" l="1"/>
  <c r="M224" i="3"/>
  <c r="L224" i="3"/>
  <c r="K224" i="3"/>
  <c r="J224" i="3"/>
  <c r="H224" i="3"/>
  <c r="G224" i="3"/>
  <c r="F224" i="3"/>
  <c r="E224" i="3"/>
  <c r="N281" i="3"/>
  <c r="M281" i="3"/>
  <c r="L281" i="3"/>
  <c r="K281" i="3"/>
  <c r="J281" i="3"/>
  <c r="H281" i="3"/>
  <c r="G281" i="3"/>
  <c r="F281" i="3"/>
  <c r="E281" i="3"/>
  <c r="M201" i="3"/>
  <c r="L201" i="3"/>
  <c r="K201" i="3"/>
  <c r="H201" i="3"/>
  <c r="G201" i="3"/>
  <c r="F201" i="3"/>
  <c r="E201" i="3"/>
  <c r="J316" i="1" l="1"/>
  <c r="D281" i="3"/>
  <c r="N75" i="3"/>
  <c r="M75" i="3"/>
  <c r="L75" i="3"/>
  <c r="K75" i="3"/>
  <c r="J75" i="3"/>
  <c r="H75" i="3"/>
  <c r="G75" i="3"/>
  <c r="F75" i="3"/>
  <c r="E75" i="3"/>
  <c r="N72" i="3"/>
  <c r="M72" i="3"/>
  <c r="L72" i="3"/>
  <c r="K72" i="3"/>
  <c r="J72" i="3"/>
  <c r="H72" i="3"/>
  <c r="G72" i="3"/>
  <c r="F72" i="3"/>
  <c r="E72" i="3"/>
  <c r="J116" i="1"/>
  <c r="D75" i="3"/>
  <c r="J113" i="1"/>
  <c r="D72" i="3"/>
  <c r="J47" i="1"/>
  <c r="E47" i="1"/>
  <c r="O79" i="1"/>
  <c r="N79" i="1"/>
  <c r="M79" i="1"/>
  <c r="L79" i="1"/>
  <c r="K79" i="1"/>
  <c r="I79" i="1"/>
  <c r="H79" i="1"/>
  <c r="G79" i="1"/>
  <c r="F79" i="1"/>
  <c r="O78" i="1"/>
  <c r="N78" i="1"/>
  <c r="M78" i="1"/>
  <c r="L78" i="1"/>
  <c r="K78" i="1"/>
  <c r="I78" i="1"/>
  <c r="H78" i="1"/>
  <c r="G78" i="1"/>
  <c r="F78" i="1"/>
  <c r="N164" i="3"/>
  <c r="N160" i="3" s="1"/>
  <c r="M164" i="3"/>
  <c r="M160" i="3" s="1"/>
  <c r="L164" i="3"/>
  <c r="L160" i="3" s="1"/>
  <c r="K164" i="3"/>
  <c r="K160" i="3" s="1"/>
  <c r="J164" i="3"/>
  <c r="J160" i="3" s="1"/>
  <c r="H164" i="3"/>
  <c r="H160" i="3" s="1"/>
  <c r="G164" i="3"/>
  <c r="G160" i="3" s="1"/>
  <c r="F164" i="3"/>
  <c r="F160" i="3" s="1"/>
  <c r="E164" i="3"/>
  <c r="E160" i="3" s="1"/>
  <c r="N148" i="3"/>
  <c r="M148" i="3"/>
  <c r="L148" i="3"/>
  <c r="K148" i="3"/>
  <c r="J148" i="3"/>
  <c r="H148" i="3"/>
  <c r="H116" i="3" s="1"/>
  <c r="G148" i="3"/>
  <c r="G116" i="3" s="1"/>
  <c r="F148" i="3"/>
  <c r="F116" i="3" s="1"/>
  <c r="E148" i="3"/>
  <c r="E116" i="3" s="1"/>
  <c r="N147" i="3"/>
  <c r="M147" i="3"/>
  <c r="L147" i="3"/>
  <c r="K147" i="3"/>
  <c r="J147" i="3"/>
  <c r="H147" i="3"/>
  <c r="G147" i="3"/>
  <c r="F147" i="3"/>
  <c r="E147" i="3"/>
  <c r="J345" i="1"/>
  <c r="E345" i="1"/>
  <c r="N201" i="3"/>
  <c r="J201" i="3"/>
  <c r="I72" i="3" l="1"/>
  <c r="D224" i="3"/>
  <c r="I224" i="3"/>
  <c r="I281" i="3"/>
  <c r="P116" i="1"/>
  <c r="P316" i="1"/>
  <c r="P345" i="1"/>
  <c r="P47" i="1"/>
  <c r="I75" i="3"/>
  <c r="P113" i="1"/>
  <c r="J225" i="1"/>
  <c r="E225" i="1"/>
  <c r="J224" i="1"/>
  <c r="E224" i="1"/>
  <c r="J131" i="1"/>
  <c r="E81" i="1"/>
  <c r="N78" i="3"/>
  <c r="N32" i="3" s="1"/>
  <c r="M78" i="3"/>
  <c r="M32" i="3" s="1"/>
  <c r="L78" i="3"/>
  <c r="L32" i="3" s="1"/>
  <c r="K78" i="3"/>
  <c r="K32" i="3" s="1"/>
  <c r="J78" i="3"/>
  <c r="J32" i="3" s="1"/>
  <c r="H78" i="3"/>
  <c r="H32" i="3" s="1"/>
  <c r="G78" i="3"/>
  <c r="G32" i="3" s="1"/>
  <c r="F78" i="3"/>
  <c r="F32" i="3" s="1"/>
  <c r="E78" i="3"/>
  <c r="E32" i="3" s="1"/>
  <c r="N77" i="3"/>
  <c r="M77" i="3"/>
  <c r="L77" i="3"/>
  <c r="K77" i="3"/>
  <c r="J77" i="3"/>
  <c r="H77" i="3"/>
  <c r="G77" i="3"/>
  <c r="F77" i="3"/>
  <c r="E77" i="3"/>
  <c r="N74" i="3"/>
  <c r="N31" i="3" s="1"/>
  <c r="M74" i="3"/>
  <c r="M31" i="3" s="1"/>
  <c r="L74" i="3"/>
  <c r="L31" i="3" s="1"/>
  <c r="K74" i="3"/>
  <c r="K31" i="3" s="1"/>
  <c r="J74" i="3"/>
  <c r="J31" i="3" s="1"/>
  <c r="H74" i="3"/>
  <c r="H31" i="3" s="1"/>
  <c r="G74" i="3"/>
  <c r="G31" i="3" s="1"/>
  <c r="F74" i="3"/>
  <c r="F31" i="3" s="1"/>
  <c r="E74" i="3"/>
  <c r="E31" i="3" s="1"/>
  <c r="N73" i="3"/>
  <c r="M73" i="3"/>
  <c r="L73" i="3"/>
  <c r="K73" i="3"/>
  <c r="J73" i="3"/>
  <c r="H73" i="3"/>
  <c r="G73" i="3"/>
  <c r="F73" i="3"/>
  <c r="E73" i="3"/>
  <c r="D77" i="3"/>
  <c r="D73" i="3"/>
  <c r="J119" i="1"/>
  <c r="J118" i="1"/>
  <c r="J115" i="1"/>
  <c r="J114" i="1"/>
  <c r="O224" i="3" l="1"/>
  <c r="J81" i="1"/>
  <c r="J193" i="1"/>
  <c r="O281" i="3"/>
  <c r="I147" i="3"/>
  <c r="O72" i="3"/>
  <c r="O75" i="3"/>
  <c r="P118" i="1"/>
  <c r="P114" i="1"/>
  <c r="D148" i="3"/>
  <c r="D116" i="3" s="1"/>
  <c r="I148" i="3"/>
  <c r="I164" i="3"/>
  <c r="I160" i="3" s="1"/>
  <c r="P115" i="1"/>
  <c r="J79" i="1"/>
  <c r="P119" i="1"/>
  <c r="J78" i="1"/>
  <c r="D74" i="3"/>
  <c r="D31" i="3" s="1"/>
  <c r="E79" i="1"/>
  <c r="D78" i="3"/>
  <c r="D32" i="3" s="1"/>
  <c r="E78" i="1"/>
  <c r="P131" i="1"/>
  <c r="D164" i="3"/>
  <c r="D160" i="3" s="1"/>
  <c r="P224" i="1"/>
  <c r="D147" i="3"/>
  <c r="P225" i="1"/>
  <c r="I73" i="3"/>
  <c r="I77" i="3"/>
  <c r="I74" i="3"/>
  <c r="I31" i="3" s="1"/>
  <c r="I78" i="3"/>
  <c r="I32" i="3" s="1"/>
  <c r="I113" i="3" l="1"/>
  <c r="O147" i="3"/>
  <c r="P193" i="1"/>
  <c r="P81" i="1"/>
  <c r="O73" i="3"/>
  <c r="O77" i="3"/>
  <c r="O148" i="3"/>
  <c r="O164" i="3"/>
  <c r="O160" i="3" s="1"/>
  <c r="O78" i="3"/>
  <c r="O32" i="3" s="1"/>
  <c r="P78" i="1"/>
  <c r="O74" i="3"/>
  <c r="O31" i="3" s="1"/>
  <c r="P79" i="1"/>
  <c r="E275" i="3"/>
  <c r="E274" i="3" s="1"/>
  <c r="F275" i="3"/>
  <c r="F274" i="3" s="1"/>
  <c r="G275" i="3"/>
  <c r="G274" i="3" s="1"/>
  <c r="H275" i="3"/>
  <c r="H274" i="3" s="1"/>
  <c r="J275" i="3"/>
  <c r="J274" i="3" s="1"/>
  <c r="K275" i="3"/>
  <c r="K274" i="3" s="1"/>
  <c r="L275" i="3"/>
  <c r="L274" i="3" s="1"/>
  <c r="M275" i="3"/>
  <c r="M274" i="3" s="1"/>
  <c r="N275" i="3"/>
  <c r="N274" i="3" s="1"/>
  <c r="E278" i="3"/>
  <c r="E276" i="3" s="1"/>
  <c r="F278" i="3"/>
  <c r="F276" i="3" s="1"/>
  <c r="G278" i="3"/>
  <c r="G276" i="3" s="1"/>
  <c r="H278" i="3"/>
  <c r="H276" i="3" s="1"/>
  <c r="J278" i="3"/>
  <c r="J276" i="3" s="1"/>
  <c r="K278" i="3"/>
  <c r="K276" i="3" s="1"/>
  <c r="L278" i="3"/>
  <c r="L276" i="3" s="1"/>
  <c r="M278" i="3"/>
  <c r="M276" i="3" s="1"/>
  <c r="N278" i="3"/>
  <c r="N276" i="3" s="1"/>
  <c r="E279" i="3"/>
  <c r="E277" i="3" s="1"/>
  <c r="E273" i="3" s="1"/>
  <c r="F279" i="3"/>
  <c r="F277" i="3" s="1"/>
  <c r="F273" i="3" s="1"/>
  <c r="G279" i="3"/>
  <c r="G277" i="3" s="1"/>
  <c r="G273" i="3" s="1"/>
  <c r="H279" i="3"/>
  <c r="H277" i="3" s="1"/>
  <c r="H273" i="3" s="1"/>
  <c r="J279" i="3"/>
  <c r="J277" i="3" s="1"/>
  <c r="J273" i="3" s="1"/>
  <c r="K279" i="3"/>
  <c r="K277" i="3" s="1"/>
  <c r="K273" i="3" s="1"/>
  <c r="L279" i="3"/>
  <c r="L277" i="3" s="1"/>
  <c r="L273" i="3" s="1"/>
  <c r="M279" i="3"/>
  <c r="M277" i="3" s="1"/>
  <c r="M273" i="3" s="1"/>
  <c r="N279" i="3"/>
  <c r="N277" i="3" s="1"/>
  <c r="N273" i="3" s="1"/>
  <c r="O113" i="3" l="1"/>
  <c r="L280" i="3"/>
  <c r="L272" i="3" s="1"/>
  <c r="G280" i="3"/>
  <c r="G272" i="3" s="1"/>
  <c r="M280" i="3"/>
  <c r="M272" i="3" s="1"/>
  <c r="K280" i="3"/>
  <c r="K272" i="3" s="1"/>
  <c r="H280" i="3"/>
  <c r="H272" i="3" s="1"/>
  <c r="F280" i="3"/>
  <c r="F272" i="3" s="1"/>
  <c r="O260" i="1" l="1"/>
  <c r="N260" i="1"/>
  <c r="M260" i="1"/>
  <c r="L260" i="1"/>
  <c r="K260" i="1"/>
  <c r="I260" i="1"/>
  <c r="H260" i="1"/>
  <c r="G260" i="1"/>
  <c r="F260" i="1"/>
  <c r="O362" i="1"/>
  <c r="K362" i="1"/>
  <c r="K358" i="1" s="1"/>
  <c r="J363" i="1"/>
  <c r="O157" i="1"/>
  <c r="N157" i="1"/>
  <c r="M157" i="1"/>
  <c r="L157" i="1"/>
  <c r="K157" i="1"/>
  <c r="I157" i="1"/>
  <c r="H157" i="1"/>
  <c r="G157" i="1"/>
  <c r="F157" i="1"/>
  <c r="J135" i="1"/>
  <c r="J134" i="1"/>
  <c r="J80" i="1" l="1"/>
  <c r="E80" i="1"/>
  <c r="O358" i="1"/>
  <c r="J362" i="1"/>
  <c r="P135" i="1"/>
  <c r="E363" i="1"/>
  <c r="P134" i="1"/>
  <c r="P80" i="1" l="1"/>
  <c r="P363" i="1"/>
  <c r="N280" i="3"/>
  <c r="N272" i="3" s="1"/>
  <c r="J280" i="3"/>
  <c r="J272" i="3" s="1"/>
  <c r="F77" i="1"/>
  <c r="N57" i="3" l="1"/>
  <c r="M57" i="3"/>
  <c r="L57" i="3"/>
  <c r="K57" i="3"/>
  <c r="J57" i="3"/>
  <c r="H57" i="3"/>
  <c r="G57" i="3"/>
  <c r="F57" i="3"/>
  <c r="E57" i="3"/>
  <c r="J99" i="1"/>
  <c r="D57" i="3"/>
  <c r="N19" i="3"/>
  <c r="M19" i="3"/>
  <c r="L19" i="3"/>
  <c r="K19" i="3"/>
  <c r="J19" i="3"/>
  <c r="H19" i="3"/>
  <c r="G19" i="3"/>
  <c r="F19" i="3"/>
  <c r="E19" i="3"/>
  <c r="J268" i="1"/>
  <c r="E268" i="1"/>
  <c r="O240" i="1"/>
  <c r="K240" i="1"/>
  <c r="O239" i="1"/>
  <c r="K239" i="1"/>
  <c r="K237" i="1" l="1"/>
  <c r="O237" i="1"/>
  <c r="J17" i="3"/>
  <c r="I57" i="3"/>
  <c r="N17" i="3"/>
  <c r="P268" i="1"/>
  <c r="P99" i="1"/>
  <c r="N229" i="3"/>
  <c r="M229" i="3"/>
  <c r="L229" i="3"/>
  <c r="K229" i="3"/>
  <c r="J229" i="3"/>
  <c r="H229" i="3"/>
  <c r="G229" i="3"/>
  <c r="F229" i="3"/>
  <c r="E229" i="3"/>
  <c r="N220" i="3"/>
  <c r="M220" i="3"/>
  <c r="L220" i="3"/>
  <c r="K220" i="3"/>
  <c r="J220" i="3"/>
  <c r="H220" i="3"/>
  <c r="G220" i="3"/>
  <c r="F220" i="3"/>
  <c r="E220" i="3"/>
  <c r="N59" i="3"/>
  <c r="M59" i="3"/>
  <c r="L59" i="3"/>
  <c r="K59" i="3"/>
  <c r="J59" i="3"/>
  <c r="H59" i="3"/>
  <c r="G59" i="3"/>
  <c r="F59" i="3"/>
  <c r="E59" i="3"/>
  <c r="N60" i="3"/>
  <c r="M60" i="3"/>
  <c r="L60" i="3"/>
  <c r="K60" i="3"/>
  <c r="J60" i="3"/>
  <c r="H60" i="3"/>
  <c r="G60" i="3"/>
  <c r="F60" i="3"/>
  <c r="E60" i="3"/>
  <c r="N77" i="1"/>
  <c r="M77" i="1"/>
  <c r="L77" i="1"/>
  <c r="I77" i="1"/>
  <c r="H77" i="1"/>
  <c r="G77" i="1"/>
  <c r="J147" i="1"/>
  <c r="J146" i="1"/>
  <c r="E147" i="1"/>
  <c r="E146" i="1"/>
  <c r="J102" i="1"/>
  <c r="J101" i="1"/>
  <c r="O77" i="1"/>
  <c r="K77" i="1"/>
  <c r="I59" i="3" l="1"/>
  <c r="I278" i="3"/>
  <c r="I276" i="3" s="1"/>
  <c r="I279" i="3"/>
  <c r="I277" i="3" s="1"/>
  <c r="I273" i="3" s="1"/>
  <c r="P101" i="1"/>
  <c r="P102" i="1"/>
  <c r="I60" i="3"/>
  <c r="P146" i="1"/>
  <c r="P147" i="1"/>
  <c r="D279" i="3"/>
  <c r="D277" i="3" s="1"/>
  <c r="D273" i="3" s="1"/>
  <c r="D60" i="3"/>
  <c r="O57" i="3"/>
  <c r="D59" i="3"/>
  <c r="D278" i="3"/>
  <c r="D276" i="3" s="1"/>
  <c r="O278" i="3" l="1"/>
  <c r="O276" i="3" s="1"/>
  <c r="O279" i="3"/>
  <c r="O277" i="3" s="1"/>
  <c r="O273" i="3" s="1"/>
  <c r="O59" i="3"/>
  <c r="O60" i="3"/>
  <c r="J198" i="1"/>
  <c r="E198" i="1" l="1"/>
  <c r="P198" i="1" l="1"/>
  <c r="N58" i="3"/>
  <c r="M58" i="3"/>
  <c r="L58" i="3"/>
  <c r="K58" i="3"/>
  <c r="J58" i="3"/>
  <c r="H58" i="3"/>
  <c r="G58" i="3"/>
  <c r="F58" i="3"/>
  <c r="E58" i="3"/>
  <c r="J100" i="1"/>
  <c r="J72" i="1" s="1"/>
  <c r="E77" i="1"/>
  <c r="E30" i="3" l="1"/>
  <c r="E24" i="3"/>
  <c r="F30" i="3"/>
  <c r="F24" i="3"/>
  <c r="G30" i="3"/>
  <c r="G24" i="3"/>
  <c r="H30" i="3"/>
  <c r="H24" i="3"/>
  <c r="J30" i="3"/>
  <c r="J24" i="3"/>
  <c r="K30" i="3"/>
  <c r="K24" i="3"/>
  <c r="L30" i="3"/>
  <c r="L24" i="3"/>
  <c r="M30" i="3"/>
  <c r="M24" i="3"/>
  <c r="N30" i="3"/>
  <c r="N24" i="3"/>
  <c r="J77" i="1"/>
  <c r="E280" i="3"/>
  <c r="E272" i="3" s="1"/>
  <c r="P100" i="1"/>
  <c r="P72" i="1" s="1"/>
  <c r="D58" i="3"/>
  <c r="I58" i="3"/>
  <c r="D30" i="3" l="1"/>
  <c r="D24" i="3"/>
  <c r="I30" i="3"/>
  <c r="I24" i="3"/>
  <c r="P77" i="1"/>
  <c r="O58" i="3"/>
  <c r="O30" i="3" l="1"/>
  <c r="O24" i="3"/>
  <c r="N197" i="3"/>
  <c r="M197" i="3"/>
  <c r="L197" i="3"/>
  <c r="K197" i="3"/>
  <c r="J197" i="3"/>
  <c r="H197" i="3"/>
  <c r="G197" i="3"/>
  <c r="F197" i="3"/>
  <c r="E197" i="3"/>
  <c r="K156" i="1" l="1"/>
  <c r="N56" i="3" l="1"/>
  <c r="M56" i="3"/>
  <c r="L56" i="3"/>
  <c r="K56" i="3"/>
  <c r="J56" i="3"/>
  <c r="H56" i="3"/>
  <c r="G56" i="3"/>
  <c r="F56" i="3"/>
  <c r="E56" i="3"/>
  <c r="J98" i="1"/>
  <c r="J356" i="1"/>
  <c r="E356" i="1"/>
  <c r="I56" i="3" l="1"/>
  <c r="D56" i="3"/>
  <c r="P356" i="1"/>
  <c r="P98" i="1"/>
  <c r="J149" i="1"/>
  <c r="O56" i="3" l="1"/>
  <c r="E149" i="1"/>
  <c r="E69" i="1" s="1"/>
  <c r="N82" i="3"/>
  <c r="N29" i="3" s="1"/>
  <c r="M82" i="3"/>
  <c r="M29" i="3" s="1"/>
  <c r="L82" i="3"/>
  <c r="L29" i="3" s="1"/>
  <c r="K82" i="3"/>
  <c r="K29" i="3" s="1"/>
  <c r="J82" i="3"/>
  <c r="J29" i="3" s="1"/>
  <c r="H82" i="3"/>
  <c r="H29" i="3" s="1"/>
  <c r="G82" i="3"/>
  <c r="G29" i="3" s="1"/>
  <c r="F82" i="3"/>
  <c r="F29" i="3" s="1"/>
  <c r="E82" i="3"/>
  <c r="E29" i="3" s="1"/>
  <c r="N81" i="3"/>
  <c r="M81" i="3"/>
  <c r="L81" i="3"/>
  <c r="K81" i="3"/>
  <c r="J81" i="3"/>
  <c r="H81" i="3"/>
  <c r="G81" i="3"/>
  <c r="F81" i="3"/>
  <c r="E81" i="3"/>
  <c r="O76" i="1"/>
  <c r="N76" i="1"/>
  <c r="M76" i="1"/>
  <c r="L76" i="1"/>
  <c r="K76" i="1"/>
  <c r="I76" i="1"/>
  <c r="H76" i="1"/>
  <c r="G76" i="1"/>
  <c r="F76" i="1"/>
  <c r="I82" i="3"/>
  <c r="I29" i="3" s="1"/>
  <c r="I81" i="3"/>
  <c r="D81" i="3" l="1"/>
  <c r="P122" i="1"/>
  <c r="D82" i="3"/>
  <c r="D29" i="3" s="1"/>
  <c r="P123" i="1"/>
  <c r="E76" i="1"/>
  <c r="P149" i="1"/>
  <c r="J76" i="1"/>
  <c r="O82" i="3" l="1"/>
  <c r="O29" i="3" s="1"/>
  <c r="O81" i="3"/>
  <c r="P76" i="1"/>
  <c r="N62" i="3"/>
  <c r="M62" i="3"/>
  <c r="L62" i="3"/>
  <c r="K62" i="3"/>
  <c r="J62" i="3"/>
  <c r="H62" i="3"/>
  <c r="G62" i="3"/>
  <c r="F62" i="3"/>
  <c r="E62" i="3"/>
  <c r="I62" i="3" l="1"/>
  <c r="D62" i="3"/>
  <c r="P248" i="1"/>
  <c r="O62" i="3" l="1"/>
  <c r="N163" i="3"/>
  <c r="M163" i="3"/>
  <c r="L163" i="3"/>
  <c r="K163" i="3"/>
  <c r="J163" i="3"/>
  <c r="H163" i="3"/>
  <c r="G163" i="3"/>
  <c r="F163" i="3"/>
  <c r="E163" i="3"/>
  <c r="N80" i="3"/>
  <c r="N27" i="3" s="1"/>
  <c r="M80" i="3"/>
  <c r="M27" i="3" s="1"/>
  <c r="L80" i="3"/>
  <c r="L27" i="3" s="1"/>
  <c r="K80" i="3"/>
  <c r="K27" i="3" s="1"/>
  <c r="J80" i="3"/>
  <c r="J27" i="3" s="1"/>
  <c r="H80" i="3"/>
  <c r="H27" i="3" s="1"/>
  <c r="G80" i="3"/>
  <c r="G27" i="3" s="1"/>
  <c r="F80" i="3"/>
  <c r="F27" i="3" s="1"/>
  <c r="E80" i="3"/>
  <c r="E27" i="3" s="1"/>
  <c r="N79" i="3"/>
  <c r="M79" i="3"/>
  <c r="L79" i="3"/>
  <c r="K79" i="3"/>
  <c r="J79" i="3"/>
  <c r="H79" i="3"/>
  <c r="G79" i="3"/>
  <c r="F79" i="3"/>
  <c r="E79" i="3"/>
  <c r="N71" i="3"/>
  <c r="M71" i="3"/>
  <c r="L71" i="3"/>
  <c r="K71" i="3"/>
  <c r="J71" i="3"/>
  <c r="H71" i="3"/>
  <c r="G71" i="3"/>
  <c r="F71" i="3"/>
  <c r="E71" i="3"/>
  <c r="B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M51" i="3"/>
  <c r="L51" i="3"/>
  <c r="L25" i="3" s="1"/>
  <c r="L287" i="3" s="1"/>
  <c r="K51" i="3"/>
  <c r="K25" i="3" s="1"/>
  <c r="K287" i="3" s="1"/>
  <c r="J51" i="3"/>
  <c r="J25" i="3" s="1"/>
  <c r="J287" i="3" s="1"/>
  <c r="H51" i="3"/>
  <c r="H25" i="3" s="1"/>
  <c r="H287" i="3" s="1"/>
  <c r="G51" i="3"/>
  <c r="F51" i="3"/>
  <c r="E51" i="3"/>
  <c r="N50" i="3"/>
  <c r="M50" i="3"/>
  <c r="L50" i="3"/>
  <c r="K50" i="3"/>
  <c r="J50" i="3"/>
  <c r="H50" i="3"/>
  <c r="G50" i="3"/>
  <c r="F50" i="3"/>
  <c r="E50" i="3"/>
  <c r="N49" i="3"/>
  <c r="M49" i="3"/>
  <c r="L49" i="3"/>
  <c r="K49" i="3"/>
  <c r="J49" i="3"/>
  <c r="H49" i="3"/>
  <c r="G49" i="3"/>
  <c r="F49" i="3"/>
  <c r="E49" i="3"/>
  <c r="N25" i="3" l="1"/>
  <c r="N287" i="3" s="1"/>
  <c r="E22" i="3"/>
  <c r="N22" i="3"/>
  <c r="J22" i="3"/>
  <c r="F22" i="3"/>
  <c r="K22" i="3"/>
  <c r="G22" i="3"/>
  <c r="L22" i="3"/>
  <c r="H22" i="3"/>
  <c r="M22" i="3"/>
  <c r="M25" i="3"/>
  <c r="M287" i="3" s="1"/>
  <c r="G25" i="3"/>
  <c r="G287" i="3" s="1"/>
  <c r="F25" i="3"/>
  <c r="F287" i="3" s="1"/>
  <c r="E25" i="3"/>
  <c r="E287" i="3" s="1"/>
  <c r="E23" i="3"/>
  <c r="E286" i="3" s="1"/>
  <c r="G23" i="3"/>
  <c r="G286" i="3" s="1"/>
  <c r="J23" i="3"/>
  <c r="J286" i="3" s="1"/>
  <c r="L23" i="3"/>
  <c r="L286" i="3" s="1"/>
  <c r="N23" i="3"/>
  <c r="N286" i="3" s="1"/>
  <c r="F23" i="3"/>
  <c r="F286" i="3" s="1"/>
  <c r="H23" i="3"/>
  <c r="H286" i="3" s="1"/>
  <c r="K23" i="3"/>
  <c r="K286" i="3" s="1"/>
  <c r="M23" i="3"/>
  <c r="M286" i="3" s="1"/>
  <c r="J145" i="1"/>
  <c r="J132" i="1"/>
  <c r="J130" i="1"/>
  <c r="P124" i="1"/>
  <c r="P130" i="1" l="1"/>
  <c r="P139" i="1"/>
  <c r="P132" i="1"/>
  <c r="P145" i="1"/>
  <c r="P129" i="1"/>
  <c r="O75" i="1"/>
  <c r="N75" i="1"/>
  <c r="M75" i="1"/>
  <c r="L75" i="1"/>
  <c r="K75" i="1"/>
  <c r="I75" i="1"/>
  <c r="H75" i="1"/>
  <c r="G75" i="1"/>
  <c r="F75" i="1"/>
  <c r="O73" i="1"/>
  <c r="N73" i="1"/>
  <c r="M73" i="1"/>
  <c r="L73" i="1"/>
  <c r="K73" i="1"/>
  <c r="I73" i="1"/>
  <c r="H73" i="1"/>
  <c r="G73" i="1"/>
  <c r="F73" i="1"/>
  <c r="J111" i="1"/>
  <c r="J95" i="1"/>
  <c r="D53" i="3"/>
  <c r="F415" i="1" l="1"/>
  <c r="F460" i="1" s="1"/>
  <c r="G415" i="1"/>
  <c r="G460" i="1" s="1"/>
  <c r="I415" i="1"/>
  <c r="I460" i="1" s="1"/>
  <c r="K415" i="1"/>
  <c r="K460" i="1" s="1"/>
  <c r="M415" i="1"/>
  <c r="M460" i="1" s="1"/>
  <c r="N415" i="1"/>
  <c r="N460" i="1" s="1"/>
  <c r="O415" i="1"/>
  <c r="O460" i="1" s="1"/>
  <c r="H415" i="1"/>
  <c r="H460" i="1" s="1"/>
  <c r="L415" i="1"/>
  <c r="L460" i="1" s="1"/>
  <c r="I53" i="3"/>
  <c r="I70" i="3"/>
  <c r="D70" i="3"/>
  <c r="P111" i="1"/>
  <c r="P95" i="1"/>
  <c r="O53" i="3" l="1"/>
  <c r="O70" i="3"/>
  <c r="D250" i="1"/>
  <c r="N243" i="3" l="1"/>
  <c r="M243" i="3"/>
  <c r="L243" i="3"/>
  <c r="K243" i="3"/>
  <c r="J243" i="3"/>
  <c r="H243" i="3"/>
  <c r="G243" i="3"/>
  <c r="F243" i="3"/>
  <c r="E243" i="3"/>
  <c r="N202" i="3"/>
  <c r="N205" i="3"/>
  <c r="M205" i="3"/>
  <c r="L205" i="3"/>
  <c r="K205" i="3"/>
  <c r="J205" i="3"/>
  <c r="H205" i="3"/>
  <c r="G205" i="3"/>
  <c r="F205" i="3"/>
  <c r="E205" i="3"/>
  <c r="N241" i="3"/>
  <c r="M241" i="3"/>
  <c r="L241" i="3"/>
  <c r="K241" i="3"/>
  <c r="J241" i="3"/>
  <c r="H241" i="3"/>
  <c r="G241" i="3"/>
  <c r="F241" i="3"/>
  <c r="E241" i="3"/>
  <c r="O263" i="1"/>
  <c r="N263" i="1"/>
  <c r="M263" i="1"/>
  <c r="L263" i="1"/>
  <c r="K263" i="1"/>
  <c r="I263" i="1"/>
  <c r="H263" i="1"/>
  <c r="G263" i="1"/>
  <c r="F263" i="1"/>
  <c r="E362" i="1"/>
  <c r="E306" i="1"/>
  <c r="J306" i="1"/>
  <c r="E253" i="1"/>
  <c r="J253" i="1"/>
  <c r="D241" i="3" l="1"/>
  <c r="I201" i="3"/>
  <c r="D201" i="3"/>
  <c r="I241" i="3"/>
  <c r="D205" i="3"/>
  <c r="I205" i="3"/>
  <c r="P253" i="1"/>
  <c r="P306" i="1"/>
  <c r="E263" i="1"/>
  <c r="P362" i="1"/>
  <c r="J263" i="1"/>
  <c r="E18" i="3"/>
  <c r="F18" i="3"/>
  <c r="G18" i="3"/>
  <c r="H18" i="3"/>
  <c r="J18" i="3"/>
  <c r="K18" i="3"/>
  <c r="L18" i="3"/>
  <c r="M18" i="3"/>
  <c r="N18" i="3"/>
  <c r="O201" i="3" l="1"/>
  <c r="O205" i="3"/>
  <c r="O241" i="3"/>
  <c r="P263" i="1"/>
  <c r="N227" i="3"/>
  <c r="M227" i="3"/>
  <c r="L227" i="3"/>
  <c r="K227" i="3"/>
  <c r="J227" i="3"/>
  <c r="H227" i="3"/>
  <c r="G227" i="3"/>
  <c r="F227" i="3"/>
  <c r="E227" i="3"/>
  <c r="J49" i="1" l="1"/>
  <c r="E49" i="1"/>
  <c r="J21" i="1"/>
  <c r="E21" i="1"/>
  <c r="I18" i="3" l="1"/>
  <c r="I227" i="3"/>
  <c r="D227" i="3"/>
  <c r="P49" i="1"/>
  <c r="P21" i="1"/>
  <c r="D18" i="3"/>
  <c r="O18" i="3" l="1"/>
  <c r="O227" i="3"/>
  <c r="F238" i="1"/>
  <c r="G238" i="1"/>
  <c r="H238" i="1"/>
  <c r="I238" i="1"/>
  <c r="K238" i="1"/>
  <c r="L238" i="1"/>
  <c r="M238" i="1"/>
  <c r="N238" i="1"/>
  <c r="O238" i="1"/>
  <c r="E97" i="3" l="1"/>
  <c r="F97" i="3"/>
  <c r="G97" i="3"/>
  <c r="H97" i="3"/>
  <c r="J97" i="3"/>
  <c r="K97" i="3"/>
  <c r="L97" i="3"/>
  <c r="M97" i="3"/>
  <c r="N97" i="3"/>
  <c r="E167" i="1" l="1"/>
  <c r="J167" i="1"/>
  <c r="D167" i="1"/>
  <c r="I97" i="3" l="1"/>
  <c r="P167" i="1"/>
  <c r="D97" i="3"/>
  <c r="E226" i="3"/>
  <c r="F226" i="3"/>
  <c r="G226" i="3"/>
  <c r="H226" i="3"/>
  <c r="J226" i="3"/>
  <c r="K226" i="3"/>
  <c r="L226" i="3"/>
  <c r="M226" i="3"/>
  <c r="N226" i="3"/>
  <c r="F259" i="1"/>
  <c r="G259" i="1"/>
  <c r="H259" i="1"/>
  <c r="I259" i="1"/>
  <c r="K259" i="1"/>
  <c r="L259" i="1"/>
  <c r="M259" i="1"/>
  <c r="N259" i="1"/>
  <c r="O259" i="1"/>
  <c r="O97" i="3" l="1"/>
  <c r="D226" i="3"/>
  <c r="D220" i="3"/>
  <c r="J259" i="1"/>
  <c r="I220" i="3"/>
  <c r="E259" i="1"/>
  <c r="I226" i="3"/>
  <c r="E244" i="1"/>
  <c r="J244" i="1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49" i="3"/>
  <c r="F149" i="3"/>
  <c r="G149" i="3"/>
  <c r="H149" i="3"/>
  <c r="J149" i="3"/>
  <c r="K149" i="3"/>
  <c r="L149" i="3"/>
  <c r="M149" i="3"/>
  <c r="N149" i="3"/>
  <c r="E150" i="3"/>
  <c r="F150" i="3"/>
  <c r="G150" i="3"/>
  <c r="H150" i="3"/>
  <c r="J150" i="3"/>
  <c r="J116" i="3" s="1"/>
  <c r="K150" i="3"/>
  <c r="K116" i="3" s="1"/>
  <c r="L150" i="3"/>
  <c r="L116" i="3" s="1"/>
  <c r="M150" i="3"/>
  <c r="M116" i="3" s="1"/>
  <c r="N150" i="3"/>
  <c r="N116" i="3" s="1"/>
  <c r="E223" i="1"/>
  <c r="E222" i="1"/>
  <c r="J223" i="1"/>
  <c r="J222" i="1"/>
  <c r="E169" i="3"/>
  <c r="F169" i="3"/>
  <c r="G169" i="3"/>
  <c r="H169" i="3"/>
  <c r="J169" i="3"/>
  <c r="K169" i="3"/>
  <c r="L169" i="3"/>
  <c r="M169" i="3"/>
  <c r="N169" i="3"/>
  <c r="J226" i="1"/>
  <c r="J227" i="1"/>
  <c r="E226" i="1"/>
  <c r="E227" i="1"/>
  <c r="J22" i="1"/>
  <c r="J23" i="1"/>
  <c r="J24" i="1"/>
  <c r="I21" i="3" s="1"/>
  <c r="I16" i="3" s="1"/>
  <c r="E24" i="1"/>
  <c r="D19" i="1"/>
  <c r="D24" i="1"/>
  <c r="E21" i="3"/>
  <c r="E16" i="3" s="1"/>
  <c r="F21" i="3"/>
  <c r="F16" i="3" s="1"/>
  <c r="G21" i="3"/>
  <c r="G16" i="3" s="1"/>
  <c r="H21" i="3"/>
  <c r="H16" i="3" s="1"/>
  <c r="J21" i="3"/>
  <c r="J16" i="3" s="1"/>
  <c r="K21" i="3"/>
  <c r="K16" i="3" s="1"/>
  <c r="L21" i="3"/>
  <c r="L16" i="3" s="1"/>
  <c r="M21" i="3"/>
  <c r="M16" i="3" s="1"/>
  <c r="N21" i="3"/>
  <c r="N16" i="3" s="1"/>
  <c r="F19" i="1"/>
  <c r="G19" i="1"/>
  <c r="H19" i="1"/>
  <c r="I19" i="1"/>
  <c r="K19" i="1"/>
  <c r="L19" i="1"/>
  <c r="M19" i="1"/>
  <c r="N19" i="1"/>
  <c r="O19" i="1"/>
  <c r="D21" i="3" l="1"/>
  <c r="D16" i="3" s="1"/>
  <c r="O220" i="3"/>
  <c r="J19" i="1"/>
  <c r="I145" i="3"/>
  <c r="I179" i="3"/>
  <c r="I169" i="3" s="1"/>
  <c r="J192" i="1"/>
  <c r="D145" i="3"/>
  <c r="I149" i="3"/>
  <c r="J196" i="1"/>
  <c r="D149" i="3"/>
  <c r="E196" i="1"/>
  <c r="I19" i="3"/>
  <c r="E238" i="1"/>
  <c r="D179" i="3"/>
  <c r="D169" i="3" s="1"/>
  <c r="D146" i="3"/>
  <c r="N112" i="3"/>
  <c r="L112" i="3"/>
  <c r="J112" i="3"/>
  <c r="G112" i="3"/>
  <c r="E112" i="3"/>
  <c r="M112" i="3"/>
  <c r="K112" i="3"/>
  <c r="H112" i="3"/>
  <c r="F112" i="3"/>
  <c r="P259" i="1"/>
  <c r="O226" i="3"/>
  <c r="P244" i="1"/>
  <c r="J238" i="1"/>
  <c r="P223" i="1"/>
  <c r="D150" i="3"/>
  <c r="I146" i="3"/>
  <c r="I150" i="3"/>
  <c r="I116" i="3" s="1"/>
  <c r="P222" i="1"/>
  <c r="P226" i="1"/>
  <c r="E192" i="1"/>
  <c r="P227" i="1"/>
  <c r="E193" i="1"/>
  <c r="P24" i="1"/>
  <c r="E19" i="1"/>
  <c r="P192" i="1" l="1"/>
  <c r="P19" i="1"/>
  <c r="D113" i="3"/>
  <c r="O149" i="3"/>
  <c r="P196" i="1"/>
  <c r="P238" i="1"/>
  <c r="O179" i="3"/>
  <c r="D112" i="3"/>
  <c r="O146" i="3"/>
  <c r="I112" i="3"/>
  <c r="O145" i="3"/>
  <c r="O150" i="3"/>
  <c r="O116" i="3" s="1"/>
  <c r="O21" i="3"/>
  <c r="O16" i="3" s="1"/>
  <c r="O112" i="3" l="1"/>
  <c r="O169" i="3"/>
  <c r="J243" i="1"/>
  <c r="E243" i="1"/>
  <c r="E354" i="1"/>
  <c r="E352" i="1"/>
  <c r="N20" i="3"/>
  <c r="M20" i="3"/>
  <c r="L20" i="3"/>
  <c r="K20" i="3"/>
  <c r="J20" i="3"/>
  <c r="H20" i="3"/>
  <c r="G20" i="3"/>
  <c r="F20" i="3"/>
  <c r="E20" i="3"/>
  <c r="I20" i="3"/>
  <c r="E23" i="1"/>
  <c r="D212" i="3" l="1"/>
  <c r="D178" i="3"/>
  <c r="I178" i="3"/>
  <c r="P243" i="1"/>
  <c r="P23" i="1"/>
  <c r="D20" i="3"/>
  <c r="J188" i="1"/>
  <c r="E188" i="1"/>
  <c r="O178" i="3" l="1"/>
  <c r="O20" i="3"/>
  <c r="P188" i="1"/>
  <c r="J352" i="1" l="1"/>
  <c r="I212" i="3" l="1"/>
  <c r="P352" i="1"/>
  <c r="O212" i="3" l="1"/>
  <c r="J108" i="1"/>
  <c r="D67" i="3" l="1"/>
  <c r="I67" i="3"/>
  <c r="J74" i="1"/>
  <c r="P108" i="1"/>
  <c r="O67" i="3" l="1"/>
  <c r="M231" i="3"/>
  <c r="L231" i="3"/>
  <c r="K231" i="3"/>
  <c r="H232" i="3"/>
  <c r="H231" i="3" s="1"/>
  <c r="G232" i="3"/>
  <c r="G231" i="3" s="1"/>
  <c r="F232" i="3"/>
  <c r="F231" i="3" s="1"/>
  <c r="J348" i="1" l="1"/>
  <c r="E348" i="1"/>
  <c r="E346" i="1"/>
  <c r="N231" i="3"/>
  <c r="J231" i="3"/>
  <c r="I204" i="3" l="1"/>
  <c r="P348" i="1"/>
  <c r="O154" i="1" l="1"/>
  <c r="N154" i="1"/>
  <c r="M154" i="1"/>
  <c r="L154" i="1"/>
  <c r="K154" i="1"/>
  <c r="I154" i="1"/>
  <c r="H154" i="1"/>
  <c r="G154" i="1"/>
  <c r="F154" i="1"/>
  <c r="J182" i="1"/>
  <c r="J183" i="1"/>
  <c r="E182" i="1"/>
  <c r="E183" i="1"/>
  <c r="J157" i="1" l="1"/>
  <c r="E154" i="1"/>
  <c r="E157" i="1"/>
  <c r="P183" i="1"/>
  <c r="P182" i="1"/>
  <c r="J154" i="1"/>
  <c r="P154" i="1" l="1"/>
  <c r="P157" i="1"/>
  <c r="D284" i="1"/>
  <c r="N237" i="3" l="1"/>
  <c r="M237" i="3"/>
  <c r="L237" i="3"/>
  <c r="K237" i="3"/>
  <c r="J237" i="3"/>
  <c r="H237" i="3"/>
  <c r="G237" i="3"/>
  <c r="F237" i="3"/>
  <c r="E237" i="3"/>
  <c r="F234" i="3" l="1"/>
  <c r="F188" i="3" s="1"/>
  <c r="F290" i="3" s="1"/>
  <c r="H234" i="3"/>
  <c r="H188" i="3" s="1"/>
  <c r="H290" i="3" s="1"/>
  <c r="K234" i="3"/>
  <c r="K188" i="3" s="1"/>
  <c r="K290" i="3" s="1"/>
  <c r="M234" i="3"/>
  <c r="M188" i="3" s="1"/>
  <c r="M290" i="3" s="1"/>
  <c r="E234" i="3"/>
  <c r="E188" i="3" s="1"/>
  <c r="E290" i="3" s="1"/>
  <c r="G234" i="3"/>
  <c r="G188" i="3" s="1"/>
  <c r="G290" i="3" s="1"/>
  <c r="L234" i="3"/>
  <c r="L188" i="3" s="1"/>
  <c r="L290" i="3" s="1"/>
  <c r="N234" i="3"/>
  <c r="N188" i="3" s="1"/>
  <c r="N290" i="3" s="1"/>
  <c r="J234" i="3"/>
  <c r="J188" i="3" s="1"/>
  <c r="J290" i="3" s="1"/>
  <c r="O159" i="1"/>
  <c r="N159" i="1"/>
  <c r="M159" i="1"/>
  <c r="M417" i="1" s="1"/>
  <c r="M462" i="1" s="1"/>
  <c r="L159" i="1"/>
  <c r="K159" i="1"/>
  <c r="I159" i="1"/>
  <c r="H159" i="1"/>
  <c r="G159" i="1"/>
  <c r="F159" i="1"/>
  <c r="O331" i="1"/>
  <c r="N331" i="1"/>
  <c r="M331" i="1"/>
  <c r="L331" i="1"/>
  <c r="K331" i="1"/>
  <c r="I331" i="1"/>
  <c r="H331" i="1"/>
  <c r="G331" i="1"/>
  <c r="F331" i="1"/>
  <c r="E331" i="1"/>
  <c r="I417" i="1" l="1"/>
  <c r="I462" i="1" s="1"/>
  <c r="N417" i="1"/>
  <c r="N462" i="1" s="1"/>
  <c r="K417" i="1"/>
  <c r="K462" i="1" s="1"/>
  <c r="O417" i="1"/>
  <c r="O462" i="1" s="1"/>
  <c r="H417" i="1"/>
  <c r="H462" i="1" s="1"/>
  <c r="F417" i="1"/>
  <c r="F462" i="1" s="1"/>
  <c r="G417" i="1"/>
  <c r="G462" i="1" s="1"/>
  <c r="L417" i="1"/>
  <c r="L462" i="1" s="1"/>
  <c r="G303" i="3"/>
  <c r="L303" i="3"/>
  <c r="E303" i="3"/>
  <c r="F303" i="3"/>
  <c r="H303" i="3"/>
  <c r="M303" i="3"/>
  <c r="N303" i="3" l="1"/>
  <c r="J303" i="3"/>
  <c r="K303" i="3"/>
  <c r="H430" i="1"/>
  <c r="G430" i="1"/>
  <c r="K430" i="1"/>
  <c r="M430" i="1"/>
  <c r="L430" i="1"/>
  <c r="N430" i="1"/>
  <c r="I430" i="1"/>
  <c r="O430" i="1"/>
  <c r="F430" i="1"/>
  <c r="M423" i="1"/>
  <c r="L423" i="1"/>
  <c r="H423" i="1"/>
  <c r="I423" i="1"/>
  <c r="G423" i="1"/>
  <c r="F423" i="1"/>
  <c r="K423" i="1"/>
  <c r="N423" i="1"/>
  <c r="O423" i="1"/>
  <c r="E232" i="3"/>
  <c r="E231" i="3" s="1"/>
  <c r="M202" i="3" l="1"/>
  <c r="L202" i="3"/>
  <c r="K202" i="3"/>
  <c r="H202" i="3"/>
  <c r="G202" i="3"/>
  <c r="F202" i="3"/>
  <c r="E202" i="3"/>
  <c r="M199" i="3" l="1"/>
  <c r="L199" i="3"/>
  <c r="K199" i="3"/>
  <c r="H199" i="3"/>
  <c r="G199" i="3"/>
  <c r="F199" i="3"/>
  <c r="E199" i="3"/>
  <c r="M203" i="3"/>
  <c r="L203" i="3"/>
  <c r="K203" i="3"/>
  <c r="H203" i="3"/>
  <c r="G203" i="3"/>
  <c r="F203" i="3"/>
  <c r="E203" i="3"/>
  <c r="J231" i="1" l="1"/>
  <c r="E231" i="1"/>
  <c r="J180" i="1"/>
  <c r="E180" i="1"/>
  <c r="J44" i="1"/>
  <c r="D200" i="3" l="1"/>
  <c r="I200" i="3"/>
  <c r="P44" i="1"/>
  <c r="D202" i="3"/>
  <c r="P43" i="1"/>
  <c r="P180" i="1"/>
  <c r="P231" i="1"/>
  <c r="N203" i="3"/>
  <c r="J203" i="3"/>
  <c r="O200" i="3" l="1"/>
  <c r="E185" i="1"/>
  <c r="J185" i="1"/>
  <c r="J159" i="1" l="1"/>
  <c r="D237" i="3"/>
  <c r="E159" i="1"/>
  <c r="P185" i="1"/>
  <c r="J354" i="1"/>
  <c r="J331" i="1" l="1"/>
  <c r="J417" i="1" s="1"/>
  <c r="E417" i="1"/>
  <c r="D234" i="3"/>
  <c r="I237" i="3"/>
  <c r="P159" i="1"/>
  <c r="P354" i="1"/>
  <c r="P331" i="1" s="1"/>
  <c r="N153" i="3"/>
  <c r="M153" i="3"/>
  <c r="L153" i="3"/>
  <c r="K153" i="3"/>
  <c r="J153" i="3"/>
  <c r="H153" i="3"/>
  <c r="G153" i="3"/>
  <c r="F153" i="3"/>
  <c r="N139" i="3"/>
  <c r="M139" i="3"/>
  <c r="L139" i="3"/>
  <c r="K139" i="3"/>
  <c r="J139" i="3"/>
  <c r="H139" i="3"/>
  <c r="G139" i="3"/>
  <c r="F139" i="3"/>
  <c r="E139" i="3"/>
  <c r="N137" i="3"/>
  <c r="M137" i="3"/>
  <c r="L137" i="3"/>
  <c r="K137" i="3"/>
  <c r="J137" i="3"/>
  <c r="H137" i="3"/>
  <c r="G137" i="3"/>
  <c r="F137" i="3"/>
  <c r="E137" i="3"/>
  <c r="N126" i="3"/>
  <c r="M126" i="3"/>
  <c r="L126" i="3"/>
  <c r="K126" i="3"/>
  <c r="J126" i="3"/>
  <c r="H126" i="3"/>
  <c r="G126" i="3"/>
  <c r="F126" i="3"/>
  <c r="E126" i="3"/>
  <c r="N124" i="3"/>
  <c r="M124" i="3"/>
  <c r="L124" i="3"/>
  <c r="K124" i="3"/>
  <c r="J124" i="3"/>
  <c r="H124" i="3"/>
  <c r="G124" i="3"/>
  <c r="F124" i="3"/>
  <c r="E124" i="3"/>
  <c r="N120" i="3"/>
  <c r="M120" i="3"/>
  <c r="L120" i="3"/>
  <c r="K120" i="3"/>
  <c r="J120" i="3"/>
  <c r="H120" i="3"/>
  <c r="G120" i="3"/>
  <c r="F120" i="3"/>
  <c r="N108" i="3"/>
  <c r="M108" i="3"/>
  <c r="L108" i="3"/>
  <c r="K108" i="3"/>
  <c r="J108" i="3"/>
  <c r="H108" i="3"/>
  <c r="G108" i="3"/>
  <c r="F108" i="3"/>
  <c r="E108" i="3"/>
  <c r="N107" i="3"/>
  <c r="M107" i="3"/>
  <c r="L107" i="3"/>
  <c r="K107" i="3"/>
  <c r="J107" i="3"/>
  <c r="H107" i="3"/>
  <c r="G107" i="3"/>
  <c r="F107" i="3"/>
  <c r="E107" i="3"/>
  <c r="N105" i="3"/>
  <c r="M105" i="3"/>
  <c r="L105" i="3"/>
  <c r="K105" i="3"/>
  <c r="J105" i="3"/>
  <c r="H105" i="3"/>
  <c r="G105" i="3"/>
  <c r="F105" i="3"/>
  <c r="E105" i="3"/>
  <c r="N103" i="3"/>
  <c r="M103" i="3"/>
  <c r="L103" i="3"/>
  <c r="K103" i="3"/>
  <c r="J103" i="3"/>
  <c r="H103" i="3"/>
  <c r="G103" i="3"/>
  <c r="F103" i="3"/>
  <c r="E103" i="3"/>
  <c r="N100" i="3"/>
  <c r="M100" i="3"/>
  <c r="L100" i="3"/>
  <c r="K100" i="3"/>
  <c r="J100" i="3"/>
  <c r="I100" i="3"/>
  <c r="H100" i="3"/>
  <c r="G100" i="3"/>
  <c r="F100" i="3"/>
  <c r="E100" i="3"/>
  <c r="N95" i="3"/>
  <c r="M95" i="3"/>
  <c r="L95" i="3"/>
  <c r="K95" i="3"/>
  <c r="J95" i="3"/>
  <c r="H95" i="3"/>
  <c r="G95" i="3"/>
  <c r="F95" i="3"/>
  <c r="N94" i="3"/>
  <c r="M94" i="3"/>
  <c r="L94" i="3"/>
  <c r="K94" i="3"/>
  <c r="J94" i="3"/>
  <c r="H94" i="3"/>
  <c r="G94" i="3"/>
  <c r="F94" i="3"/>
  <c r="E94" i="3"/>
  <c r="O153" i="1"/>
  <c r="N153" i="1"/>
  <c r="M153" i="1"/>
  <c r="L153" i="1"/>
  <c r="K153" i="1"/>
  <c r="I153" i="1"/>
  <c r="H153" i="1"/>
  <c r="G153" i="1"/>
  <c r="F153" i="1"/>
  <c r="P417" i="1" l="1"/>
  <c r="L444" i="1"/>
  <c r="F114" i="3"/>
  <c r="H114" i="3"/>
  <c r="K114" i="3"/>
  <c r="M114" i="3"/>
  <c r="G114" i="3"/>
  <c r="J114" i="3"/>
  <c r="L114" i="3"/>
  <c r="N114" i="3"/>
  <c r="D188" i="3"/>
  <c r="D290" i="3" s="1"/>
  <c r="E462" i="1" s="1"/>
  <c r="I234" i="3"/>
  <c r="I188" i="3" s="1"/>
  <c r="I290" i="3" s="1"/>
  <c r="J462" i="1" s="1"/>
  <c r="O237" i="3"/>
  <c r="I303" i="3" l="1"/>
  <c r="D303" i="3"/>
  <c r="J430" i="1"/>
  <c r="E430" i="1"/>
  <c r="E423" i="1"/>
  <c r="J423" i="1"/>
  <c r="O234" i="3"/>
  <c r="O188" i="3" s="1"/>
  <c r="O290" i="3" s="1"/>
  <c r="P462" i="1" s="1"/>
  <c r="O303" i="3" l="1"/>
  <c r="P430" i="1"/>
  <c r="P423" i="1"/>
  <c r="O155" i="1"/>
  <c r="N155" i="1"/>
  <c r="M155" i="1"/>
  <c r="L155" i="1"/>
  <c r="K155" i="1"/>
  <c r="I155" i="1"/>
  <c r="H155" i="1"/>
  <c r="G155" i="1"/>
  <c r="O156" i="1" l="1"/>
  <c r="N156" i="1"/>
  <c r="M156" i="1"/>
  <c r="L156" i="1"/>
  <c r="I156" i="1"/>
  <c r="H156" i="1"/>
  <c r="G156" i="1"/>
  <c r="J165" i="1"/>
  <c r="E165" i="1"/>
  <c r="J164" i="1"/>
  <c r="J163" i="1"/>
  <c r="E163" i="1"/>
  <c r="J172" i="1"/>
  <c r="E172" i="1"/>
  <c r="E169" i="1"/>
  <c r="I94" i="3" l="1"/>
  <c r="D94" i="3"/>
  <c r="P169" i="1"/>
  <c r="O100" i="3" s="1"/>
  <c r="D103" i="3"/>
  <c r="I95" i="3"/>
  <c r="I103" i="3"/>
  <c r="E158" i="1"/>
  <c r="D96" i="3"/>
  <c r="D90" i="3" s="1"/>
  <c r="J158" i="1"/>
  <c r="I96" i="3"/>
  <c r="F155" i="1"/>
  <c r="E95" i="3"/>
  <c r="D100" i="3"/>
  <c r="E153" i="1"/>
  <c r="J153" i="1"/>
  <c r="E164" i="1"/>
  <c r="P172" i="1"/>
  <c r="P163" i="1"/>
  <c r="P165" i="1"/>
  <c r="O103" i="3" l="1"/>
  <c r="O94" i="3"/>
  <c r="P158" i="1"/>
  <c r="O96" i="3"/>
  <c r="P164" i="1"/>
  <c r="D95" i="3"/>
  <c r="P153" i="1"/>
  <c r="N219" i="3"/>
  <c r="M219" i="3"/>
  <c r="L219" i="3"/>
  <c r="K219" i="3"/>
  <c r="J219" i="3"/>
  <c r="H219" i="3"/>
  <c r="G219" i="3"/>
  <c r="F219" i="3"/>
  <c r="E219" i="3"/>
  <c r="O459" i="1"/>
  <c r="N459" i="1"/>
  <c r="M459" i="1"/>
  <c r="L459" i="1"/>
  <c r="K459" i="1"/>
  <c r="I459" i="1"/>
  <c r="H459" i="1"/>
  <c r="G459" i="1"/>
  <c r="F459" i="1"/>
  <c r="N89" i="3"/>
  <c r="M89" i="3"/>
  <c r="L89" i="3"/>
  <c r="K89" i="3"/>
  <c r="J89" i="3"/>
  <c r="H89" i="3"/>
  <c r="G89" i="3"/>
  <c r="F89" i="3"/>
  <c r="E89" i="3"/>
  <c r="N90" i="3"/>
  <c r="M90" i="3"/>
  <c r="L90" i="3"/>
  <c r="K90" i="3"/>
  <c r="J90" i="3"/>
  <c r="H90" i="3"/>
  <c r="G90" i="3"/>
  <c r="F90" i="3"/>
  <c r="E90" i="3"/>
  <c r="N88" i="3"/>
  <c r="M88" i="3"/>
  <c r="L88" i="3"/>
  <c r="K88" i="3"/>
  <c r="J88" i="3"/>
  <c r="H88" i="3"/>
  <c r="G88" i="3"/>
  <c r="F88" i="3"/>
  <c r="H87" i="3"/>
  <c r="G87" i="3"/>
  <c r="F87" i="3"/>
  <c r="E87" i="3"/>
  <c r="O95" i="3" l="1"/>
  <c r="H301" i="3"/>
  <c r="M301" i="3"/>
  <c r="E301" i="3"/>
  <c r="J301" i="3"/>
  <c r="N301" i="3"/>
  <c r="F301" i="3"/>
  <c r="K301" i="3"/>
  <c r="G301" i="3"/>
  <c r="G428" i="1"/>
  <c r="I428" i="1"/>
  <c r="L428" i="1"/>
  <c r="N428" i="1"/>
  <c r="F428" i="1"/>
  <c r="H428" i="1"/>
  <c r="O428" i="1"/>
  <c r="F183" i="3"/>
  <c r="H183" i="3"/>
  <c r="K183" i="3"/>
  <c r="M183" i="3"/>
  <c r="E183" i="3"/>
  <c r="G183" i="3"/>
  <c r="J183" i="3"/>
  <c r="L183" i="3"/>
  <c r="N183" i="3"/>
  <c r="K87" i="3"/>
  <c r="M87" i="3"/>
  <c r="J87" i="3"/>
  <c r="L87" i="3"/>
  <c r="N87" i="3"/>
  <c r="J230" i="1"/>
  <c r="J216" i="1"/>
  <c r="E216" i="1"/>
  <c r="J214" i="1"/>
  <c r="E214" i="1"/>
  <c r="J208" i="1"/>
  <c r="E208" i="1"/>
  <c r="J206" i="1"/>
  <c r="E206" i="1"/>
  <c r="J202" i="1"/>
  <c r="J177" i="1"/>
  <c r="E177" i="1"/>
  <c r="J176" i="1"/>
  <c r="E176" i="1"/>
  <c r="J174" i="1"/>
  <c r="E174" i="1"/>
  <c r="J107" i="1"/>
  <c r="D66" i="3"/>
  <c r="J93" i="1"/>
  <c r="E73" i="1"/>
  <c r="E415" i="1" s="1"/>
  <c r="J92" i="1"/>
  <c r="E70" i="1"/>
  <c r="E414" i="1" s="1"/>
  <c r="J89" i="1"/>
  <c r="J194" i="1" l="1"/>
  <c r="D209" i="3"/>
  <c r="D192" i="3" s="1"/>
  <c r="I46" i="3"/>
  <c r="I51" i="3"/>
  <c r="I25" i="3" s="1"/>
  <c r="I287" i="3" s="1"/>
  <c r="I105" i="3"/>
  <c r="I108" i="3"/>
  <c r="D126" i="3"/>
  <c r="D139" i="3"/>
  <c r="I209" i="3"/>
  <c r="I192" i="3" s="1"/>
  <c r="I126" i="3"/>
  <c r="I124" i="3"/>
  <c r="I137" i="3"/>
  <c r="I139" i="3"/>
  <c r="J70" i="1"/>
  <c r="J414" i="1" s="1"/>
  <c r="I66" i="3"/>
  <c r="D124" i="3"/>
  <c r="D137" i="3"/>
  <c r="I153" i="3"/>
  <c r="K428" i="1"/>
  <c r="L301" i="3"/>
  <c r="M428" i="1"/>
  <c r="E75" i="1"/>
  <c r="P121" i="1"/>
  <c r="F433" i="1"/>
  <c r="D51" i="3"/>
  <c r="D25" i="3" s="1"/>
  <c r="I50" i="3"/>
  <c r="I23" i="3" s="1"/>
  <c r="D50" i="3"/>
  <c r="D23" i="3" s="1"/>
  <c r="D286" i="3" s="1"/>
  <c r="J260" i="1"/>
  <c r="E260" i="1"/>
  <c r="D108" i="3"/>
  <c r="E156" i="1"/>
  <c r="D105" i="3"/>
  <c r="J75" i="1"/>
  <c r="I80" i="3"/>
  <c r="I27" i="3" s="1"/>
  <c r="D80" i="3"/>
  <c r="D27" i="3" s="1"/>
  <c r="J73" i="1"/>
  <c r="J415" i="1" s="1"/>
  <c r="E202" i="1"/>
  <c r="E120" i="3"/>
  <c r="E230" i="1"/>
  <c r="E153" i="3"/>
  <c r="I120" i="3"/>
  <c r="E155" i="1"/>
  <c r="D107" i="3"/>
  <c r="J155" i="1"/>
  <c r="I107" i="3"/>
  <c r="J156" i="1"/>
  <c r="D46" i="3"/>
  <c r="P206" i="1"/>
  <c r="P208" i="1"/>
  <c r="P214" i="1"/>
  <c r="P216" i="1"/>
  <c r="P174" i="1"/>
  <c r="P176" i="1"/>
  <c r="P177" i="1"/>
  <c r="P92" i="1"/>
  <c r="P93" i="1"/>
  <c r="P107" i="1"/>
  <c r="I286" i="3" l="1"/>
  <c r="D287" i="3"/>
  <c r="E460" i="1" s="1"/>
  <c r="J460" i="1"/>
  <c r="P75" i="1"/>
  <c r="E459" i="1"/>
  <c r="O126" i="3"/>
  <c r="O105" i="3"/>
  <c r="O209" i="3"/>
  <c r="O192" i="3" s="1"/>
  <c r="O124" i="3"/>
  <c r="O139" i="3"/>
  <c r="I114" i="3"/>
  <c r="O108" i="3"/>
  <c r="O137" i="3"/>
  <c r="O66" i="3"/>
  <c r="O51" i="3"/>
  <c r="O25" i="3" s="1"/>
  <c r="O287" i="3" s="1"/>
  <c r="P70" i="1"/>
  <c r="P414" i="1" s="1"/>
  <c r="E194" i="1"/>
  <c r="D89" i="3"/>
  <c r="O50" i="3"/>
  <c r="O23" i="3" s="1"/>
  <c r="E114" i="3"/>
  <c r="D120" i="3"/>
  <c r="P260" i="1"/>
  <c r="P230" i="1"/>
  <c r="O80" i="3"/>
  <c r="O27" i="3" s="1"/>
  <c r="P73" i="1"/>
  <c r="P415" i="1" s="1"/>
  <c r="D153" i="3"/>
  <c r="P202" i="1"/>
  <c r="P155" i="1"/>
  <c r="O107" i="3"/>
  <c r="P89" i="1"/>
  <c r="P156" i="1"/>
  <c r="O286" i="3" l="1"/>
  <c r="P460" i="1"/>
  <c r="O153" i="3"/>
  <c r="O46" i="3"/>
  <c r="P194" i="1"/>
  <c r="D114" i="3"/>
  <c r="O120" i="3"/>
  <c r="C252" i="3"/>
  <c r="N255" i="3"/>
  <c r="M255" i="3"/>
  <c r="L255" i="3"/>
  <c r="K255" i="3"/>
  <c r="J255" i="3"/>
  <c r="H255" i="3"/>
  <c r="G255" i="3"/>
  <c r="F255" i="3"/>
  <c r="E255" i="3"/>
  <c r="D59" i="1"/>
  <c r="J59" i="1"/>
  <c r="E59" i="1"/>
  <c r="J18" i="1" l="1"/>
  <c r="J416" i="1" s="1"/>
  <c r="E18" i="1"/>
  <c r="E416" i="1" s="1"/>
  <c r="O114" i="3"/>
  <c r="E252" i="3"/>
  <c r="E250" i="3" s="1"/>
  <c r="E289" i="3" s="1"/>
  <c r="F461" i="1" s="1"/>
  <c r="G302" i="3"/>
  <c r="L302" i="3"/>
  <c r="H302" i="3"/>
  <c r="M302" i="3"/>
  <c r="J302" i="3"/>
  <c r="N302" i="3"/>
  <c r="F302" i="3"/>
  <c r="K302" i="3"/>
  <c r="H429" i="1"/>
  <c r="K429" i="1"/>
  <c r="M429" i="1"/>
  <c r="O429" i="1"/>
  <c r="G429" i="1"/>
  <c r="I429" i="1"/>
  <c r="L429" i="1"/>
  <c r="N429" i="1"/>
  <c r="F252" i="3"/>
  <c r="F250" i="3" s="1"/>
  <c r="F289" i="3" s="1"/>
  <c r="G461" i="1" s="1"/>
  <c r="K252" i="3"/>
  <c r="K250" i="3" s="1"/>
  <c r="K289" i="3" s="1"/>
  <c r="L461" i="1" s="1"/>
  <c r="M252" i="3"/>
  <c r="M250" i="3" s="1"/>
  <c r="M289" i="3" s="1"/>
  <c r="N461" i="1" s="1"/>
  <c r="H252" i="3"/>
  <c r="H250" i="3" s="1"/>
  <c r="H289" i="3" s="1"/>
  <c r="I461" i="1" s="1"/>
  <c r="G252" i="3"/>
  <c r="G250" i="3" s="1"/>
  <c r="G289" i="3" s="1"/>
  <c r="H461" i="1" s="1"/>
  <c r="J252" i="3"/>
  <c r="J250" i="3" s="1"/>
  <c r="J289" i="3" s="1"/>
  <c r="K461" i="1" s="1"/>
  <c r="L252" i="3"/>
  <c r="L250" i="3" s="1"/>
  <c r="L289" i="3" s="1"/>
  <c r="M461" i="1" s="1"/>
  <c r="N252" i="3"/>
  <c r="N250" i="3" s="1"/>
  <c r="N289" i="3" s="1"/>
  <c r="O461" i="1" s="1"/>
  <c r="I255" i="3"/>
  <c r="P59" i="1"/>
  <c r="P18" i="1" s="1"/>
  <c r="P416" i="1" s="1"/>
  <c r="D255" i="3"/>
  <c r="E440" i="1" l="1"/>
  <c r="F434" i="1"/>
  <c r="E302" i="3"/>
  <c r="F429" i="1"/>
  <c r="I252" i="3"/>
  <c r="I250" i="3" s="1"/>
  <c r="I289" i="3" s="1"/>
  <c r="J461" i="1" s="1"/>
  <c r="D252" i="3"/>
  <c r="D250" i="3" s="1"/>
  <c r="D289" i="3" s="1"/>
  <c r="E461" i="1" s="1"/>
  <c r="O255" i="3"/>
  <c r="O252" i="3" l="1"/>
  <c r="O250" i="3" s="1"/>
  <c r="O289" i="3" s="1"/>
  <c r="P461" i="1" s="1"/>
  <c r="E179" i="1"/>
  <c r="J67" i="1"/>
  <c r="I284" i="3" l="1"/>
  <c r="D284" i="3"/>
  <c r="P67" i="1"/>
  <c r="O284" i="3" l="1"/>
  <c r="E284" i="1"/>
  <c r="C284" i="1"/>
  <c r="D204" i="3" l="1"/>
  <c r="P284" i="1"/>
  <c r="O204" i="3" s="1"/>
  <c r="J202" i="3" l="1"/>
  <c r="E253" i="3" l="1"/>
  <c r="F253" i="3"/>
  <c r="G253" i="3"/>
  <c r="H253" i="3"/>
  <c r="J253" i="3"/>
  <c r="K253" i="3"/>
  <c r="L253" i="3"/>
  <c r="M253" i="3"/>
  <c r="N253" i="3"/>
  <c r="E308" i="1"/>
  <c r="C308" i="1"/>
  <c r="D308" i="1"/>
  <c r="B308" i="1"/>
  <c r="P308" i="1" l="1"/>
  <c r="E257" i="3" l="1"/>
  <c r="E256" i="3" s="1"/>
  <c r="F257" i="3"/>
  <c r="F256" i="3" s="1"/>
  <c r="G257" i="3"/>
  <c r="G256" i="3" s="1"/>
  <c r="H257" i="3"/>
  <c r="H256" i="3" s="1"/>
  <c r="J257" i="3"/>
  <c r="J256" i="3" s="1"/>
  <c r="K257" i="3"/>
  <c r="K256" i="3" s="1"/>
  <c r="L257" i="3"/>
  <c r="L256" i="3" s="1"/>
  <c r="M257" i="3"/>
  <c r="M256" i="3" s="1"/>
  <c r="N257" i="3"/>
  <c r="N256" i="3" s="1"/>
  <c r="C309" i="1"/>
  <c r="D309" i="1"/>
  <c r="B309" i="1"/>
  <c r="E223" i="3" l="1"/>
  <c r="F223" i="3"/>
  <c r="G223" i="3"/>
  <c r="H223" i="3"/>
  <c r="J223" i="3"/>
  <c r="K223" i="3"/>
  <c r="L223" i="3"/>
  <c r="M223" i="3"/>
  <c r="N223" i="3"/>
  <c r="E225" i="3"/>
  <c r="F225" i="3"/>
  <c r="G225" i="3"/>
  <c r="H225" i="3"/>
  <c r="J225" i="3"/>
  <c r="K225" i="3"/>
  <c r="L225" i="3"/>
  <c r="M225" i="3"/>
  <c r="N225" i="3"/>
  <c r="E46" i="1"/>
  <c r="E48" i="1"/>
  <c r="J45" i="1"/>
  <c r="J46" i="1"/>
  <c r="J48" i="1"/>
  <c r="C46" i="1"/>
  <c r="D46" i="1"/>
  <c r="D48" i="1"/>
  <c r="B48" i="1"/>
  <c r="B46" i="1"/>
  <c r="I222" i="3" l="1"/>
  <c r="D223" i="3"/>
  <c r="I223" i="3"/>
  <c r="I225" i="3"/>
  <c r="D225" i="3"/>
  <c r="P48" i="1"/>
  <c r="P46" i="1"/>
  <c r="O223" i="3" l="1"/>
  <c r="O225" i="3"/>
  <c r="N199" i="3"/>
  <c r="J199" i="3" l="1"/>
  <c r="J300" i="1" l="1"/>
  <c r="D229" i="3"/>
  <c r="D218" i="3" s="1"/>
  <c r="I229" i="3" l="1"/>
  <c r="P300" i="1"/>
  <c r="N206" i="3"/>
  <c r="M206" i="3"/>
  <c r="L206" i="3"/>
  <c r="K206" i="3"/>
  <c r="J206" i="3"/>
  <c r="H206" i="3"/>
  <c r="G206" i="3"/>
  <c r="F206" i="3"/>
  <c r="E206" i="3"/>
  <c r="J181" i="1"/>
  <c r="E181" i="1"/>
  <c r="D181" i="1"/>
  <c r="C181" i="1"/>
  <c r="B181" i="1"/>
  <c r="D349" i="1"/>
  <c r="C349" i="1"/>
  <c r="B349" i="1"/>
  <c r="D285" i="1"/>
  <c r="C285" i="1"/>
  <c r="B285" i="1"/>
  <c r="O229" i="3" l="1"/>
  <c r="P181" i="1"/>
  <c r="J349" i="1"/>
  <c r="E349" i="1"/>
  <c r="D206" i="3" l="1"/>
  <c r="P349" i="1"/>
  <c r="I206" i="3"/>
  <c r="O206" i="3" l="1"/>
  <c r="K373" i="1"/>
  <c r="J355" i="1" l="1"/>
  <c r="E355" i="1"/>
  <c r="P355" i="1" l="1"/>
  <c r="J350" i="1" l="1"/>
  <c r="E350" i="1"/>
  <c r="D208" i="3" l="1"/>
  <c r="I208" i="3"/>
  <c r="P350" i="1"/>
  <c r="O208" i="3" s="1"/>
  <c r="M245" i="3" l="1"/>
  <c r="L245" i="3"/>
  <c r="K245" i="3"/>
  <c r="H245" i="3"/>
  <c r="G245" i="3"/>
  <c r="F245" i="3"/>
  <c r="J186" i="1"/>
  <c r="E186" i="1"/>
  <c r="I247" i="3" l="1"/>
  <c r="I245" i="3" s="1"/>
  <c r="D247" i="3"/>
  <c r="D245" i="3" s="1"/>
  <c r="P186" i="1"/>
  <c r="D200" i="1"/>
  <c r="O247" i="3" l="1"/>
  <c r="O245" i="3" s="1"/>
  <c r="B346" i="1" l="1"/>
  <c r="J346" i="1"/>
  <c r="I202" i="3" l="1"/>
  <c r="P346" i="1"/>
  <c r="O202" i="3" l="1"/>
  <c r="D235" i="1"/>
  <c r="G373" i="1"/>
  <c r="H373" i="1"/>
  <c r="L373" i="1"/>
  <c r="M373" i="1"/>
  <c r="N373" i="1"/>
  <c r="O373" i="1"/>
  <c r="G150" i="1"/>
  <c r="H150" i="1"/>
  <c r="I150" i="1"/>
  <c r="L150" i="1"/>
  <c r="M150" i="1"/>
  <c r="N150" i="1"/>
  <c r="I373" i="1" l="1"/>
  <c r="F373" i="1" l="1"/>
  <c r="F150" i="1"/>
  <c r="D318" i="1" l="1"/>
  <c r="O150" i="1" l="1"/>
  <c r="K150" i="1"/>
  <c r="J255" i="1"/>
  <c r="E255" i="1"/>
  <c r="C255" i="1"/>
  <c r="D255" i="1"/>
  <c r="B255" i="1"/>
  <c r="P255" i="1" l="1"/>
  <c r="E15" i="3"/>
  <c r="F15" i="3"/>
  <c r="G15" i="3"/>
  <c r="H15" i="3"/>
  <c r="J15" i="3"/>
  <c r="K15" i="3"/>
  <c r="L15" i="3"/>
  <c r="M15" i="3"/>
  <c r="N15" i="3"/>
  <c r="E99" i="3"/>
  <c r="F99" i="3"/>
  <c r="G99" i="3"/>
  <c r="H99" i="3"/>
  <c r="J99" i="3"/>
  <c r="K99" i="3"/>
  <c r="L99" i="3"/>
  <c r="M99" i="3"/>
  <c r="N99" i="3"/>
  <c r="E102" i="3"/>
  <c r="F102" i="3"/>
  <c r="G102" i="3"/>
  <c r="H102" i="3"/>
  <c r="J102" i="3"/>
  <c r="K102" i="3"/>
  <c r="L102" i="3"/>
  <c r="M102" i="3"/>
  <c r="N102" i="3"/>
  <c r="E104" i="3"/>
  <c r="F104" i="3"/>
  <c r="G104" i="3"/>
  <c r="H104" i="3"/>
  <c r="J104" i="3"/>
  <c r="K104" i="3"/>
  <c r="L104" i="3"/>
  <c r="M104" i="3"/>
  <c r="N104" i="3"/>
  <c r="E106" i="3"/>
  <c r="F106" i="3"/>
  <c r="G106" i="3"/>
  <c r="H106" i="3"/>
  <c r="J106" i="3"/>
  <c r="K106" i="3"/>
  <c r="L106" i="3"/>
  <c r="M106" i="3"/>
  <c r="N106" i="3"/>
  <c r="E109" i="3"/>
  <c r="F109" i="3"/>
  <c r="G109" i="3"/>
  <c r="H109" i="3"/>
  <c r="J109" i="3"/>
  <c r="K109" i="3"/>
  <c r="L109" i="3"/>
  <c r="M109" i="3"/>
  <c r="N109" i="3"/>
  <c r="E110" i="3"/>
  <c r="F110" i="3"/>
  <c r="G110" i="3"/>
  <c r="H110" i="3"/>
  <c r="J110" i="3"/>
  <c r="K110" i="3"/>
  <c r="L110" i="3"/>
  <c r="M110" i="3"/>
  <c r="N110" i="3"/>
  <c r="E117" i="3"/>
  <c r="F117" i="3"/>
  <c r="G117" i="3"/>
  <c r="H117" i="3"/>
  <c r="K117" i="3"/>
  <c r="L117" i="3"/>
  <c r="M117" i="3"/>
  <c r="E118" i="3"/>
  <c r="F118" i="3"/>
  <c r="G118" i="3"/>
  <c r="H118" i="3"/>
  <c r="J118" i="3"/>
  <c r="K118" i="3"/>
  <c r="L118" i="3"/>
  <c r="M118" i="3"/>
  <c r="N118" i="3"/>
  <c r="E119" i="3"/>
  <c r="F119" i="3"/>
  <c r="G119" i="3"/>
  <c r="H119" i="3"/>
  <c r="J119" i="3"/>
  <c r="K119" i="3"/>
  <c r="L119" i="3"/>
  <c r="M119" i="3"/>
  <c r="N119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3" i="3"/>
  <c r="F123" i="3"/>
  <c r="G123" i="3"/>
  <c r="H123" i="3"/>
  <c r="J123" i="3"/>
  <c r="K123" i="3"/>
  <c r="L123" i="3"/>
  <c r="M123" i="3"/>
  <c r="N123" i="3"/>
  <c r="E125" i="3"/>
  <c r="F125" i="3"/>
  <c r="G125" i="3"/>
  <c r="H125" i="3"/>
  <c r="J125" i="3"/>
  <c r="K125" i="3"/>
  <c r="L125" i="3"/>
  <c r="M125" i="3"/>
  <c r="N125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4" i="3"/>
  <c r="F134" i="3"/>
  <c r="G134" i="3"/>
  <c r="H134" i="3"/>
  <c r="J134" i="3"/>
  <c r="K134" i="3"/>
  <c r="L134" i="3"/>
  <c r="M134" i="3"/>
  <c r="N134" i="3"/>
  <c r="E136" i="3"/>
  <c r="F136" i="3"/>
  <c r="G136" i="3"/>
  <c r="H136" i="3"/>
  <c r="J136" i="3"/>
  <c r="K136" i="3"/>
  <c r="L136" i="3"/>
  <c r="M136" i="3"/>
  <c r="N136" i="3"/>
  <c r="E138" i="3"/>
  <c r="F138" i="3"/>
  <c r="G138" i="3"/>
  <c r="H138" i="3"/>
  <c r="J138" i="3"/>
  <c r="K138" i="3"/>
  <c r="L138" i="3"/>
  <c r="M138" i="3"/>
  <c r="N138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51" i="3"/>
  <c r="F151" i="3"/>
  <c r="G151" i="3"/>
  <c r="H151" i="3"/>
  <c r="J151" i="3"/>
  <c r="K151" i="3"/>
  <c r="L151" i="3"/>
  <c r="M151" i="3"/>
  <c r="N151" i="3"/>
  <c r="E155" i="3"/>
  <c r="F155" i="3"/>
  <c r="G155" i="3"/>
  <c r="H155" i="3"/>
  <c r="J155" i="3"/>
  <c r="K155" i="3"/>
  <c r="L155" i="3"/>
  <c r="M155" i="3"/>
  <c r="N155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61" i="3"/>
  <c r="F161" i="3"/>
  <c r="G161" i="3"/>
  <c r="H161" i="3"/>
  <c r="J161" i="3"/>
  <c r="K161" i="3"/>
  <c r="L161" i="3"/>
  <c r="M161" i="3"/>
  <c r="N161" i="3"/>
  <c r="E162" i="3"/>
  <c r="F162" i="3"/>
  <c r="G162" i="3"/>
  <c r="H162" i="3"/>
  <c r="J162" i="3"/>
  <c r="K162" i="3"/>
  <c r="L162" i="3"/>
  <c r="M162" i="3"/>
  <c r="N162" i="3"/>
  <c r="E165" i="3"/>
  <c r="F165" i="3"/>
  <c r="G165" i="3"/>
  <c r="H165" i="3"/>
  <c r="J165" i="3"/>
  <c r="K165" i="3"/>
  <c r="L165" i="3"/>
  <c r="M165" i="3"/>
  <c r="N165" i="3"/>
  <c r="F166" i="3"/>
  <c r="G166" i="3"/>
  <c r="H166" i="3"/>
  <c r="J166" i="3"/>
  <c r="K166" i="3"/>
  <c r="L166" i="3"/>
  <c r="M166" i="3"/>
  <c r="N166" i="3"/>
  <c r="E167" i="3"/>
  <c r="F167" i="3"/>
  <c r="G167" i="3"/>
  <c r="H167" i="3"/>
  <c r="J167" i="3"/>
  <c r="K167" i="3"/>
  <c r="L167" i="3"/>
  <c r="M167" i="3"/>
  <c r="N167" i="3"/>
  <c r="E170" i="3"/>
  <c r="F170" i="3"/>
  <c r="G170" i="3"/>
  <c r="H170" i="3"/>
  <c r="J170" i="3"/>
  <c r="K170" i="3"/>
  <c r="L170" i="3"/>
  <c r="M170" i="3"/>
  <c r="N170" i="3"/>
  <c r="E171" i="3"/>
  <c r="F171" i="3"/>
  <c r="G171" i="3"/>
  <c r="H171" i="3"/>
  <c r="J171" i="3"/>
  <c r="K171" i="3"/>
  <c r="L171" i="3"/>
  <c r="M171" i="3"/>
  <c r="N171" i="3"/>
  <c r="E173" i="3"/>
  <c r="F173" i="3"/>
  <c r="E174" i="3"/>
  <c r="F174" i="3"/>
  <c r="G174" i="3"/>
  <c r="H174" i="3"/>
  <c r="J174" i="3"/>
  <c r="K174" i="3"/>
  <c r="L174" i="3"/>
  <c r="M174" i="3"/>
  <c r="N174" i="3"/>
  <c r="E176" i="3"/>
  <c r="F176" i="3"/>
  <c r="G176" i="3"/>
  <c r="H176" i="3"/>
  <c r="K176" i="3"/>
  <c r="L176" i="3"/>
  <c r="M176" i="3"/>
  <c r="N176" i="3"/>
  <c r="E180" i="3"/>
  <c r="F180" i="3"/>
  <c r="G180" i="3"/>
  <c r="H180" i="3"/>
  <c r="J180" i="3"/>
  <c r="K180" i="3"/>
  <c r="L180" i="3"/>
  <c r="M180" i="3"/>
  <c r="N180" i="3"/>
  <c r="E189" i="3"/>
  <c r="F189" i="3"/>
  <c r="G189" i="3"/>
  <c r="H189" i="3"/>
  <c r="J189" i="3"/>
  <c r="K189" i="3"/>
  <c r="L189" i="3"/>
  <c r="M189" i="3"/>
  <c r="N189" i="3"/>
  <c r="E195" i="3"/>
  <c r="E191" i="3" s="1"/>
  <c r="F195" i="3"/>
  <c r="F191" i="3" s="1"/>
  <c r="G195" i="3"/>
  <c r="G191" i="3" s="1"/>
  <c r="H195" i="3"/>
  <c r="H191" i="3" s="1"/>
  <c r="J195" i="3"/>
  <c r="J191" i="3" s="1"/>
  <c r="K195" i="3"/>
  <c r="K191" i="3" s="1"/>
  <c r="L195" i="3"/>
  <c r="L191" i="3" s="1"/>
  <c r="M195" i="3"/>
  <c r="M191" i="3" s="1"/>
  <c r="N195" i="3"/>
  <c r="N191" i="3" s="1"/>
  <c r="E207" i="3"/>
  <c r="F207" i="3"/>
  <c r="G207" i="3"/>
  <c r="H207" i="3"/>
  <c r="J207" i="3"/>
  <c r="K207" i="3"/>
  <c r="L207" i="3"/>
  <c r="M207" i="3"/>
  <c r="N207" i="3"/>
  <c r="E218" i="3"/>
  <c r="F218" i="3"/>
  <c r="G218" i="3"/>
  <c r="H218" i="3"/>
  <c r="J218" i="3"/>
  <c r="K218" i="3"/>
  <c r="L218" i="3"/>
  <c r="M218" i="3"/>
  <c r="N218" i="3"/>
  <c r="F242" i="3"/>
  <c r="G242" i="3"/>
  <c r="H242" i="3"/>
  <c r="J242" i="3"/>
  <c r="J233" i="3" s="1"/>
  <c r="K242" i="3"/>
  <c r="K233" i="3" s="1"/>
  <c r="L242" i="3"/>
  <c r="L233" i="3" s="1"/>
  <c r="M242" i="3"/>
  <c r="N242" i="3"/>
  <c r="N233" i="3" s="1"/>
  <c r="E254" i="3"/>
  <c r="F254" i="3"/>
  <c r="G254" i="3"/>
  <c r="H254" i="3"/>
  <c r="J254" i="3"/>
  <c r="K254" i="3"/>
  <c r="L254" i="3"/>
  <c r="M254" i="3"/>
  <c r="N254" i="3"/>
  <c r="E264" i="3"/>
  <c r="E263" i="3" s="1"/>
  <c r="F264" i="3"/>
  <c r="F263" i="3" s="1"/>
  <c r="G264" i="3"/>
  <c r="G263" i="3" s="1"/>
  <c r="H264" i="3"/>
  <c r="H263" i="3" s="1"/>
  <c r="J264" i="3"/>
  <c r="J263" i="3" s="1"/>
  <c r="K264" i="3"/>
  <c r="K263" i="3" s="1"/>
  <c r="L264" i="3"/>
  <c r="L263" i="3" s="1"/>
  <c r="M264" i="3"/>
  <c r="M263" i="3" s="1"/>
  <c r="N264" i="3"/>
  <c r="N263" i="3" s="1"/>
  <c r="E265" i="3"/>
  <c r="F265" i="3"/>
  <c r="G265" i="3"/>
  <c r="H265" i="3"/>
  <c r="J265" i="3"/>
  <c r="K265" i="3"/>
  <c r="L265" i="3"/>
  <c r="M265" i="3"/>
  <c r="N265" i="3"/>
  <c r="D267" i="3"/>
  <c r="D266" i="3" s="1"/>
  <c r="E267" i="3"/>
  <c r="E266" i="3" s="1"/>
  <c r="F267" i="3"/>
  <c r="F266" i="3" s="1"/>
  <c r="G267" i="3"/>
  <c r="G266" i="3" s="1"/>
  <c r="H267" i="3"/>
  <c r="H266" i="3" s="1"/>
  <c r="J267" i="3"/>
  <c r="J266" i="3" s="1"/>
  <c r="K267" i="3"/>
  <c r="K266" i="3" s="1"/>
  <c r="L267" i="3"/>
  <c r="L266" i="3" s="1"/>
  <c r="M267" i="3"/>
  <c r="M266" i="3" s="1"/>
  <c r="N267" i="3"/>
  <c r="N266" i="3" s="1"/>
  <c r="J86" i="1"/>
  <c r="J402" i="1"/>
  <c r="J403" i="1"/>
  <c r="J405" i="1"/>
  <c r="J406" i="1"/>
  <c r="J407" i="1"/>
  <c r="J408" i="1"/>
  <c r="J409" i="1"/>
  <c r="J401" i="1"/>
  <c r="J375" i="1"/>
  <c r="J376" i="1"/>
  <c r="J377" i="1"/>
  <c r="J378" i="1"/>
  <c r="J379" i="1"/>
  <c r="J374" i="1"/>
  <c r="J367" i="1"/>
  <c r="J341" i="1"/>
  <c r="J342" i="1"/>
  <c r="J343" i="1"/>
  <c r="J344" i="1"/>
  <c r="J347" i="1"/>
  <c r="J359" i="1"/>
  <c r="J360" i="1"/>
  <c r="J364" i="1"/>
  <c r="J332" i="1"/>
  <c r="J322" i="1"/>
  <c r="J269" i="1"/>
  <c r="J270" i="1"/>
  <c r="J271" i="1"/>
  <c r="I174" i="3"/>
  <c r="J275" i="1"/>
  <c r="J276" i="1"/>
  <c r="J281" i="1"/>
  <c r="I207" i="3"/>
  <c r="J304" i="1"/>
  <c r="J318" i="1"/>
  <c r="J267" i="1"/>
  <c r="J250" i="1"/>
  <c r="J251" i="1"/>
  <c r="J252" i="1"/>
  <c r="J254" i="1"/>
  <c r="J247" i="1"/>
  <c r="J240" i="1"/>
  <c r="J241" i="1"/>
  <c r="J239" i="1"/>
  <c r="J200" i="1"/>
  <c r="J201" i="1"/>
  <c r="J203" i="1"/>
  <c r="J204" i="1"/>
  <c r="J205" i="1"/>
  <c r="J207" i="1"/>
  <c r="J209" i="1"/>
  <c r="J211" i="1"/>
  <c r="J213" i="1"/>
  <c r="J215" i="1"/>
  <c r="J217" i="1"/>
  <c r="J218" i="1"/>
  <c r="J219" i="1"/>
  <c r="J220" i="1"/>
  <c r="J221" i="1"/>
  <c r="J228" i="1"/>
  <c r="J229" i="1"/>
  <c r="J235" i="1"/>
  <c r="J197" i="1"/>
  <c r="J162" i="1"/>
  <c r="J168" i="1"/>
  <c r="J171" i="1"/>
  <c r="J173" i="1"/>
  <c r="J175" i="1"/>
  <c r="J178" i="1"/>
  <c r="J179" i="1"/>
  <c r="J161" i="1"/>
  <c r="J91" i="1"/>
  <c r="J94" i="1"/>
  <c r="J103" i="1"/>
  <c r="J109" i="1"/>
  <c r="J110" i="1"/>
  <c r="J112" i="1"/>
  <c r="J120" i="1"/>
  <c r="J85" i="1"/>
  <c r="J25" i="1"/>
  <c r="J26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I218" i="3"/>
  <c r="J51" i="1"/>
  <c r="J53" i="1"/>
  <c r="J54" i="1"/>
  <c r="J55" i="1"/>
  <c r="J56" i="1"/>
  <c r="J57" i="1"/>
  <c r="J58" i="1"/>
  <c r="J60" i="1"/>
  <c r="J62" i="1"/>
  <c r="I264" i="3"/>
  <c r="I263" i="3" s="1"/>
  <c r="J20" i="1"/>
  <c r="J237" i="1" l="1"/>
  <c r="E168" i="3"/>
  <c r="K168" i="3"/>
  <c r="F168" i="3"/>
  <c r="N168" i="3"/>
  <c r="J168" i="3"/>
  <c r="M168" i="3"/>
  <c r="L168" i="3"/>
  <c r="G168" i="3"/>
  <c r="H168" i="3"/>
  <c r="J246" i="1"/>
  <c r="J17" i="1"/>
  <c r="I175" i="3"/>
  <c r="I133" i="3"/>
  <c r="I17" i="3"/>
  <c r="I36" i="3"/>
  <c r="I69" i="3"/>
  <c r="I49" i="3"/>
  <c r="I106" i="3"/>
  <c r="I141" i="3"/>
  <c r="I134" i="3"/>
  <c r="I155" i="3"/>
  <c r="I190" i="3"/>
  <c r="I189" i="3" s="1"/>
  <c r="I265" i="3"/>
  <c r="I254" i="3"/>
  <c r="I242" i="3"/>
  <c r="I163" i="3"/>
  <c r="I253" i="3"/>
  <c r="I240" i="3"/>
  <c r="I167" i="3"/>
  <c r="I162" i="3"/>
  <c r="I131" i="3"/>
  <c r="I68" i="3"/>
  <c r="I104" i="3"/>
  <c r="I140" i="3"/>
  <c r="I127" i="3"/>
  <c r="I121" i="3"/>
  <c r="I129" i="3"/>
  <c r="I171" i="3"/>
  <c r="I239" i="3"/>
  <c r="I166" i="3"/>
  <c r="I161" i="3"/>
  <c r="I130" i="3"/>
  <c r="I79" i="3"/>
  <c r="I61" i="3"/>
  <c r="I110" i="3"/>
  <c r="I102" i="3"/>
  <c r="I143" i="3"/>
  <c r="I138" i="3"/>
  <c r="I125" i="3"/>
  <c r="I128" i="3"/>
  <c r="I199" i="3"/>
  <c r="I238" i="3"/>
  <c r="I275" i="3"/>
  <c r="I274" i="3" s="1"/>
  <c r="I261" i="3"/>
  <c r="I165" i="3"/>
  <c r="I52" i="3"/>
  <c r="I109" i="3"/>
  <c r="I142" i="3"/>
  <c r="I136" i="3"/>
  <c r="I123" i="3"/>
  <c r="I181" i="3"/>
  <c r="I197" i="3"/>
  <c r="I267" i="3"/>
  <c r="I266" i="3" s="1"/>
  <c r="I180" i="3"/>
  <c r="M111" i="3"/>
  <c r="L111" i="3"/>
  <c r="K111" i="3"/>
  <c r="I244" i="3"/>
  <c r="I71" i="3"/>
  <c r="I235" i="3"/>
  <c r="J400" i="1"/>
  <c r="I283" i="3"/>
  <c r="I93" i="3"/>
  <c r="M86" i="3"/>
  <c r="K86" i="3"/>
  <c r="H86" i="3"/>
  <c r="F86" i="3"/>
  <c r="N86" i="3"/>
  <c r="L86" i="3"/>
  <c r="J86" i="3"/>
  <c r="G86" i="3"/>
  <c r="E86" i="3"/>
  <c r="I152" i="3"/>
  <c r="I262" i="3"/>
  <c r="J358" i="1"/>
  <c r="J357" i="1" s="1"/>
  <c r="G111" i="3"/>
  <c r="H111" i="3"/>
  <c r="F111" i="3"/>
  <c r="K182" i="3"/>
  <c r="H233" i="3"/>
  <c r="H182" i="3" s="1"/>
  <c r="F233" i="3"/>
  <c r="F182" i="3" s="1"/>
  <c r="N182" i="3"/>
  <c r="L182" i="3"/>
  <c r="J182" i="3"/>
  <c r="G233" i="3"/>
  <c r="G182" i="3" s="1"/>
  <c r="I232" i="3"/>
  <c r="I231" i="3" s="1"/>
  <c r="I203" i="3"/>
  <c r="I118" i="3"/>
  <c r="I99" i="3"/>
  <c r="I257" i="3"/>
  <c r="I256" i="3" s="1"/>
  <c r="I170" i="3"/>
  <c r="J373" i="1"/>
  <c r="J353" i="1"/>
  <c r="I158" i="3"/>
  <c r="I156" i="3"/>
  <c r="I157" i="3"/>
  <c r="E166" i="3"/>
  <c r="E159" i="3" s="1"/>
  <c r="I195" i="3"/>
  <c r="L251" i="3"/>
  <c r="J251" i="3"/>
  <c r="G251" i="3"/>
  <c r="I119" i="3"/>
  <c r="I144" i="3"/>
  <c r="N251" i="3"/>
  <c r="H251" i="3"/>
  <c r="M251" i="3"/>
  <c r="M249" i="3" s="1"/>
  <c r="K251" i="3"/>
  <c r="K249" i="3" s="1"/>
  <c r="F251" i="3"/>
  <c r="F249" i="3" s="1"/>
  <c r="E251" i="3"/>
  <c r="E249" i="3" s="1"/>
  <c r="I176" i="3"/>
  <c r="M159" i="3"/>
  <c r="F159" i="3"/>
  <c r="I151" i="3"/>
  <c r="I122" i="3"/>
  <c r="K159" i="3"/>
  <c r="L154" i="3"/>
  <c r="H154" i="3"/>
  <c r="N154" i="3"/>
  <c r="J154" i="3"/>
  <c r="G154" i="3"/>
  <c r="M154" i="3"/>
  <c r="K154" i="3"/>
  <c r="F154" i="3"/>
  <c r="E154" i="3"/>
  <c r="N159" i="3"/>
  <c r="L159" i="3"/>
  <c r="J159" i="3"/>
  <c r="H159" i="3"/>
  <c r="G159" i="3"/>
  <c r="J307" i="1"/>
  <c r="J257" i="1" s="1"/>
  <c r="I191" i="3" l="1"/>
  <c r="J256" i="1"/>
  <c r="J328" i="1"/>
  <c r="I168" i="3"/>
  <c r="K285" i="3"/>
  <c r="F285" i="3"/>
  <c r="I243" i="3"/>
  <c r="I159" i="3"/>
  <c r="I251" i="3"/>
  <c r="I259" i="3"/>
  <c r="G249" i="3"/>
  <c r="G285" i="3" s="1"/>
  <c r="L249" i="3"/>
  <c r="L285" i="3" s="1"/>
  <c r="H249" i="3"/>
  <c r="H285" i="3" s="1"/>
  <c r="N249" i="3"/>
  <c r="J249" i="3"/>
  <c r="I86" i="3"/>
  <c r="I280" i="3"/>
  <c r="I272" i="3" s="1"/>
  <c r="I15" i="3"/>
  <c r="I154" i="3"/>
  <c r="E405" i="1"/>
  <c r="D405" i="1"/>
  <c r="B405" i="1"/>
  <c r="I249" i="3" l="1"/>
  <c r="D261" i="3"/>
  <c r="E242" i="3"/>
  <c r="J184" i="1"/>
  <c r="P405" i="1"/>
  <c r="J151" i="1" l="1"/>
  <c r="O261" i="3"/>
  <c r="I236" i="3"/>
  <c r="I233" i="3" s="1"/>
  <c r="E233" i="3"/>
  <c r="E182" i="3" s="1"/>
  <c r="J150" i="1" l="1"/>
  <c r="I182" i="3"/>
  <c r="C286" i="1"/>
  <c r="D286" i="1"/>
  <c r="B286" i="1"/>
  <c r="D207" i="3" l="1"/>
  <c r="O207" i="3" l="1"/>
  <c r="E140" i="3"/>
  <c r="E111" i="3" s="1"/>
  <c r="E285" i="3" s="1"/>
  <c r="J87" i="1" l="1"/>
  <c r="J69" i="1" s="1"/>
  <c r="J68" i="1" l="1"/>
  <c r="I38" i="3"/>
  <c r="I22" i="3" s="1"/>
  <c r="D55" i="1"/>
  <c r="D364" i="1"/>
  <c r="D307" i="1"/>
  <c r="C250" i="1"/>
  <c r="B250" i="1"/>
  <c r="D240" i="1"/>
  <c r="P408" i="1"/>
  <c r="E402" i="1"/>
  <c r="E406" i="1"/>
  <c r="E407" i="1"/>
  <c r="D275" i="3"/>
  <c r="D274" i="3" s="1"/>
  <c r="K399" i="1"/>
  <c r="L399" i="1"/>
  <c r="M399" i="1"/>
  <c r="N399" i="1"/>
  <c r="O399" i="1"/>
  <c r="F399" i="1"/>
  <c r="G399" i="1"/>
  <c r="H399" i="1"/>
  <c r="I399" i="1"/>
  <c r="E375" i="1"/>
  <c r="E376" i="1"/>
  <c r="E377" i="1"/>
  <c r="E378" i="1"/>
  <c r="E379" i="1"/>
  <c r="E374" i="1"/>
  <c r="K372" i="1"/>
  <c r="L372" i="1"/>
  <c r="M372" i="1"/>
  <c r="N372" i="1"/>
  <c r="O372" i="1"/>
  <c r="F372" i="1"/>
  <c r="G372" i="1"/>
  <c r="H372" i="1"/>
  <c r="I372" i="1"/>
  <c r="J366" i="1"/>
  <c r="J365" i="1" s="1"/>
  <c r="E367" i="1"/>
  <c r="K366" i="1"/>
  <c r="K365" i="1" s="1"/>
  <c r="L366" i="1"/>
  <c r="L365" i="1" s="1"/>
  <c r="M366" i="1"/>
  <c r="M365" i="1" s="1"/>
  <c r="N366" i="1"/>
  <c r="N365" i="1" s="1"/>
  <c r="O366" i="1"/>
  <c r="O365" i="1" s="1"/>
  <c r="F366" i="1"/>
  <c r="F365" i="1" s="1"/>
  <c r="G366" i="1"/>
  <c r="G365" i="1" s="1"/>
  <c r="H366" i="1"/>
  <c r="H365" i="1" s="1"/>
  <c r="I366" i="1"/>
  <c r="I365" i="1" s="1"/>
  <c r="E360" i="1"/>
  <c r="E364" i="1"/>
  <c r="E359" i="1"/>
  <c r="K357" i="1"/>
  <c r="L357" i="1"/>
  <c r="M357" i="1"/>
  <c r="N357" i="1"/>
  <c r="O357" i="1"/>
  <c r="F357" i="1"/>
  <c r="G357" i="1"/>
  <c r="H357" i="1"/>
  <c r="I357" i="1"/>
  <c r="D180" i="3"/>
  <c r="E342" i="1"/>
  <c r="E343" i="1"/>
  <c r="E344" i="1"/>
  <c r="E347" i="1"/>
  <c r="E353" i="1"/>
  <c r="E332" i="1"/>
  <c r="E328" i="1" s="1"/>
  <c r="K327" i="1"/>
  <c r="M327" i="1"/>
  <c r="N327" i="1"/>
  <c r="O327" i="1"/>
  <c r="F327" i="1"/>
  <c r="G327" i="1"/>
  <c r="H327" i="1"/>
  <c r="J321" i="1"/>
  <c r="J320" i="1" s="1"/>
  <c r="E322" i="1"/>
  <c r="K321" i="1"/>
  <c r="K320" i="1" s="1"/>
  <c r="L321" i="1"/>
  <c r="L320" i="1" s="1"/>
  <c r="M321" i="1"/>
  <c r="M320" i="1" s="1"/>
  <c r="N321" i="1"/>
  <c r="N320" i="1" s="1"/>
  <c r="O321" i="1"/>
  <c r="O320" i="1" s="1"/>
  <c r="F321" i="1"/>
  <c r="F320" i="1" s="1"/>
  <c r="G321" i="1"/>
  <c r="G320" i="1" s="1"/>
  <c r="H321" i="1"/>
  <c r="H320" i="1" s="1"/>
  <c r="I321" i="1"/>
  <c r="I320" i="1" s="1"/>
  <c r="E269" i="1"/>
  <c r="E270" i="1"/>
  <c r="E271" i="1"/>
  <c r="E273" i="1"/>
  <c r="E274" i="1"/>
  <c r="E276" i="1"/>
  <c r="E280" i="1"/>
  <c r="E283" i="1"/>
  <c r="E304" i="1"/>
  <c r="E307" i="1"/>
  <c r="P312" i="1"/>
  <c r="E318" i="1"/>
  <c r="E267" i="1"/>
  <c r="E254" i="1"/>
  <c r="K245" i="1"/>
  <c r="L245" i="1"/>
  <c r="M245" i="1"/>
  <c r="N245" i="1"/>
  <c r="F245" i="1"/>
  <c r="G245" i="1"/>
  <c r="H245" i="1"/>
  <c r="E240" i="1"/>
  <c r="E241" i="1"/>
  <c r="E239" i="1"/>
  <c r="K236" i="1"/>
  <c r="L236" i="1"/>
  <c r="M236" i="1"/>
  <c r="N236" i="1"/>
  <c r="O236" i="1"/>
  <c r="F236" i="1"/>
  <c r="G236" i="1"/>
  <c r="H236" i="1"/>
  <c r="I236" i="1"/>
  <c r="E199" i="1"/>
  <c r="E200" i="1"/>
  <c r="E201" i="1"/>
  <c r="E203" i="1"/>
  <c r="E204" i="1"/>
  <c r="E205" i="1"/>
  <c r="E207" i="1"/>
  <c r="E211" i="1"/>
  <c r="E213" i="1"/>
  <c r="E215" i="1"/>
  <c r="E217" i="1"/>
  <c r="E218" i="1"/>
  <c r="E219" i="1"/>
  <c r="E220" i="1"/>
  <c r="E221" i="1"/>
  <c r="E228" i="1"/>
  <c r="E229" i="1"/>
  <c r="E235" i="1"/>
  <c r="E197" i="1"/>
  <c r="D93" i="3"/>
  <c r="E168" i="1"/>
  <c r="E171" i="1"/>
  <c r="E173" i="1"/>
  <c r="E175" i="1"/>
  <c r="E178" i="1"/>
  <c r="D110" i="3"/>
  <c r="E184" i="1"/>
  <c r="E161" i="1"/>
  <c r="K68" i="1"/>
  <c r="L68" i="1"/>
  <c r="M68" i="1"/>
  <c r="N68" i="1"/>
  <c r="O68" i="1"/>
  <c r="F68" i="1"/>
  <c r="G68" i="1"/>
  <c r="H68" i="1"/>
  <c r="I68" i="1"/>
  <c r="D52" i="3"/>
  <c r="D61" i="3"/>
  <c r="D68" i="3"/>
  <c r="D69" i="3"/>
  <c r="D71" i="3"/>
  <c r="D79" i="3"/>
  <c r="E22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50" i="1"/>
  <c r="E51" i="1"/>
  <c r="E53" i="1"/>
  <c r="E54" i="1"/>
  <c r="E55" i="1"/>
  <c r="E56" i="1"/>
  <c r="E57" i="1"/>
  <c r="E58" i="1"/>
  <c r="E60" i="1"/>
  <c r="E62" i="1"/>
  <c r="E63" i="1"/>
  <c r="K16" i="1"/>
  <c r="M16" i="1"/>
  <c r="N16" i="1"/>
  <c r="O16" i="1"/>
  <c r="G16" i="1"/>
  <c r="H16" i="1"/>
  <c r="I16" i="1"/>
  <c r="L16" i="1"/>
  <c r="E257" i="1" l="1"/>
  <c r="E256" i="1" s="1"/>
  <c r="E246" i="1"/>
  <c r="E245" i="1" s="1"/>
  <c r="I413" i="1"/>
  <c r="I458" i="1" s="1"/>
  <c r="E237" i="1"/>
  <c r="E236" i="1" s="1"/>
  <c r="E400" i="1"/>
  <c r="E399" i="1" s="1"/>
  <c r="E191" i="1"/>
  <c r="E190" i="1" s="1"/>
  <c r="E151" i="1"/>
  <c r="E327" i="1"/>
  <c r="E17" i="1"/>
  <c r="E16" i="1" s="1"/>
  <c r="F413" i="1"/>
  <c r="F458" i="1" s="1"/>
  <c r="G413" i="1"/>
  <c r="G458" i="1" s="1"/>
  <c r="H413" i="1"/>
  <c r="H458" i="1" s="1"/>
  <c r="M413" i="1"/>
  <c r="M458" i="1" s="1"/>
  <c r="D133" i="3"/>
  <c r="E321" i="1"/>
  <c r="E320" i="1" s="1"/>
  <c r="E366" i="1"/>
  <c r="E365" i="1" s="1"/>
  <c r="K413" i="1"/>
  <c r="K463" i="1" s="1"/>
  <c r="P283" i="1"/>
  <c r="P307" i="1"/>
  <c r="D17" i="3"/>
  <c r="D109" i="3"/>
  <c r="D123" i="3"/>
  <c r="D129" i="3"/>
  <c r="D173" i="3"/>
  <c r="D238" i="3"/>
  <c r="D253" i="3"/>
  <c r="D240" i="3"/>
  <c r="D131" i="3"/>
  <c r="D106" i="3"/>
  <c r="D128" i="3"/>
  <c r="D199" i="3"/>
  <c r="D265" i="3"/>
  <c r="D140" i="3"/>
  <c r="D170" i="3"/>
  <c r="D197" i="3"/>
  <c r="D190" i="3"/>
  <c r="D189" i="3" s="1"/>
  <c r="D130" i="3"/>
  <c r="D104" i="3"/>
  <c r="D102" i="3"/>
  <c r="D138" i="3"/>
  <c r="D125" i="3"/>
  <c r="D239" i="3"/>
  <c r="D143" i="3"/>
  <c r="D142" i="3"/>
  <c r="D141" i="3"/>
  <c r="D121" i="3"/>
  <c r="D117" i="3"/>
  <c r="D242" i="3"/>
  <c r="D165" i="3"/>
  <c r="D162" i="3"/>
  <c r="D161" i="3"/>
  <c r="D19" i="3"/>
  <c r="D254" i="3"/>
  <c r="E68" i="1"/>
  <c r="D244" i="3"/>
  <c r="D36" i="3"/>
  <c r="D181" i="3"/>
  <c r="D235" i="3"/>
  <c r="D236" i="3"/>
  <c r="D283" i="3"/>
  <c r="O267" i="3"/>
  <c r="O266" i="3" s="1"/>
  <c r="D264" i="3"/>
  <c r="D263" i="3" s="1"/>
  <c r="D38" i="3"/>
  <c r="D49" i="3"/>
  <c r="D262" i="3"/>
  <c r="D259" i="3" s="1"/>
  <c r="D152" i="3"/>
  <c r="E358" i="1"/>
  <c r="E357" i="1" s="1"/>
  <c r="D134" i="3"/>
  <c r="P30" i="1"/>
  <c r="O133" i="3" s="1"/>
  <c r="D167" i="3"/>
  <c r="E373" i="1"/>
  <c r="E372" i="1" s="1"/>
  <c r="D163" i="3"/>
  <c r="D155" i="3"/>
  <c r="D127" i="3"/>
  <c r="D243" i="3"/>
  <c r="D166" i="3"/>
  <c r="D232" i="3"/>
  <c r="D231" i="3" s="1"/>
  <c r="D203" i="3"/>
  <c r="P229" i="1"/>
  <c r="P269" i="1"/>
  <c r="D118" i="3"/>
  <c r="D99" i="3"/>
  <c r="D174" i="3"/>
  <c r="D257" i="3"/>
  <c r="D256" i="3" s="1"/>
  <c r="D175" i="3"/>
  <c r="P318" i="1"/>
  <c r="D171" i="3"/>
  <c r="D176" i="3"/>
  <c r="D136" i="3"/>
  <c r="P267" i="1"/>
  <c r="O245" i="1"/>
  <c r="O413" i="1" s="1"/>
  <c r="D157" i="3"/>
  <c r="D144" i="3"/>
  <c r="D195" i="3"/>
  <c r="D158" i="3"/>
  <c r="D156" i="3"/>
  <c r="J245" i="1"/>
  <c r="P235" i="1"/>
  <c r="D151" i="3"/>
  <c r="D122" i="3"/>
  <c r="D119" i="3"/>
  <c r="P20" i="1"/>
  <c r="P62" i="1"/>
  <c r="P58" i="1"/>
  <c r="P56" i="1"/>
  <c r="P54" i="1"/>
  <c r="P51" i="1"/>
  <c r="P120" i="1"/>
  <c r="P112" i="1"/>
  <c r="P110" i="1"/>
  <c r="P94" i="1"/>
  <c r="P91" i="1"/>
  <c r="P87" i="1"/>
  <c r="P161" i="1"/>
  <c r="P220" i="1"/>
  <c r="P218" i="1"/>
  <c r="P215" i="1"/>
  <c r="P211" i="1"/>
  <c r="P207" i="1"/>
  <c r="P204" i="1"/>
  <c r="P201" i="1"/>
  <c r="P280" i="1"/>
  <c r="P275" i="1"/>
  <c r="O175" i="3" s="1"/>
  <c r="P271" i="1"/>
  <c r="P343" i="1"/>
  <c r="P409" i="1"/>
  <c r="P63" i="1"/>
  <c r="P60" i="1"/>
  <c r="P57" i="1"/>
  <c r="P55" i="1"/>
  <c r="P53" i="1"/>
  <c r="P50" i="1"/>
  <c r="P109" i="1"/>
  <c r="P103" i="1"/>
  <c r="P197" i="1"/>
  <c r="P221" i="1"/>
  <c r="P219" i="1"/>
  <c r="P217" i="1"/>
  <c r="P213" i="1"/>
  <c r="P209" i="1"/>
  <c r="P205" i="1"/>
  <c r="P203" i="1"/>
  <c r="P200" i="1"/>
  <c r="P276" i="1"/>
  <c r="P274" i="1"/>
  <c r="P273" i="1"/>
  <c r="P344" i="1"/>
  <c r="P401" i="1"/>
  <c r="P304" i="1"/>
  <c r="P359" i="1"/>
  <c r="P360" i="1"/>
  <c r="P377" i="1"/>
  <c r="J372" i="1"/>
  <c r="P406" i="1"/>
  <c r="P402" i="1"/>
  <c r="P241" i="1"/>
  <c r="P240" i="1"/>
  <c r="P45" i="1"/>
  <c r="O222" i="3" s="1"/>
  <c r="P38" i="1"/>
  <c r="P36" i="1"/>
  <c r="P34" i="1"/>
  <c r="P32" i="1"/>
  <c r="P27" i="1"/>
  <c r="P25" i="1"/>
  <c r="P247" i="1"/>
  <c r="P353" i="1"/>
  <c r="P367" i="1"/>
  <c r="P366" i="1" s="1"/>
  <c r="P365" i="1" s="1"/>
  <c r="P378" i="1"/>
  <c r="P376" i="1"/>
  <c r="P375" i="1"/>
  <c r="P379" i="1"/>
  <c r="P281" i="1"/>
  <c r="P41" i="1"/>
  <c r="P39" i="1"/>
  <c r="P37" i="1"/>
  <c r="P35" i="1"/>
  <c r="P31" i="1"/>
  <c r="P28" i="1"/>
  <c r="P26" i="1"/>
  <c r="P184" i="1"/>
  <c r="P179" i="1"/>
  <c r="P178" i="1"/>
  <c r="P175" i="1"/>
  <c r="P173" i="1"/>
  <c r="P171" i="1"/>
  <c r="P168" i="1"/>
  <c r="P162" i="1"/>
  <c r="J236" i="1"/>
  <c r="P252" i="1"/>
  <c r="P254" i="1"/>
  <c r="P249" i="1"/>
  <c r="P347" i="1"/>
  <c r="P342" i="1"/>
  <c r="P22" i="1"/>
  <c r="P33" i="1"/>
  <c r="P270" i="1"/>
  <c r="P364" i="1"/>
  <c r="P40" i="1"/>
  <c r="P86" i="1"/>
  <c r="P239" i="1"/>
  <c r="P251" i="1"/>
  <c r="P250" i="1"/>
  <c r="P403" i="1"/>
  <c r="P332" i="1"/>
  <c r="P407" i="1"/>
  <c r="J399" i="1"/>
  <c r="P374" i="1"/>
  <c r="P322" i="1"/>
  <c r="P321" i="1" s="1"/>
  <c r="P320" i="1" s="1"/>
  <c r="P85" i="1"/>
  <c r="J16" i="1"/>
  <c r="P228" i="1"/>
  <c r="D191" i="3" l="1"/>
  <c r="P257" i="1"/>
  <c r="P69" i="1"/>
  <c r="P68" i="1" s="1"/>
  <c r="D22" i="3"/>
  <c r="P237" i="1"/>
  <c r="P246" i="1"/>
  <c r="P256" i="1"/>
  <c r="P151" i="1"/>
  <c r="P150" i="1" s="1"/>
  <c r="D15" i="3"/>
  <c r="P17" i="1"/>
  <c r="D168" i="3"/>
  <c r="E300" i="3"/>
  <c r="O17" i="3"/>
  <c r="E150" i="1"/>
  <c r="D251" i="3"/>
  <c r="D249" i="3" s="1"/>
  <c r="D86" i="3"/>
  <c r="O102" i="3"/>
  <c r="O110" i="3"/>
  <c r="O128" i="3"/>
  <c r="O123" i="3"/>
  <c r="O253" i="3"/>
  <c r="O197" i="3"/>
  <c r="O138" i="3"/>
  <c r="O170" i="3"/>
  <c r="O104" i="3"/>
  <c r="O239" i="3"/>
  <c r="O238" i="3"/>
  <c r="O232" i="3"/>
  <c r="O231" i="3" s="1"/>
  <c r="O265" i="3"/>
  <c r="O129" i="3"/>
  <c r="O127" i="3"/>
  <c r="O93" i="3"/>
  <c r="O106" i="3"/>
  <c r="O130" i="3"/>
  <c r="O199" i="3"/>
  <c r="O136" i="3"/>
  <c r="O240" i="3"/>
  <c r="O125" i="3"/>
  <c r="O109" i="3"/>
  <c r="O131" i="3"/>
  <c r="O190" i="3"/>
  <c r="O189" i="3" s="1"/>
  <c r="O218" i="3"/>
  <c r="O173" i="3"/>
  <c r="O140" i="3"/>
  <c r="O275" i="3"/>
  <c r="O274" i="3" s="1"/>
  <c r="O143" i="3"/>
  <c r="O142" i="3"/>
  <c r="O141" i="3"/>
  <c r="O121" i="3"/>
  <c r="O242" i="3"/>
  <c r="O166" i="3"/>
  <c r="O165" i="3"/>
  <c r="O163" i="3"/>
  <c r="O162" i="3"/>
  <c r="O161" i="3"/>
  <c r="O19" i="3"/>
  <c r="O254" i="3"/>
  <c r="O52" i="3"/>
  <c r="O68" i="3"/>
  <c r="O71" i="3"/>
  <c r="O61" i="3"/>
  <c r="O69" i="3"/>
  <c r="O79" i="3"/>
  <c r="L300" i="3"/>
  <c r="F300" i="3"/>
  <c r="H300" i="3"/>
  <c r="G300" i="3"/>
  <c r="D111" i="3"/>
  <c r="O244" i="3"/>
  <c r="O36" i="3"/>
  <c r="D233" i="3"/>
  <c r="D182" i="3" s="1"/>
  <c r="O235" i="3"/>
  <c r="M427" i="1"/>
  <c r="I427" i="1"/>
  <c r="H427" i="1"/>
  <c r="G427" i="1"/>
  <c r="K419" i="1"/>
  <c r="F427" i="1"/>
  <c r="O181" i="3"/>
  <c r="O236" i="3"/>
  <c r="P400" i="1"/>
  <c r="O283" i="3"/>
  <c r="O280" i="3" s="1"/>
  <c r="O272" i="3" s="1"/>
  <c r="O264" i="3"/>
  <c r="O263" i="3" s="1"/>
  <c r="O38" i="3"/>
  <c r="O171" i="3"/>
  <c r="O152" i="3"/>
  <c r="O203" i="3"/>
  <c r="O49" i="3"/>
  <c r="P358" i="1"/>
  <c r="O262" i="3"/>
  <c r="O259" i="3" s="1"/>
  <c r="O134" i="3"/>
  <c r="O167" i="3"/>
  <c r="D280" i="3"/>
  <c r="D272" i="3" s="1"/>
  <c r="O243" i="3"/>
  <c r="D159" i="3"/>
  <c r="O155" i="3"/>
  <c r="O144" i="3"/>
  <c r="O118" i="3"/>
  <c r="O99" i="3"/>
  <c r="O174" i="3"/>
  <c r="O257" i="3"/>
  <c r="O256" i="3" s="1"/>
  <c r="P373" i="1"/>
  <c r="O195" i="3"/>
  <c r="O151" i="3"/>
  <c r="D154" i="3"/>
  <c r="O176" i="3"/>
  <c r="O158" i="3"/>
  <c r="O157" i="3"/>
  <c r="O122" i="3"/>
  <c r="O156" i="3"/>
  <c r="O119" i="3"/>
  <c r="L327" i="1"/>
  <c r="L413" i="1" s="1"/>
  <c r="L458" i="1" s="1"/>
  <c r="O191" i="3" l="1"/>
  <c r="E413" i="1"/>
  <c r="E463" i="1" s="1"/>
  <c r="D285" i="3"/>
  <c r="O251" i="3"/>
  <c r="O249" i="3" s="1"/>
  <c r="O86" i="3"/>
  <c r="O159" i="3"/>
  <c r="O15" i="3"/>
  <c r="O22" i="3"/>
  <c r="O233" i="3"/>
  <c r="O154" i="3"/>
  <c r="P341" i="1"/>
  <c r="P328" i="1" s="1"/>
  <c r="J327" i="1"/>
  <c r="E458" i="1" l="1"/>
  <c r="F439" i="1"/>
  <c r="E419" i="1"/>
  <c r="E439" i="1" s="1"/>
  <c r="E443" i="1" s="1"/>
  <c r="K439" i="1" s="1"/>
  <c r="K445" i="1" s="1"/>
  <c r="K300" i="3"/>
  <c r="L427" i="1"/>
  <c r="O182" i="3"/>
  <c r="O180" i="3"/>
  <c r="O168" i="3" s="1"/>
  <c r="G439" i="1" l="1"/>
  <c r="E441" i="1"/>
  <c r="F441" i="1" s="1"/>
  <c r="D300" i="3"/>
  <c r="J439" i="1"/>
  <c r="J445" i="1" s="1"/>
  <c r="L445" i="1" s="1"/>
  <c r="E427" i="1"/>
  <c r="J117" i="3"/>
  <c r="J111" i="3" s="1"/>
  <c r="J285" i="3" s="1"/>
  <c r="K458" i="1" s="1"/>
  <c r="N117" i="3"/>
  <c r="N111" i="3" s="1"/>
  <c r="N285" i="3" s="1"/>
  <c r="O458" i="1" s="1"/>
  <c r="J199" i="1"/>
  <c r="J191" i="1" l="1"/>
  <c r="J190" i="1" s="1"/>
  <c r="J413" i="1" s="1"/>
  <c r="J463" i="1" s="1"/>
  <c r="K448" i="1"/>
  <c r="I117" i="3"/>
  <c r="P199" i="1"/>
  <c r="P191" i="1" s="1"/>
  <c r="P16" i="1"/>
  <c r="P357" i="1"/>
  <c r="P399" i="1"/>
  <c r="P190" i="1" l="1"/>
  <c r="N300" i="3"/>
  <c r="J300" i="3"/>
  <c r="I111" i="3"/>
  <c r="I285" i="3" s="1"/>
  <c r="J458" i="1" s="1"/>
  <c r="O427" i="1"/>
  <c r="K427" i="1"/>
  <c r="K450" i="1"/>
  <c r="K451" i="1" s="1"/>
  <c r="K452" i="1" s="1"/>
  <c r="O117" i="3"/>
  <c r="O111" i="3" s="1"/>
  <c r="O285" i="3" s="1"/>
  <c r="P372" i="1"/>
  <c r="P327" i="1"/>
  <c r="P245" i="1"/>
  <c r="P236" i="1"/>
  <c r="P413" i="1" l="1"/>
  <c r="I300" i="3"/>
  <c r="J419" i="1"/>
  <c r="C58" i="1"/>
  <c r="P458" i="1" l="1"/>
  <c r="P463" i="1"/>
  <c r="O300" i="3"/>
  <c r="P419" i="1"/>
  <c r="P427" i="1"/>
  <c r="J448" i="1"/>
  <c r="J427" i="1"/>
  <c r="C403" i="1"/>
  <c r="D403" i="1"/>
  <c r="B403" i="1"/>
  <c r="C305" i="1"/>
  <c r="D305" i="1"/>
  <c r="B305" i="1"/>
  <c r="J450" i="1" l="1"/>
  <c r="J451" i="1" s="1"/>
  <c r="C203" i="1"/>
  <c r="D203" i="1"/>
  <c r="B203" i="1"/>
  <c r="C33" i="1"/>
  <c r="B33" i="1"/>
  <c r="B175" i="1"/>
  <c r="C175" i="1"/>
  <c r="D175" i="1"/>
  <c r="B213" i="1"/>
  <c r="C213" i="1"/>
  <c r="B215" i="1"/>
  <c r="C215" i="1"/>
  <c r="C207" i="1"/>
  <c r="D207" i="1"/>
  <c r="B207" i="1"/>
  <c r="C364" i="1"/>
  <c r="B364" i="1"/>
  <c r="C360" i="1"/>
  <c r="D360" i="1"/>
  <c r="B360" i="1"/>
  <c r="D179" i="1"/>
  <c r="C179" i="1"/>
  <c r="B179" i="1"/>
  <c r="C178" i="1"/>
  <c r="D178" i="1"/>
  <c r="B178" i="1"/>
  <c r="C55" i="1"/>
  <c r="B55" i="1"/>
  <c r="C235" i="1"/>
  <c r="B235" i="1"/>
  <c r="C228" i="1"/>
  <c r="D228" i="1"/>
  <c r="C229" i="1"/>
  <c r="B229" i="1"/>
  <c r="B228" i="1"/>
  <c r="C221" i="1"/>
  <c r="D221" i="1"/>
  <c r="B221" i="1"/>
  <c r="C220" i="1"/>
  <c r="D220" i="1"/>
  <c r="B220" i="1"/>
  <c r="C219" i="1"/>
  <c r="B219" i="1"/>
  <c r="C218" i="1"/>
  <c r="D218" i="1"/>
  <c r="B218" i="1"/>
  <c r="C217" i="1"/>
  <c r="D217" i="1"/>
  <c r="B217" i="1"/>
  <c r="C211" i="1"/>
  <c r="D211" i="1"/>
  <c r="B211" i="1"/>
  <c r="C209" i="1"/>
  <c r="D209" i="1"/>
  <c r="B209" i="1"/>
  <c r="C205" i="1"/>
  <c r="D205" i="1"/>
  <c r="B205" i="1"/>
  <c r="C204" i="1"/>
  <c r="D204" i="1"/>
  <c r="B204" i="1"/>
  <c r="C201" i="1"/>
  <c r="B201" i="1"/>
  <c r="C200" i="1"/>
  <c r="B200" i="1"/>
  <c r="C199" i="1"/>
  <c r="D199" i="1"/>
  <c r="B199" i="1"/>
  <c r="C184" i="1"/>
  <c r="B184" i="1"/>
  <c r="C173" i="1"/>
  <c r="D173" i="1"/>
  <c r="B173" i="1"/>
  <c r="C171" i="1"/>
  <c r="B171" i="1"/>
  <c r="C168" i="1"/>
  <c r="B168" i="1"/>
  <c r="C162" i="1"/>
  <c r="B162" i="1"/>
  <c r="C110" i="1"/>
  <c r="C112" i="1"/>
  <c r="C87" i="1"/>
  <c r="B87" i="1"/>
  <c r="C86" i="1"/>
  <c r="B86" i="1"/>
  <c r="C63" i="1"/>
  <c r="D63" i="1"/>
  <c r="B63" i="1"/>
  <c r="C62" i="1"/>
  <c r="D62" i="1"/>
  <c r="B62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1" i="1"/>
  <c r="D51" i="1"/>
  <c r="B51" i="1"/>
  <c r="C50" i="1"/>
  <c r="B50" i="1"/>
  <c r="C45" i="1"/>
  <c r="D45" i="1"/>
  <c r="B45" i="1"/>
  <c r="C31" i="1"/>
  <c r="C32" i="1"/>
  <c r="B32" i="1"/>
  <c r="B31" i="1"/>
  <c r="C34" i="1"/>
  <c r="C35" i="1"/>
  <c r="B34" i="1"/>
  <c r="C41" i="1"/>
  <c r="D41" i="1"/>
  <c r="B41" i="1"/>
  <c r="C40" i="1"/>
  <c r="B40" i="1"/>
  <c r="C39" i="1"/>
  <c r="B39" i="1"/>
  <c r="C38" i="1"/>
  <c r="B38" i="1"/>
  <c r="C37" i="1"/>
  <c r="B37" i="1"/>
  <c r="C36" i="1"/>
  <c r="B36" i="1"/>
  <c r="C30" i="1"/>
  <c r="B30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241" i="1"/>
  <c r="C241" i="1"/>
  <c r="B241" i="1"/>
  <c r="C249" i="1"/>
  <c r="D249" i="1"/>
  <c r="B249" i="1"/>
  <c r="C251" i="1"/>
  <c r="D251" i="1"/>
  <c r="C252" i="1"/>
  <c r="D252" i="1"/>
  <c r="B252" i="1"/>
  <c r="B251" i="1"/>
  <c r="C254" i="1"/>
  <c r="B254" i="1"/>
  <c r="C269" i="1"/>
  <c r="D269" i="1"/>
  <c r="B269" i="1"/>
  <c r="C274" i="1"/>
  <c r="D274" i="1"/>
  <c r="B274" i="1"/>
  <c r="C273" i="1"/>
  <c r="D273" i="1"/>
  <c r="B273" i="1"/>
  <c r="C271" i="1"/>
  <c r="D271" i="1"/>
  <c r="B271" i="1"/>
  <c r="C270" i="1"/>
  <c r="D270" i="1"/>
  <c r="B270" i="1"/>
  <c r="C275" i="1"/>
  <c r="D275" i="1"/>
  <c r="B275" i="1"/>
  <c r="C276" i="1"/>
  <c r="D276" i="1"/>
  <c r="B276" i="1"/>
  <c r="C280" i="1"/>
  <c r="D280" i="1"/>
  <c r="B280" i="1"/>
  <c r="C281" i="1"/>
  <c r="B281" i="1"/>
  <c r="C283" i="1"/>
  <c r="B283" i="1"/>
  <c r="C304" i="1"/>
  <c r="B304" i="1"/>
  <c r="C312" i="1"/>
  <c r="D312" i="1"/>
  <c r="B312" i="1"/>
  <c r="C318" i="1"/>
  <c r="B318" i="1"/>
  <c r="C337" i="1"/>
  <c r="D337" i="1"/>
  <c r="B337" i="1"/>
  <c r="C341" i="1"/>
  <c r="B341" i="1"/>
  <c r="C342" i="1"/>
  <c r="B342" i="1"/>
  <c r="C344" i="1"/>
  <c r="B344" i="1"/>
  <c r="C343" i="1"/>
  <c r="B343" i="1"/>
  <c r="C347" i="1"/>
  <c r="B347" i="1"/>
  <c r="C353" i="1"/>
  <c r="B353" i="1"/>
  <c r="C375" i="1"/>
  <c r="D375" i="1"/>
  <c r="B375" i="1"/>
  <c r="C376" i="1"/>
  <c r="D376" i="1"/>
  <c r="B376" i="1"/>
  <c r="C377" i="1"/>
  <c r="D377" i="1"/>
  <c r="B377" i="1"/>
  <c r="C378" i="1"/>
  <c r="D378" i="1"/>
  <c r="B378" i="1"/>
  <c r="C379" i="1"/>
  <c r="D379" i="1"/>
  <c r="B379" i="1"/>
  <c r="C402" i="1"/>
  <c r="B402" i="1"/>
  <c r="C406" i="1"/>
  <c r="D406" i="1"/>
  <c r="B406" i="1"/>
  <c r="C407" i="1"/>
  <c r="D407" i="1"/>
  <c r="B407" i="1"/>
  <c r="C408" i="1"/>
  <c r="D408" i="1"/>
  <c r="C409" i="1"/>
  <c r="D409" i="1"/>
  <c r="B409" i="1"/>
  <c r="C401" i="1"/>
  <c r="B401" i="1"/>
  <c r="C374" i="1"/>
  <c r="B374" i="1"/>
  <c r="C367" i="1"/>
  <c r="B367" i="1"/>
  <c r="C359" i="1"/>
  <c r="B359" i="1"/>
  <c r="C332" i="1"/>
  <c r="B332" i="1"/>
  <c r="C322" i="1"/>
  <c r="B322" i="1"/>
  <c r="C267" i="1"/>
  <c r="B267" i="1"/>
  <c r="C247" i="1"/>
  <c r="B247" i="1"/>
  <c r="C239" i="1"/>
  <c r="B239" i="1"/>
  <c r="C197" i="1"/>
  <c r="B197" i="1"/>
  <c r="C161" i="1"/>
  <c r="B161" i="1"/>
  <c r="C85" i="1"/>
  <c r="B85" i="1"/>
  <c r="C20" i="1"/>
  <c r="B20" i="1"/>
  <c r="J452" i="1" l="1"/>
  <c r="L451" i="1"/>
  <c r="E88" i="3"/>
  <c r="D88" i="3" l="1"/>
  <c r="I88" i="3"/>
  <c r="O88" i="3" l="1"/>
  <c r="D87" i="3" l="1"/>
  <c r="I90" i="3"/>
  <c r="I89" i="3"/>
  <c r="O90" i="3"/>
  <c r="O89" i="3" l="1"/>
  <c r="I87" i="3"/>
  <c r="O87" i="3" l="1"/>
  <c r="D219" i="3" l="1"/>
  <c r="I302" i="3" l="1"/>
  <c r="J429" i="1"/>
  <c r="O219" i="3"/>
  <c r="D302" i="3" l="1"/>
  <c r="E429" i="1"/>
  <c r="O302" i="3"/>
  <c r="E428" i="1"/>
  <c r="D301" i="3"/>
  <c r="D183" i="3"/>
  <c r="P429" i="1" l="1"/>
  <c r="J459" i="1"/>
  <c r="P459" i="1"/>
  <c r="I301" i="3" l="1"/>
  <c r="O301" i="3"/>
  <c r="P428" i="1"/>
  <c r="J428" i="1"/>
  <c r="O183" i="3"/>
  <c r="I183" i="3"/>
  <c r="N458" i="1"/>
  <c r="N427" i="1"/>
  <c r="N413" i="1"/>
  <c r="M240" i="3"/>
  <c r="M233" i="3"/>
  <c r="M182" i="3"/>
  <c r="M285" i="3"/>
  <c r="M300" i="3"/>
  <c r="N305" i="1"/>
  <c r="N257" i="1"/>
  <c r="N256" i="1"/>
</calcChain>
</file>

<file path=xl/sharedStrings.xml><?xml version="1.0" encoding="utf-8"?>
<sst xmlns="http://schemas.openxmlformats.org/spreadsheetml/2006/main" count="1230" uniqueCount="740">
  <si>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</si>
  <si>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</si>
  <si>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</si>
  <si>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</si>
  <si>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</si>
  <si>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</si>
  <si>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</si>
  <si>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</si>
  <si>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</si>
  <si>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</si>
  <si>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</si>
  <si>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</si>
  <si>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</si>
  <si>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</si>
  <si>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</si>
  <si>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</si>
  <si>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</si>
  <si>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</si>
  <si>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</si>
  <si>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</si>
  <si>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</si>
  <si>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</si>
  <si>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</si>
  <si>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</si>
  <si>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</si>
  <si>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</si>
  <si>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</si>
  <si>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</si>
  <si>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</si>
  <si>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</si>
  <si>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</si>
  <si>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</si>
  <si>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</si>
  <si>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</si>
  <si>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</si>
  <si>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</si>
  <si>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</si>
  <si>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</si>
  <si>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</si>
  <si>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</si>
  <si>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</si>
  <si>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</si>
  <si>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</si>
  <si>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</si>
  <si>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</si>
  <si>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</si>
  <si>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</si>
  <si>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</si>
  <si>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</si>
  <si>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</si>
  <si>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</si>
  <si>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</si>
  <si>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</si>
  <si>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</si>
  <si>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</si>
  <si>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</si>
  <si>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</si>
  <si>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</si>
  <si>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</si>
  <si>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</si>
  <si>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</si>
  <si>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</si>
  <si>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</si>
  <si>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</si>
  <si>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</si>
  <si>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</si>
  <si>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</si>
  <si>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</si>
  <si>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</si>
  <si>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</si>
  <si>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</si>
  <si>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</si>
  <si>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</si>
  <si>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</si>
  <si>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</si>
  <si>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</si>
  <si>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</si>
  <si>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</si>
  <si>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</si>
  <si>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</si>
  <si>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</si>
  <si>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</si>
  <si>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</si>
  <si>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</si>
  <si>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</si>
  <si>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</si>
  <si>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</si>
  <si>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</si>
  <si>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</si>
  <si>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</si>
  <si>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</si>
  <si>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</si>
  <si>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</si>
  <si>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</si>
  <si>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</si>
  <si>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</si>
  <si>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</si>
  <si>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</si>
  <si>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</si>
  <si>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</si>
  <si>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</si>
  <si>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</si>
  <si>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</si>
  <si>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</si>
  <si>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</si>
  <si>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</si>
  <si>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</si>
  <si>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</si>
  <si>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</si>
  <si>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</si>
  <si>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</si>
  <si>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</si>
  <si>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</si>
  <si>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</si>
  <si>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</si>
  <si>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</si>
  <si>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</si>
  <si>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</si>
  <si>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</si>
  <si>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</si>
  <si>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</si>
  <si>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</si>
  <si>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</si>
  <si>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</si>
  <si>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</si>
  <si>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</si>
  <si>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</si>
  <si>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</si>
  <si>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</si>
  <si>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</si>
  <si>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</si>
  <si>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</si>
  <si>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</si>
  <si>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</si>
  <si>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</si>
  <si>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</si>
  <si>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</si>
  <si>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</si>
  <si>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</si>
  <si>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</si>
  <si>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</si>
  <si>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</si>
  <si>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</si>
  <si>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</si>
  <si>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</si>
  <si>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</si>
  <si>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</si>
  <si>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</si>
  <si>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</si>
  <si>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</si>
  <si>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</si>
  <si>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</si>
  <si>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</si>
  <si>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</si>
  <si>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</si>
  <si>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</si>
  <si>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</si>
  <si>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</si>
  <si>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</si>
  <si>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</si>
  <si>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</si>
  <si>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</si>
  <si>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</si>
  <si>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</si>
  <si>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</si>
  <si>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</si>
  <si>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</si>
  <si>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</si>
  <si>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</si>
  <si>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</si>
  <si>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</si>
  <si>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</si>
  <si>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</si>
  <si>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</si>
  <si>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</si>
  <si>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</si>
  <si>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</si>
  <si>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</si>
  <si>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</si>
  <si>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</si>
  <si>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</si>
  <si>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</si>
  <si>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</si>
  <si>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</si>
  <si>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</si>
  <si>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</si>
  <si>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</si>
  <si>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</si>
  <si>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</si>
  <si>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</si>
  <si>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</si>
  <si>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</si>
  <si>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</si>
  <si>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</si>
  <si>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</si>
  <si>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</si>
  <si>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</si>
  <si>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</si>
  <si>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</si>
  <si>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</si>
  <si>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</si>
  <si>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</si>
  <si>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</si>
  <si>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</si>
  <si>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</si>
  <si>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</si>
  <si>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</si>
  <si>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</si>
  <si>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</si>
  <si>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</si>
  <si>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</si>
  <si>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</si>
  <si>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</si>
  <si>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</si>
  <si>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</si>
  <si>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</si>
  <si>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</si>
  <si>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</si>
  <si>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</si>
  <si>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</si>
  <si>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</si>
  <si>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</si>
  <si>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</si>
  <si>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</si>
  <si>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</si>
  <si>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</si>
  <si>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</si>
  <si>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</si>
  <si>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</si>
  <si>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</si>
  <si>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</si>
  <si>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</si>
  <si>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</si>
  <si>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</si>
  <si>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</si>
  <si>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</si>
  <si>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</si>
  <si>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</si>
  <si>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</si>
  <si>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</si>
  <si>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</si>
  <si>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</si>
  <si>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</si>
  <si>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</si>
  <si>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</si>
  <si>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</si>
  <si>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</si>
  <si>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</si>
  <si>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</si>
  <si>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</si>
  <si>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</si>
  <si>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</si>
  <si>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</si>
  <si>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</si>
  <si>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</si>
  <si>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</si>
  <si>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</si>
  <si>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</si>
  <si>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</si>
  <si>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</si>
  <si>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</si>
  <si>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</si>
  <si>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</si>
  <si>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</si>
  <si>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</si>
  <si>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</si>
  <si>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</si>
  <si>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</si>
  <si>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</si>
  <si>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</si>
  <si>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</si>
  <si>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</si>
  <si>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</si>
  <si>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</si>
  <si>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</si>
  <si>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</si>
  <si>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</si>
  <si>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</si>
  <si>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</si>
  <si>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</si>
  <si>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</si>
  <si>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</si>
  <si>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</si>
  <si>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</si>
  <si>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</si>
  <si>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</si>
  <si>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</si>
  <si>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</si>
  <si>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</si>
  <si>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</si>
  <si>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</si>
  <si>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</si>
  <si>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</si>
  <si>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</si>
  <si>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</si>
  <si>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</si>
  <si>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</si>
  <si>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</si>
  <si>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</si>
  <si>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</si>
  <si>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</si>
  <si>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</si>
  <si>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</si>
  <si>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</si>
  <si>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</si>
  <si>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</si>
  <si>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</si>
  <si>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</si>
  <si>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</si>
  <si>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</si>
  <si>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</si>
  <si>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</si>
  <si>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</si>
  <si>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</si>
  <si>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</si>
  <si>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</si>
  <si>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</si>
  <si>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</si>
  <si>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</si>
  <si>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</si>
  <si>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</si>
  <si>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</si>
  <si>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</si>
  <si>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</si>
  <si>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</si>
  <si>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</si>
  <si>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</si>
  <si>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</si>
  <si>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</si>
  <si>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</si>
  <si>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</si>
  <si>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</si>
  <si>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</si>
  <si>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</si>
  <si>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</si>
  <si>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</si>
  <si>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</si>
  <si>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</si>
  <si>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</si>
  <si>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</si>
  <si>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</si>
  <si>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</si>
  <si>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</si>
  <si>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</si>
  <si>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</si>
  <si>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</si>
  <si>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</si>
  <si>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</si>
  <si>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</si>
  <si>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</si>
  <si>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</si>
  <si>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</si>
  <si>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</si>
  <si>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</si>
  <si>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</si>
  <si>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</si>
  <si>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</si>
  <si>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</si>
  <si>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</si>
  <si>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</si>
  <si>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</si>
  <si>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</si>
  <si>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</si>
  <si>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</si>
  <si>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</si>
  <si>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</si>
  <si>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</si>
  <si>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</si>
  <si>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</si>
  <si>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</si>
  <si>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</si>
  <si>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</si>
  <si>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</si>
  <si>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</si>
  <si>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</si>
  <si>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</si>
  <si>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</si>
  <si>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</si>
  <si>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</si>
  <si>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</si>
  <si>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</si>
  <si>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</si>
  <si>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</si>
  <si>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</si>
  <si>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</si>
  <si>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</si>
  <si>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</si>
  <si>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</si>
  <si>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</si>
  <si>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</si>
  <si>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</si>
  <si>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</si>
  <si>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</si>
  <si>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</si>
  <si>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</si>
  <si>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</si>
  <si>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</si>
  <si>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</si>
  <si>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</si>
  <si>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</si>
  <si>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</si>
  <si>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</si>
  <si>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</si>
  <si>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</si>
  <si>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</si>
  <si>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</si>
  <si>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</si>
  <si>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</si>
  <si>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</si>
  <si>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</si>
  <si>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</si>
  <si>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</si>
  <si>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</si>
  <si>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</si>
  <si>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</si>
  <si>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</si>
  <si>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</si>
  <si>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</si>
  <si>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</si>
  <si>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</si>
  <si>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</si>
  <si>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</si>
  <si>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</si>
  <si>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</si>
  <si>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</si>
  <si>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</si>
  <si>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</si>
  <si>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</si>
  <si>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</si>
  <si>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</si>
  <si>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</si>
  <si>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</si>
  <si>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</si>
  <si>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</si>
  <si>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</si>
  <si>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</si>
  <si>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</si>
  <si>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</si>
  <si>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</si>
  <si>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</si>
  <si>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</si>
  <si>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</si>
  <si>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</si>
  <si>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</si>
  <si>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</si>
  <si>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</si>
  <si>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</si>
  <si>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</si>
  <si>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</si>
  <si>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</si>
  <si>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</si>
  <si>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</si>
  <si>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</si>
  <si>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</si>
  <si>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</si>
  <si>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</si>
  <si>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</si>
  <si>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</si>
  <si>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</si>
  <si>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</si>
  <si>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</si>
  <si>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</si>
  <si>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</si>
  <si>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</si>
  <si>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</si>
  <si>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</si>
  <si>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</si>
  <si>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</si>
  <si>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</si>
  <si>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</si>
  <si>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</si>
  <si>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</si>
  <si>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</si>
  <si>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</si>
  <si>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</si>
  <si>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</si>
  <si>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</si>
  <si>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</si>
  <si>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</si>
  <si>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</si>
  <si>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</si>
  <si>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</si>
  <si>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</si>
  <si>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</si>
  <si>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</si>
  <si>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</si>
  <si>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</si>
  <si>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</si>
  <si>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</si>
  <si>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</si>
  <si>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</si>
  <si>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</si>
  <si>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</si>
  <si>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</si>
  <si>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</si>
  <si>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</si>
  <si>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</si>
  <si>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</si>
  <si>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</si>
  <si>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</si>
  <si>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</si>
  <si>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</si>
  <si>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</si>
  <si>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</si>
  <si>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</si>
  <si>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</si>
  <si>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</si>
  <si>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</si>
  <si>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</si>
  <si>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</si>
  <si>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</si>
  <si>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</si>
  <si>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</si>
  <si>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</si>
  <si>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</si>
  <si>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</si>
  <si>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</si>
  <si>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</si>
  <si>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</si>
  <si>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</si>
  <si>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</si>
  <si>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</si>
  <si>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</si>
  <si>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</si>
  <si>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</si>
  <si>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</si>
  <si>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</si>
  <si>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</si>
  <si>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</si>
  <si>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</si>
  <si>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</si>
  <si>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</si>
  <si>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</si>
  <si>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</si>
  <si>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</si>
  <si>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</si>
  <si>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</si>
  <si>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</si>
  <si>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</si>
  <si>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</si>
  <si>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</si>
  <si>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</si>
  <si>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</si>
  <si>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</si>
  <si>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</si>
  <si>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</si>
  <si>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</si>
  <si>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</si>
  <si>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</si>
  <si>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</si>
  <si>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</si>
  <si>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</si>
  <si>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</si>
  <si>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</si>
  <si>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</si>
  <si>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</si>
  <si>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</si>
  <si>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</si>
  <si>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</si>
  <si>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</si>
  <si>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</si>
  <si>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</si>
  <si>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</si>
  <si>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</si>
  <si>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</si>
  <si>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</si>
  <si>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</si>
  <si>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</si>
  <si>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</si>
  <si>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</si>
  <si>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</si>
  <si>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</si>
  <si>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</si>
  <si>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</si>
  <si>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</si>
  <si>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</si>
  <si>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</si>
  <si>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</si>
  <si>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</si>
  <si>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</si>
  <si>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</si>
  <si>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</si>
  <si>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</si>
  <si>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</si>
  <si>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</si>
  <si>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</si>
  <si>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</si>
  <si>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</si>
  <si>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</si>
  <si>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</si>
  <si>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</si>
  <si>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</si>
  <si>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</si>
  <si>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</si>
  <si>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</si>
  <si>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</si>
  <si>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</si>
  <si>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</si>
  <si>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</si>
  <si>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</si>
  <si>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</si>
  <si>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</si>
  <si>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</si>
  <si>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</si>
  <si>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</si>
  <si>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</si>
  <si>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</si>
  <si>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</si>
  <si>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</si>
  <si>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</si>
  <si>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</si>
  <si>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</si>
  <si>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</si>
  <si>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</si>
  <si>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</si>
  <si>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</si>
  <si>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</si>
  <si>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</si>
  <si>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</si>
  <si>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</si>
  <si>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</si>
  <si>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</si>
  <si>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</si>
  <si>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</si>
  <si>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</si>
  <si>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</si>
  <si>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</si>
  <si>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</si>
  <si>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</si>
  <si>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</si>
  <si>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</si>
  <si>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</si>
  <si>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</si>
  <si>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</si>
  <si>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</si>
  <si>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</si>
  <si>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</si>
  <si>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</si>
  <si>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</si>
  <si>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</si>
  <si>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</si>
  <si>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</si>
  <si>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</si>
  <si>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</si>
  <si>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</si>
  <si>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</si>
  <si>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</si>
  <si>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</si>
  <si>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</si>
  <si>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</si>
  <si>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</si>
  <si>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</si>
  <si>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</si>
  <si>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</si>
  <si>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</si>
  <si>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</si>
  <si>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</si>
  <si>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</si>
  <si>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</si>
  <si>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</si>
  <si>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</si>
  <si>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</si>
  <si>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</si>
  <si>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</si>
  <si>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</si>
  <si>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</si>
  <si>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</si>
  <si>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Захист населення і територій від надзвичайних ситуацій техногенного та природного характеру, у т.ч. за рахунок:</t>
  </si>
  <si>
    <t>2700000</t>
  </si>
  <si>
    <t>2710160</t>
  </si>
  <si>
    <t>2710000</t>
  </si>
  <si>
    <t>2717610</t>
  </si>
  <si>
    <t>1218240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</si>
  <si>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</si>
  <si>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</si>
  <si>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</si>
  <si>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</si>
  <si>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</si>
  <si>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</si>
  <si>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</si>
  <si>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</si>
  <si>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</si>
  <si>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</si>
  <si>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</si>
  <si>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</si>
  <si>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</si>
  <si>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</si>
  <si>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</si>
  <si>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</si>
  <si>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</si>
  <si>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</si>
  <si>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</si>
  <si>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</si>
  <si>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</si>
  <si>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</si>
  <si>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</si>
  <si>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</si>
  <si>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</si>
  <si>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</si>
  <si>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</si>
  <si>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</si>
  <si>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Додаток 3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</si>
  <si>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</si>
  <si>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</si>
  <si>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</si>
  <si>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</si>
  <si>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5010000</t>
  </si>
  <si>
    <t>5010160</t>
  </si>
  <si>
    <t>1217375</t>
  </si>
  <si>
    <t xml:space="preserve"> 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</si>
  <si>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 xml:space="preserve">РОЗПОДІЛ
видатків бюджету Сумської міської територіальної громади на 2024 рік за головними розпорядниками бюджетних коштів </t>
  </si>
  <si>
    <t>Світлана ЛИПОВА</t>
  </si>
  <si>
    <t>РОЗПОДІЛ
видатків бюджету Сумської міської територіальної громади на 2024 рік за програмною класифікацією видатків та кредитування місцевого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</si>
  <si>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</si>
  <si>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Директор Департаменту фінансів, економіки                                     та інвестицій Сумської міської ради</t>
  </si>
  <si>
    <t>Управління охорони здоров’я Сумської міської ради</t>
  </si>
  <si>
    <t>Інші заходи у сфері соціального захисту і соціального забезпечення,    у т. ч. за рахунок:</t>
  </si>
  <si>
    <t>Сумська міська військова адміністрація Сумського району Сумської області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</si>
  <si>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</si>
  <si>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трансфертів з державного бюджету</t>
  </si>
  <si>
    <t>трансфертів з місцевого бюджету до інших місцевих бюджетів за рахунок трансфертів з державного бюджету</t>
  </si>
  <si>
    <t xml:space="preserve">трансфертів з місцевих бюджетів </t>
  </si>
  <si>
    <t>Виконавчий комітет Сумської міської ради, у т. ч. за рахунок:</t>
  </si>
  <si>
    <t>Інша діяльність, у т. ч. за рахунок:</t>
  </si>
  <si>
    <t>Заходи з організації рятування на водах, у т. ч. за рахунок: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</si>
  <si>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</si>
  <si>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банку, у т.ч за рахунок:</t>
  </si>
  <si>
    <t>Департамент інфраструктури міста Сумської міської ради, у т.ч. за рахунок:</t>
  </si>
  <si>
    <t>1217384</t>
  </si>
  <si>
    <t>Будівництво та регіональний розвиток, у т.ч. за рахунок:</t>
  </si>
  <si>
    <t>субвенції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</si>
  <si>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до                 наказу             Сумської</t>
  </si>
  <si>
    <t>міської     військової    адміністрації</t>
  </si>
  <si>
    <t xml:space="preserve">                     Додаток 7</t>
  </si>
  <si>
    <t>Директор Департаменту фінансів, економіки та інвестицій Сумської міської ради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</si>
  <si>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t>
  </si>
  <si>
    <t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t>
  </si>
  <si>
    <t>від      14.03.2024     №   90  -   СМР</t>
  </si>
  <si>
    <t>до                  наказу            Сумської</t>
  </si>
  <si>
    <t>від      14.03.2024      №    90  -  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</si>
</sst>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34">
    <xf numFmtId="0" fontId="0" fillId="0" borderId="0" xfId="0"/>
    <xf numFmtId="49" fontId="21" fillId="0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right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3" fontId="25" fillId="0" borderId="0" xfId="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horizontal="center" vertical="center" textRotation="180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vertical="center" textRotation="180"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 wrapText="1"/>
    </xf>
    <xf numFmtId="4" fontId="28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 horizontal="right" wrapText="1"/>
    </xf>
    <xf numFmtId="4" fontId="28" fillId="0" borderId="0" xfId="0" applyNumberFormat="1" applyFont="1" applyFill="1" applyAlignment="1">
      <alignment horizontal="right" wrapText="1"/>
    </xf>
    <xf numFmtId="4" fontId="23" fillId="0" borderId="17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52" fillId="0" borderId="7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4" fontId="21" fillId="0" borderId="0" xfId="0" applyNumberFormat="1" applyFont="1" applyFill="1"/>
    <xf numFmtId="4" fontId="45" fillId="0" borderId="0" xfId="0" applyNumberFormat="1" applyFont="1" applyFill="1"/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horizontal="left" indent="1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center" wrapText="1"/>
    </xf>
    <xf numFmtId="0" fontId="31" fillId="0" borderId="0" xfId="0" applyFont="1" applyFill="1"/>
    <xf numFmtId="0" fontId="28" fillId="0" borderId="0" xfId="0" applyFont="1" applyFill="1"/>
    <xf numFmtId="4" fontId="24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4" fontId="28" fillId="0" borderId="7" xfId="0" applyNumberFormat="1" applyFont="1" applyFill="1" applyBorder="1" applyAlignment="1">
      <alignment horizontal="right"/>
    </xf>
    <xf numFmtId="1" fontId="21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0" xfId="0" applyFont="1" applyFill="1"/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0" xfId="0" applyFont="1" applyFill="1"/>
    <xf numFmtId="3" fontId="21" fillId="0" borderId="7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>
      <alignment horizontal="left" wrapText="1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top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textRotation="180"/>
    </xf>
    <xf numFmtId="49" fontId="30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textRotation="180"/>
    </xf>
    <xf numFmtId="49" fontId="28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 textRotation="180"/>
    </xf>
    <xf numFmtId="49" fontId="28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horizontal="right"/>
    </xf>
    <xf numFmtId="3" fontId="49" fillId="0" borderId="0" xfId="0" applyNumberFormat="1" applyFont="1" applyFill="1"/>
    <xf numFmtId="4" fontId="49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right" wrapText="1"/>
    </xf>
    <xf numFmtId="49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left" wrapText="1"/>
    </xf>
    <xf numFmtId="4" fontId="28" fillId="0" borderId="0" xfId="0" applyNumberFormat="1" applyFont="1" applyFill="1" applyAlignment="1">
      <alignment horizontal="left" wrapText="1"/>
    </xf>
    <xf numFmtId="49" fontId="47" fillId="0" borderId="0" xfId="0" applyNumberFormat="1" applyFont="1" applyFill="1"/>
    <xf numFmtId="4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vertical="center" textRotation="180"/>
    </xf>
    <xf numFmtId="4" fontId="45" fillId="0" borderId="0" xfId="0" applyNumberFormat="1" applyFont="1" applyFill="1"/>
    <xf numFmtId="4" fontId="45" fillId="0" borderId="0" xfId="0" applyNumberFormat="1" applyFont="1" applyFill="1" applyAlignment="1">
      <alignment horizontal="left" indent="1"/>
    </xf>
    <xf numFmtId="4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3" fontId="34" fillId="0" borderId="0" xfId="0" applyNumberFormat="1" applyFont="1" applyFill="1"/>
    <xf numFmtId="49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/>
    <xf numFmtId="3" fontId="24" fillId="0" borderId="0" xfId="0" applyNumberFormat="1" applyFont="1" applyFill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9" fillId="0" borderId="7" xfId="0" applyNumberFormat="1" applyFont="1" applyFill="1" applyBorder="1" applyAlignment="1">
      <alignment horizontal="center" vertical="center" wrapText="1"/>
    </xf>
    <xf numFmtId="4" fontId="21" fillId="0" borderId="7" xfId="29" applyNumberFormat="1" applyFont="1" applyFill="1" applyBorder="1" applyAlignment="1">
      <alignment horizontal="right" wrapText="1"/>
    </xf>
    <xf numFmtId="1" fontId="44" fillId="0" borderId="7" xfId="0" applyNumberFormat="1" applyFont="1" applyFill="1" applyBorder="1" applyAlignment="1">
      <alignment horizontal="center" vertical="center" wrapText="1"/>
    </xf>
    <xf numFmtId="164" fontId="21" fillId="0" borderId="7" xfId="29" applyFont="1" applyFill="1" applyBorder="1" applyAlignment="1">
      <alignment horizontal="right" wrapText="1"/>
    </xf>
    <xf numFmtId="3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/>
    <xf numFmtId="3" fontId="21" fillId="0" borderId="7" xfId="0" applyNumberFormat="1" applyFont="1" applyFill="1" applyBorder="1" applyAlignment="1">
      <alignment horizontal="left" vertical="center" wrapText="1" shrinkToFit="1"/>
    </xf>
    <xf numFmtId="3" fontId="29" fillId="0" borderId="7" xfId="0" applyNumberFormat="1" applyFont="1" applyFill="1" applyBorder="1" applyAlignment="1">
      <alignment horizontal="left" vertical="center" wrapText="1" shrinkToFit="1"/>
    </xf>
    <xf numFmtId="4" fontId="21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>
      <alignment horizontal="right" vertical="center" wrapText="1"/>
    </xf>
    <xf numFmtId="4" fontId="29" fillId="0" borderId="7" xfId="0" applyNumberFormat="1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horizontal="center"/>
    </xf>
    <xf numFmtId="1" fontId="29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 textRotation="180"/>
    </xf>
    <xf numFmtId="49" fontId="30" fillId="0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4" fontId="42" fillId="0" borderId="0" xfId="0" applyNumberFormat="1" applyFont="1" applyFill="1" applyAlignment="1">
      <alignment horizontal="right"/>
    </xf>
    <xf numFmtId="4" fontId="43" fillId="0" borderId="0" xfId="0" applyNumberFormat="1" applyFont="1" applyFill="1"/>
    <xf numFmtId="3" fontId="43" fillId="0" borderId="0" xfId="0" applyNumberFormat="1" applyFont="1" applyFill="1"/>
    <xf numFmtId="2" fontId="23" fillId="0" borderId="0" xfId="0" applyNumberFormat="1" applyFont="1" applyFill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2" fontId="23" fillId="0" borderId="0" xfId="0" applyNumberFormat="1" applyFont="1" applyFill="1"/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right" vertical="center" wrapText="1"/>
    </xf>
    <xf numFmtId="2" fontId="23" fillId="0" borderId="12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left"/>
    </xf>
    <xf numFmtId="4" fontId="23" fillId="0" borderId="8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left"/>
    </xf>
    <xf numFmtId="2" fontId="2" fillId="0" borderId="0" xfId="0" applyNumberFormat="1" applyFont="1" applyFill="1"/>
    <xf numFmtId="3" fontId="23" fillId="0" borderId="13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24" fillId="0" borderId="13" xfId="0" applyNumberFormat="1" applyFont="1" applyFill="1" applyBorder="1" applyAlignment="1">
      <alignment horizontal="right" wrapText="1"/>
    </xf>
    <xf numFmtId="4" fontId="24" fillId="0" borderId="0" xfId="0" applyNumberFormat="1" applyFont="1" applyFill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4" fillId="0" borderId="0" xfId="0" applyNumberFormat="1" applyFont="1" applyFill="1" applyAlignment="1">
      <alignment horizontal="left"/>
    </xf>
    <xf numFmtId="3" fontId="46" fillId="0" borderId="0" xfId="0" applyNumberFormat="1" applyFont="1" applyFill="1"/>
    <xf numFmtId="4" fontId="24" fillId="0" borderId="13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right" wrapText="1"/>
    </xf>
    <xf numFmtId="4" fontId="26" fillId="0" borderId="7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4" fontId="25" fillId="0" borderId="7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51" fillId="0" borderId="7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Alignment="1">
      <alignment vertical="center" textRotation="180"/>
    </xf>
    <xf numFmtId="3" fontId="27" fillId="0" borderId="0" xfId="0" applyNumberFormat="1" applyFont="1" applyFill="1"/>
    <xf numFmtId="3" fontId="53" fillId="0" borderId="7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left" wrapText="1"/>
    </xf>
    <xf numFmtId="3" fontId="54" fillId="0" borderId="0" xfId="0" applyNumberFormat="1" applyFont="1" applyFill="1" applyAlignment="1">
      <alignment vertical="center" textRotation="180"/>
    </xf>
    <xf numFmtId="3" fontId="54" fillId="0" borderId="0" xfId="0" applyNumberFormat="1" applyFont="1" applyFill="1"/>
    <xf numFmtId="3" fontId="27" fillId="0" borderId="0" xfId="0" applyNumberFormat="1" applyFont="1" applyFill="1" applyAlignment="1">
      <alignment horizontal="left" wrapText="1"/>
    </xf>
    <xf numFmtId="4" fontId="23" fillId="0" borderId="9" xfId="0" applyNumberFormat="1" applyFont="1" applyFill="1" applyBorder="1" applyAlignment="1">
      <alignment horizontal="center"/>
    </xf>
    <xf numFmtId="3" fontId="49" fillId="0" borderId="0" xfId="0" applyNumberFormat="1" applyFont="1" applyFill="1" applyAlignment="1">
      <alignment horizontal="left" vertical="top" wrapText="1"/>
    </xf>
    <xf numFmtId="4" fontId="45" fillId="0" borderId="0" xfId="0" applyNumberFormat="1" applyFont="1" applyFill="1"/>
    <xf numFmtId="3" fontId="27" fillId="0" borderId="0" xfId="0" applyNumberFormat="1" applyFont="1" applyFill="1" applyAlignment="1">
      <alignment horizontal="center" vertical="center" textRotation="180"/>
    </xf>
    <xf numFmtId="3" fontId="27" fillId="0" borderId="10" xfId="0" applyNumberFormat="1" applyFont="1" applyFill="1" applyBorder="1" applyAlignment="1">
      <alignment horizontal="center" vertical="center" textRotation="180"/>
    </xf>
    <xf numFmtId="0" fontId="35" fillId="0" borderId="0" xfId="0" applyFont="1" applyFill="1" applyAlignment="1">
      <alignment horizontal="center" vertical="top"/>
    </xf>
    <xf numFmtId="4" fontId="39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2" fontId="23" fillId="0" borderId="9" xfId="0" applyNumberFormat="1" applyFont="1" applyFill="1" applyBorder="1" applyAlignment="1">
      <alignment horizontal="right" vertical="center" wrapText="1"/>
    </xf>
    <xf numFmtId="2" fontId="23" fillId="0" borderId="21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45" fillId="0" borderId="0" xfId="0" applyNumberFormat="1" applyFont="1" applyFill="1" applyAlignment="1">
      <alignment horizontal="left" indent="1"/>
    </xf>
    <xf numFmtId="3" fontId="36" fillId="0" borderId="0" xfId="0" applyNumberFormat="1" applyFont="1" applyFill="1" applyAlignment="1">
      <alignment horizontal="center" vertical="top" wrapText="1"/>
    </xf>
    <xf numFmtId="49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left"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49" fontId="27" fillId="0" borderId="0" xfId="0" applyNumberFormat="1" applyFont="1" applyFill="1"/>
    <xf numFmtId="4" fontId="24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top" wrapText="1"/>
    </xf>
    <xf numFmtId="3" fontId="28" fillId="0" borderId="7" xfId="0" applyNumberFormat="1" applyFont="1" applyFill="1" applyBorder="1" applyAlignment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chelinska_y\Desktop\&#1073;&#1102;&#1076;&#1078;&#1077;&#1090;%202024\&#1085;&#1072;&#1082;&#1072;&#1079;%2012.03.24\&#1088;&#1086;&#1073;&#1086;&#1095;&#1072;\&#1073;&#1072;&#1083;&#1072;&#1085;&#1089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БЮДЖЕТ+зміни, грн."/>
      <sheetName val="залишки ВЗЗФ та СФ"/>
    </sheetNames>
    <sheetDataSet>
      <sheetData sheetId="0">
        <row r="16">
          <cell r="B16">
            <v>3692471244.5499997</v>
          </cell>
          <cell r="C16">
            <v>3013587661.8899999</v>
          </cell>
          <cell r="D16">
            <v>678883582.65999997</v>
          </cell>
          <cell r="E16">
            <v>502172614.64999998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69"/>
  <sheetViews>
    <sheetView showGridLines="0" showZeros="0" view="pageBreakPreview" topLeftCell="H1" zoomScale="70" zoomScaleNormal="82" zoomScaleSheetLayoutView="70" workbookViewId="0">
      <selection activeCell="K7" sqref="K7:P7"/>
    </sheetView>
  </sheetViews>
  <sheetFormatPr defaultColWidth="9.1640625" defaultRowHeight="15" x14ac:dyDescent="0.25"/>
  <cols>
    <col min="1" max="1" width="16.1640625" style="102" customWidth="1"/>
    <col min="2" max="2" width="15.33203125" style="103" customWidth="1"/>
    <col min="3" max="3" width="14.6640625" style="103" customWidth="1"/>
    <col min="4" max="4" width="62" style="104" customWidth="1"/>
    <col min="5" max="5" width="22.33203125" style="13" customWidth="1"/>
    <col min="6" max="6" width="22.5" style="13" customWidth="1"/>
    <col min="7" max="7" width="22.83203125" style="13" customWidth="1"/>
    <col min="8" max="8" width="22.5" style="13" customWidth="1"/>
    <col min="9" max="9" width="22.1640625" style="13" customWidth="1"/>
    <col min="10" max="10" width="22.33203125" style="13" customWidth="1"/>
    <col min="11" max="11" width="21.6640625" style="13" customWidth="1"/>
    <col min="12" max="12" width="21.1640625" style="13" customWidth="1"/>
    <col min="13" max="13" width="19.5" style="13" customWidth="1"/>
    <col min="14" max="14" width="17.1640625" style="13" customWidth="1"/>
    <col min="15" max="15" width="23.6640625" style="13" customWidth="1"/>
    <col min="16" max="16" width="27.83203125" style="194" customWidth="1"/>
    <col min="17" max="17" width="6.6640625" style="185" customWidth="1"/>
    <col min="18" max="18" width="21" style="114" customWidth="1"/>
    <col min="19" max="16384" width="9.1640625" style="114"/>
  </cols>
  <sheetData>
    <row r="1" spans="1:525" ht="26.25" customHeight="1" x14ac:dyDescent="0.4">
      <c r="K1" s="110" t="s">
        <v>701</v>
      </c>
      <c r="P1" s="13"/>
      <c r="Q1" s="197"/>
    </row>
    <row r="2" spans="1:525" ht="26.25" customHeight="1" x14ac:dyDescent="0.25">
      <c r="K2" s="35" t="s">
        <v>731</v>
      </c>
      <c r="L2" s="35"/>
      <c r="M2" s="35"/>
      <c r="N2" s="35"/>
      <c r="O2" s="35"/>
      <c r="P2" s="35"/>
      <c r="Q2" s="197"/>
    </row>
    <row r="3" spans="1:525" ht="26.25" customHeight="1" x14ac:dyDescent="0.25">
      <c r="K3" s="35" t="s">
        <v>732</v>
      </c>
      <c r="L3" s="35"/>
      <c r="M3" s="35"/>
      <c r="N3" s="35"/>
      <c r="O3" s="35"/>
      <c r="P3" s="35"/>
      <c r="Q3" s="197"/>
    </row>
    <row r="4" spans="1:525" ht="26.25" customHeight="1" x14ac:dyDescent="0.4">
      <c r="K4" s="196" t="s">
        <v>737</v>
      </c>
      <c r="L4" s="196"/>
      <c r="M4" s="196"/>
      <c r="N4" s="196"/>
      <c r="O4" s="196"/>
      <c r="P4" s="196"/>
      <c r="Q4" s="197"/>
    </row>
    <row r="5" spans="1:525" ht="26.25" customHeight="1" x14ac:dyDescent="0.4">
      <c r="K5" s="213"/>
      <c r="L5" s="213"/>
      <c r="M5" s="213"/>
      <c r="N5" s="213"/>
      <c r="O5" s="213"/>
      <c r="P5" s="213"/>
      <c r="Q5" s="197"/>
    </row>
    <row r="6" spans="1:525" ht="26.25" customHeight="1" x14ac:dyDescent="0.4">
      <c r="K6" s="111"/>
      <c r="L6" s="111"/>
      <c r="M6" s="111"/>
      <c r="N6" s="111"/>
      <c r="O6" s="111"/>
      <c r="P6" s="111"/>
      <c r="Q6" s="197"/>
    </row>
    <row r="7" spans="1:525" ht="26.25" customHeight="1" x14ac:dyDescent="0.4">
      <c r="K7" s="213"/>
      <c r="L7" s="213"/>
      <c r="M7" s="213"/>
      <c r="N7" s="213"/>
      <c r="O7" s="213"/>
      <c r="P7" s="213"/>
      <c r="Q7" s="197"/>
    </row>
    <row r="8" spans="1:525" ht="60" customHeight="1" x14ac:dyDescent="0.4">
      <c r="K8" s="110"/>
      <c r="L8" s="110"/>
      <c r="M8" s="110"/>
      <c r="N8" s="110"/>
      <c r="O8" s="110"/>
      <c r="P8" s="110"/>
      <c r="Q8" s="197"/>
    </row>
    <row r="9" spans="1:525" s="115" customFormat="1" ht="71.25" customHeight="1" x14ac:dyDescent="0.3">
      <c r="A9" s="214" t="s">
        <v>710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97"/>
    </row>
    <row r="10" spans="1:525" s="115" customFormat="1" ht="23.25" customHeight="1" x14ac:dyDescent="0.35">
      <c r="A10" s="217" t="s">
        <v>677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197"/>
    </row>
    <row r="11" spans="1:525" s="115" customFormat="1" ht="19.5" customHeight="1" x14ac:dyDescent="0.3">
      <c r="A11" s="199" t="s">
        <v>531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7"/>
    </row>
    <row r="12" spans="1:525" s="118" customFormat="1" ht="22.5" customHeight="1" x14ac:dyDescent="0.3">
      <c r="A12" s="116"/>
      <c r="B12" s="117"/>
      <c r="C12" s="117"/>
      <c r="D12" s="10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1" t="s">
        <v>352</v>
      </c>
      <c r="Q12" s="197"/>
    </row>
    <row r="13" spans="1:525" s="120" customFormat="1" ht="20.25" customHeight="1" x14ac:dyDescent="0.2">
      <c r="A13" s="215" t="s">
        <v>330</v>
      </c>
      <c r="B13" s="216" t="s">
        <v>331</v>
      </c>
      <c r="C13" s="216" t="s">
        <v>321</v>
      </c>
      <c r="D13" s="216" t="s">
        <v>332</v>
      </c>
      <c r="E13" s="202" t="s">
        <v>221</v>
      </c>
      <c r="F13" s="202"/>
      <c r="G13" s="202"/>
      <c r="H13" s="202"/>
      <c r="I13" s="202"/>
      <c r="J13" s="202" t="s">
        <v>222</v>
      </c>
      <c r="K13" s="202"/>
      <c r="L13" s="202"/>
      <c r="M13" s="202"/>
      <c r="N13" s="202"/>
      <c r="O13" s="202"/>
      <c r="P13" s="202" t="s">
        <v>223</v>
      </c>
      <c r="Q13" s="197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  <c r="IW13" s="119"/>
      <c r="IX13" s="119"/>
      <c r="IY13" s="119"/>
      <c r="IZ13" s="119"/>
      <c r="JA13" s="119"/>
      <c r="JB13" s="119"/>
      <c r="JC13" s="119"/>
      <c r="JD13" s="119"/>
      <c r="JE13" s="119"/>
      <c r="JF13" s="119"/>
      <c r="JG13" s="119"/>
      <c r="JH13" s="119"/>
      <c r="JI13" s="119"/>
      <c r="JJ13" s="119"/>
      <c r="JK13" s="119"/>
      <c r="JL13" s="119"/>
      <c r="JM13" s="119"/>
      <c r="JN13" s="119"/>
      <c r="JO13" s="119"/>
      <c r="JP13" s="119"/>
      <c r="JQ13" s="119"/>
      <c r="JR13" s="119"/>
      <c r="JS13" s="119"/>
      <c r="JT13" s="119"/>
      <c r="JU13" s="119"/>
      <c r="JV13" s="119"/>
      <c r="JW13" s="119"/>
      <c r="JX13" s="119"/>
      <c r="JY13" s="119"/>
      <c r="JZ13" s="119"/>
      <c r="KA13" s="119"/>
      <c r="KB13" s="119"/>
      <c r="KC13" s="119"/>
      <c r="KD13" s="119"/>
      <c r="KE13" s="119"/>
      <c r="KF13" s="119"/>
      <c r="KG13" s="119"/>
      <c r="KH13" s="119"/>
      <c r="KI13" s="119"/>
      <c r="KJ13" s="119"/>
      <c r="KK13" s="119"/>
      <c r="KL13" s="119"/>
      <c r="KM13" s="119"/>
      <c r="KN13" s="119"/>
      <c r="KO13" s="119"/>
      <c r="KP13" s="119"/>
      <c r="KQ13" s="119"/>
      <c r="KR13" s="119"/>
      <c r="KS13" s="119"/>
      <c r="KT13" s="119"/>
      <c r="KU13" s="119"/>
      <c r="KV13" s="119"/>
      <c r="KW13" s="119"/>
      <c r="KX13" s="119"/>
      <c r="KY13" s="119"/>
      <c r="KZ13" s="119"/>
      <c r="LA13" s="119"/>
      <c r="LB13" s="119"/>
      <c r="LC13" s="119"/>
      <c r="LD13" s="119"/>
      <c r="LE13" s="119"/>
      <c r="LF13" s="119"/>
      <c r="LG13" s="119"/>
      <c r="LH13" s="119"/>
      <c r="LI13" s="119"/>
      <c r="LJ13" s="119"/>
      <c r="LK13" s="119"/>
      <c r="LL13" s="119"/>
      <c r="LM13" s="119"/>
      <c r="LN13" s="119"/>
      <c r="LO13" s="119"/>
      <c r="LP13" s="119"/>
      <c r="LQ13" s="119"/>
      <c r="LR13" s="119"/>
      <c r="LS13" s="119"/>
      <c r="LT13" s="119"/>
      <c r="LU13" s="119"/>
      <c r="LV13" s="119"/>
      <c r="LW13" s="119"/>
      <c r="LX13" s="119"/>
      <c r="LY13" s="119"/>
      <c r="LZ13" s="119"/>
      <c r="MA13" s="119"/>
      <c r="MB13" s="119"/>
      <c r="MC13" s="119"/>
      <c r="MD13" s="119"/>
      <c r="ME13" s="119"/>
      <c r="MF13" s="119"/>
      <c r="MG13" s="119"/>
      <c r="MH13" s="119"/>
      <c r="MI13" s="119"/>
      <c r="MJ13" s="119"/>
      <c r="MK13" s="119"/>
      <c r="ML13" s="119"/>
      <c r="MM13" s="119"/>
      <c r="MN13" s="119"/>
      <c r="MO13" s="119"/>
      <c r="MP13" s="119"/>
      <c r="MQ13" s="119"/>
      <c r="MR13" s="119"/>
      <c r="MS13" s="119"/>
      <c r="MT13" s="119"/>
      <c r="MU13" s="119"/>
      <c r="MV13" s="119"/>
      <c r="MW13" s="119"/>
      <c r="MX13" s="119"/>
      <c r="MY13" s="119"/>
      <c r="MZ13" s="119"/>
      <c r="NA13" s="119"/>
      <c r="NB13" s="119"/>
      <c r="NC13" s="119"/>
      <c r="ND13" s="119"/>
      <c r="NE13" s="119"/>
      <c r="NF13" s="119"/>
      <c r="NG13" s="119"/>
      <c r="NH13" s="119"/>
      <c r="NI13" s="119"/>
      <c r="NJ13" s="119"/>
      <c r="NK13" s="119"/>
      <c r="NL13" s="119"/>
      <c r="NM13" s="119"/>
      <c r="NN13" s="119"/>
      <c r="NO13" s="119"/>
      <c r="NP13" s="119"/>
      <c r="NQ13" s="119"/>
      <c r="NR13" s="119"/>
      <c r="NS13" s="119"/>
      <c r="NT13" s="119"/>
      <c r="NU13" s="119"/>
      <c r="NV13" s="119"/>
      <c r="NW13" s="119"/>
      <c r="NX13" s="119"/>
      <c r="NY13" s="119"/>
      <c r="NZ13" s="119"/>
      <c r="OA13" s="119"/>
      <c r="OB13" s="119"/>
      <c r="OC13" s="119"/>
      <c r="OD13" s="119"/>
      <c r="OE13" s="119"/>
      <c r="OF13" s="119"/>
      <c r="OG13" s="119"/>
      <c r="OH13" s="119"/>
      <c r="OI13" s="119"/>
      <c r="OJ13" s="119"/>
      <c r="OK13" s="119"/>
      <c r="OL13" s="119"/>
      <c r="OM13" s="119"/>
      <c r="ON13" s="119"/>
      <c r="OO13" s="119"/>
      <c r="OP13" s="119"/>
      <c r="OQ13" s="119"/>
      <c r="OR13" s="119"/>
      <c r="OS13" s="119"/>
      <c r="OT13" s="119"/>
      <c r="OU13" s="119"/>
      <c r="OV13" s="119"/>
      <c r="OW13" s="119"/>
      <c r="OX13" s="119"/>
      <c r="OY13" s="119"/>
      <c r="OZ13" s="119"/>
      <c r="PA13" s="119"/>
      <c r="PB13" s="119"/>
      <c r="PC13" s="119"/>
      <c r="PD13" s="119"/>
      <c r="PE13" s="119"/>
      <c r="PF13" s="119"/>
      <c r="PG13" s="119"/>
      <c r="PH13" s="119"/>
      <c r="PI13" s="119"/>
      <c r="PJ13" s="119"/>
      <c r="PK13" s="119"/>
      <c r="PL13" s="119"/>
      <c r="PM13" s="119"/>
      <c r="PN13" s="119"/>
      <c r="PO13" s="119"/>
      <c r="PP13" s="119"/>
      <c r="PQ13" s="119"/>
      <c r="PR13" s="119"/>
      <c r="PS13" s="119"/>
      <c r="PT13" s="119"/>
      <c r="PU13" s="119"/>
      <c r="PV13" s="119"/>
      <c r="PW13" s="119"/>
      <c r="PX13" s="119"/>
      <c r="PY13" s="119"/>
      <c r="PZ13" s="119"/>
      <c r="QA13" s="119"/>
      <c r="QB13" s="119"/>
      <c r="QC13" s="119"/>
      <c r="QD13" s="119"/>
      <c r="QE13" s="119"/>
      <c r="QF13" s="119"/>
      <c r="QG13" s="119"/>
      <c r="QH13" s="119"/>
      <c r="QI13" s="119"/>
      <c r="QJ13" s="119"/>
      <c r="QK13" s="119"/>
      <c r="QL13" s="119"/>
      <c r="QM13" s="119"/>
      <c r="QN13" s="119"/>
      <c r="QO13" s="119"/>
      <c r="QP13" s="119"/>
      <c r="QQ13" s="119"/>
      <c r="QR13" s="119"/>
      <c r="QS13" s="119"/>
      <c r="QT13" s="119"/>
      <c r="QU13" s="119"/>
      <c r="QV13" s="119"/>
      <c r="QW13" s="119"/>
      <c r="QX13" s="119"/>
      <c r="QY13" s="119"/>
      <c r="QZ13" s="119"/>
      <c r="RA13" s="119"/>
      <c r="RB13" s="119"/>
      <c r="RC13" s="119"/>
      <c r="RD13" s="119"/>
      <c r="RE13" s="119"/>
      <c r="RF13" s="119"/>
      <c r="RG13" s="119"/>
      <c r="RH13" s="119"/>
      <c r="RI13" s="119"/>
      <c r="RJ13" s="119"/>
      <c r="RK13" s="119"/>
      <c r="RL13" s="119"/>
      <c r="RM13" s="119"/>
      <c r="RN13" s="119"/>
      <c r="RO13" s="119"/>
      <c r="RP13" s="119"/>
      <c r="RQ13" s="119"/>
      <c r="RR13" s="119"/>
      <c r="RS13" s="119"/>
      <c r="RT13" s="119"/>
      <c r="RU13" s="119"/>
      <c r="RV13" s="119"/>
      <c r="RW13" s="119"/>
      <c r="RX13" s="119"/>
      <c r="RY13" s="119"/>
      <c r="RZ13" s="119"/>
      <c r="SA13" s="119"/>
      <c r="SB13" s="119"/>
      <c r="SC13" s="119"/>
      <c r="SD13" s="119"/>
      <c r="SE13" s="119"/>
      <c r="SF13" s="119"/>
      <c r="SG13" s="119"/>
      <c r="SH13" s="119"/>
      <c r="SI13" s="119"/>
      <c r="SJ13" s="119"/>
      <c r="SK13" s="119"/>
      <c r="SL13" s="119"/>
      <c r="SM13" s="119"/>
      <c r="SN13" s="119"/>
      <c r="SO13" s="119"/>
      <c r="SP13" s="119"/>
      <c r="SQ13" s="119"/>
      <c r="SR13" s="119"/>
      <c r="SS13" s="119"/>
      <c r="ST13" s="119"/>
      <c r="SU13" s="119"/>
      <c r="SV13" s="119"/>
      <c r="SW13" s="119"/>
      <c r="SX13" s="119"/>
      <c r="SY13" s="119"/>
      <c r="SZ13" s="119"/>
      <c r="TA13" s="119"/>
      <c r="TB13" s="119"/>
      <c r="TC13" s="119"/>
      <c r="TD13" s="119"/>
      <c r="TE13" s="119"/>
    </row>
    <row r="14" spans="1:525" s="120" customFormat="1" ht="19.5" customHeight="1" x14ac:dyDescent="0.2">
      <c r="A14" s="215"/>
      <c r="B14" s="216"/>
      <c r="C14" s="216"/>
      <c r="D14" s="216"/>
      <c r="E14" s="201" t="s">
        <v>322</v>
      </c>
      <c r="F14" s="201" t="s">
        <v>224</v>
      </c>
      <c r="G14" s="200" t="s">
        <v>225</v>
      </c>
      <c r="H14" s="200"/>
      <c r="I14" s="201" t="s">
        <v>226</v>
      </c>
      <c r="J14" s="201" t="s">
        <v>322</v>
      </c>
      <c r="K14" s="201" t="s">
        <v>323</v>
      </c>
      <c r="L14" s="201" t="s">
        <v>224</v>
      </c>
      <c r="M14" s="200" t="s">
        <v>225</v>
      </c>
      <c r="N14" s="200"/>
      <c r="O14" s="201" t="s">
        <v>226</v>
      </c>
      <c r="P14" s="202"/>
      <c r="Q14" s="197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  <c r="JD14" s="119"/>
      <c r="JE14" s="119"/>
      <c r="JF14" s="119"/>
      <c r="JG14" s="119"/>
      <c r="JH14" s="119"/>
      <c r="JI14" s="119"/>
      <c r="JJ14" s="119"/>
      <c r="JK14" s="119"/>
      <c r="JL14" s="119"/>
      <c r="JM14" s="119"/>
      <c r="JN14" s="119"/>
      <c r="JO14" s="119"/>
      <c r="JP14" s="119"/>
      <c r="JQ14" s="119"/>
      <c r="JR14" s="119"/>
      <c r="JS14" s="119"/>
      <c r="JT14" s="119"/>
      <c r="JU14" s="119"/>
      <c r="JV14" s="119"/>
      <c r="JW14" s="119"/>
      <c r="JX14" s="119"/>
      <c r="JY14" s="119"/>
      <c r="JZ14" s="119"/>
      <c r="KA14" s="119"/>
      <c r="KB14" s="119"/>
      <c r="KC14" s="119"/>
      <c r="KD14" s="119"/>
      <c r="KE14" s="119"/>
      <c r="KF14" s="119"/>
      <c r="KG14" s="119"/>
      <c r="KH14" s="119"/>
      <c r="KI14" s="119"/>
      <c r="KJ14" s="119"/>
      <c r="KK14" s="119"/>
      <c r="KL14" s="119"/>
      <c r="KM14" s="119"/>
      <c r="KN14" s="119"/>
      <c r="KO14" s="119"/>
      <c r="KP14" s="119"/>
      <c r="KQ14" s="119"/>
      <c r="KR14" s="119"/>
      <c r="KS14" s="119"/>
      <c r="KT14" s="119"/>
      <c r="KU14" s="119"/>
      <c r="KV14" s="119"/>
      <c r="KW14" s="119"/>
      <c r="KX14" s="119"/>
      <c r="KY14" s="119"/>
      <c r="KZ14" s="119"/>
      <c r="LA14" s="119"/>
      <c r="LB14" s="119"/>
      <c r="LC14" s="119"/>
      <c r="LD14" s="119"/>
      <c r="LE14" s="119"/>
      <c r="LF14" s="119"/>
      <c r="LG14" s="119"/>
      <c r="LH14" s="119"/>
      <c r="LI14" s="119"/>
      <c r="LJ14" s="119"/>
      <c r="LK14" s="119"/>
      <c r="LL14" s="119"/>
      <c r="LM14" s="119"/>
      <c r="LN14" s="119"/>
      <c r="LO14" s="119"/>
      <c r="LP14" s="119"/>
      <c r="LQ14" s="119"/>
      <c r="LR14" s="119"/>
      <c r="LS14" s="119"/>
      <c r="LT14" s="119"/>
      <c r="LU14" s="119"/>
      <c r="LV14" s="119"/>
      <c r="LW14" s="119"/>
      <c r="LX14" s="119"/>
      <c r="LY14" s="119"/>
      <c r="LZ14" s="119"/>
      <c r="MA14" s="119"/>
      <c r="MB14" s="119"/>
      <c r="MC14" s="119"/>
      <c r="MD14" s="119"/>
      <c r="ME14" s="119"/>
      <c r="MF14" s="119"/>
      <c r="MG14" s="119"/>
      <c r="MH14" s="119"/>
      <c r="MI14" s="119"/>
      <c r="MJ14" s="119"/>
      <c r="MK14" s="119"/>
      <c r="ML14" s="119"/>
      <c r="MM14" s="119"/>
      <c r="MN14" s="119"/>
      <c r="MO14" s="119"/>
      <c r="MP14" s="119"/>
      <c r="MQ14" s="119"/>
      <c r="MR14" s="119"/>
      <c r="MS14" s="119"/>
      <c r="MT14" s="119"/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  <c r="ON14" s="119"/>
      <c r="OO14" s="119"/>
      <c r="OP14" s="119"/>
      <c r="OQ14" s="119"/>
      <c r="OR14" s="119"/>
      <c r="OS14" s="119"/>
      <c r="OT14" s="119"/>
      <c r="OU14" s="119"/>
      <c r="OV14" s="119"/>
      <c r="OW14" s="119"/>
      <c r="OX14" s="119"/>
      <c r="OY14" s="119"/>
      <c r="OZ14" s="119"/>
      <c r="PA14" s="119"/>
      <c r="PB14" s="119"/>
      <c r="PC14" s="119"/>
      <c r="PD14" s="119"/>
      <c r="PE14" s="119"/>
      <c r="PF14" s="119"/>
      <c r="PG14" s="119"/>
      <c r="PH14" s="119"/>
      <c r="PI14" s="119"/>
      <c r="PJ14" s="119"/>
      <c r="PK14" s="119"/>
      <c r="PL14" s="119"/>
      <c r="PM14" s="119"/>
      <c r="PN14" s="119"/>
      <c r="PO14" s="119"/>
      <c r="PP14" s="119"/>
      <c r="PQ14" s="119"/>
      <c r="PR14" s="119"/>
      <c r="PS14" s="119"/>
      <c r="PT14" s="119"/>
      <c r="PU14" s="119"/>
      <c r="PV14" s="119"/>
      <c r="PW14" s="119"/>
      <c r="PX14" s="119"/>
      <c r="PY14" s="119"/>
      <c r="PZ14" s="119"/>
      <c r="QA14" s="119"/>
      <c r="QB14" s="119"/>
      <c r="QC14" s="119"/>
      <c r="QD14" s="119"/>
      <c r="QE14" s="119"/>
      <c r="QF14" s="119"/>
      <c r="QG14" s="119"/>
      <c r="QH14" s="119"/>
      <c r="QI14" s="119"/>
      <c r="QJ14" s="119"/>
      <c r="QK14" s="119"/>
      <c r="QL14" s="119"/>
      <c r="QM14" s="119"/>
      <c r="QN14" s="119"/>
      <c r="QO14" s="119"/>
      <c r="QP14" s="119"/>
      <c r="QQ14" s="119"/>
      <c r="QR14" s="119"/>
      <c r="QS14" s="119"/>
      <c r="QT14" s="119"/>
      <c r="QU14" s="119"/>
      <c r="QV14" s="119"/>
      <c r="QW14" s="119"/>
      <c r="QX14" s="119"/>
      <c r="QY14" s="119"/>
      <c r="QZ14" s="119"/>
      <c r="RA14" s="119"/>
      <c r="RB14" s="119"/>
      <c r="RC14" s="119"/>
      <c r="RD14" s="119"/>
      <c r="RE14" s="119"/>
      <c r="RF14" s="119"/>
      <c r="RG14" s="119"/>
      <c r="RH14" s="119"/>
      <c r="RI14" s="119"/>
      <c r="RJ14" s="119"/>
      <c r="RK14" s="119"/>
      <c r="RL14" s="119"/>
      <c r="RM14" s="119"/>
      <c r="RN14" s="119"/>
      <c r="RO14" s="119"/>
      <c r="RP14" s="119"/>
      <c r="RQ14" s="119"/>
      <c r="RR14" s="119"/>
      <c r="RS14" s="119"/>
      <c r="RT14" s="119"/>
      <c r="RU14" s="119"/>
      <c r="RV14" s="119"/>
      <c r="RW14" s="119"/>
      <c r="RX14" s="119"/>
      <c r="RY14" s="119"/>
      <c r="RZ14" s="119"/>
      <c r="SA14" s="119"/>
      <c r="SB14" s="119"/>
      <c r="SC14" s="119"/>
      <c r="SD14" s="119"/>
      <c r="SE14" s="119"/>
      <c r="SF14" s="119"/>
      <c r="SG14" s="119"/>
      <c r="SH14" s="119"/>
      <c r="SI14" s="119"/>
      <c r="SJ14" s="119"/>
      <c r="SK14" s="119"/>
      <c r="SL14" s="119"/>
      <c r="SM14" s="119"/>
      <c r="SN14" s="119"/>
      <c r="SO14" s="119"/>
      <c r="SP14" s="119"/>
      <c r="SQ14" s="119"/>
      <c r="SR14" s="119"/>
      <c r="SS14" s="119"/>
      <c r="ST14" s="119"/>
      <c r="SU14" s="119"/>
      <c r="SV14" s="119"/>
      <c r="SW14" s="119"/>
      <c r="SX14" s="119"/>
      <c r="SY14" s="119"/>
      <c r="SZ14" s="119"/>
      <c r="TA14" s="119"/>
      <c r="TB14" s="119"/>
      <c r="TC14" s="119"/>
      <c r="TD14" s="119"/>
      <c r="TE14" s="119"/>
    </row>
    <row r="15" spans="1:525" s="120" customFormat="1" ht="72.75" customHeight="1" x14ac:dyDescent="0.2">
      <c r="A15" s="215"/>
      <c r="B15" s="216"/>
      <c r="C15" s="216"/>
      <c r="D15" s="216"/>
      <c r="E15" s="201"/>
      <c r="F15" s="201"/>
      <c r="G15" s="112" t="s">
        <v>227</v>
      </c>
      <c r="H15" s="112" t="s">
        <v>228</v>
      </c>
      <c r="I15" s="201"/>
      <c r="J15" s="201"/>
      <c r="K15" s="201"/>
      <c r="L15" s="201"/>
      <c r="M15" s="112" t="s">
        <v>227</v>
      </c>
      <c r="N15" s="112" t="s">
        <v>228</v>
      </c>
      <c r="O15" s="201"/>
      <c r="P15" s="202"/>
      <c r="Q15" s="197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D15" s="119"/>
      <c r="JE15" s="119"/>
      <c r="JF15" s="119"/>
      <c r="JG15" s="119"/>
      <c r="JH15" s="119"/>
      <c r="JI15" s="119"/>
      <c r="JJ15" s="119"/>
      <c r="JK15" s="119"/>
      <c r="JL15" s="119"/>
      <c r="JM15" s="119"/>
      <c r="JN15" s="119"/>
      <c r="JO15" s="119"/>
      <c r="JP15" s="119"/>
      <c r="JQ15" s="119"/>
      <c r="JR15" s="119"/>
      <c r="JS15" s="119"/>
      <c r="JT15" s="119"/>
      <c r="JU15" s="119"/>
      <c r="JV15" s="119"/>
      <c r="JW15" s="119"/>
      <c r="JX15" s="119"/>
      <c r="JY15" s="119"/>
      <c r="JZ15" s="119"/>
      <c r="KA15" s="119"/>
      <c r="KB15" s="119"/>
      <c r="KC15" s="119"/>
      <c r="KD15" s="119"/>
      <c r="KE15" s="119"/>
      <c r="KF15" s="119"/>
      <c r="KG15" s="119"/>
      <c r="KH15" s="119"/>
      <c r="KI15" s="119"/>
      <c r="KJ15" s="119"/>
      <c r="KK15" s="119"/>
      <c r="KL15" s="119"/>
      <c r="KM15" s="119"/>
      <c r="KN15" s="119"/>
      <c r="KO15" s="119"/>
      <c r="KP15" s="119"/>
      <c r="KQ15" s="119"/>
      <c r="KR15" s="119"/>
      <c r="KS15" s="119"/>
      <c r="KT15" s="119"/>
      <c r="KU15" s="119"/>
      <c r="KV15" s="119"/>
      <c r="KW15" s="119"/>
      <c r="KX15" s="119"/>
      <c r="KY15" s="119"/>
      <c r="KZ15" s="119"/>
      <c r="LA15" s="119"/>
      <c r="LB15" s="119"/>
      <c r="LC15" s="119"/>
      <c r="LD15" s="119"/>
      <c r="LE15" s="119"/>
      <c r="LF15" s="119"/>
      <c r="LG15" s="119"/>
      <c r="LH15" s="119"/>
      <c r="LI15" s="119"/>
      <c r="LJ15" s="119"/>
      <c r="LK15" s="119"/>
      <c r="LL15" s="119"/>
      <c r="LM15" s="119"/>
      <c r="LN15" s="119"/>
      <c r="LO15" s="119"/>
      <c r="LP15" s="119"/>
      <c r="LQ15" s="119"/>
      <c r="LR15" s="119"/>
      <c r="LS15" s="119"/>
      <c r="LT15" s="119"/>
      <c r="LU15" s="119"/>
      <c r="LV15" s="119"/>
      <c r="LW15" s="119"/>
      <c r="LX15" s="119"/>
      <c r="LY15" s="119"/>
      <c r="LZ15" s="119"/>
      <c r="MA15" s="119"/>
      <c r="MB15" s="119"/>
      <c r="MC15" s="119"/>
      <c r="MD15" s="119"/>
      <c r="ME15" s="119"/>
      <c r="MF15" s="119"/>
      <c r="MG15" s="119"/>
      <c r="MH15" s="119"/>
      <c r="MI15" s="119"/>
      <c r="MJ15" s="119"/>
      <c r="MK15" s="119"/>
      <c r="ML15" s="119"/>
      <c r="MM15" s="119"/>
      <c r="MN15" s="119"/>
      <c r="MO15" s="119"/>
      <c r="MP15" s="119"/>
      <c r="MQ15" s="119"/>
      <c r="MR15" s="119"/>
      <c r="MS15" s="119"/>
      <c r="MT15" s="119"/>
      <c r="MU15" s="119"/>
      <c r="MV15" s="119"/>
      <c r="MW15" s="119"/>
      <c r="MX15" s="119"/>
      <c r="MY15" s="119"/>
      <c r="MZ15" s="119"/>
      <c r="NA15" s="119"/>
      <c r="NB15" s="119"/>
      <c r="NC15" s="119"/>
      <c r="ND15" s="119"/>
      <c r="NE15" s="119"/>
      <c r="NF15" s="119"/>
      <c r="NG15" s="119"/>
      <c r="NH15" s="119"/>
      <c r="NI15" s="119"/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19"/>
      <c r="NX15" s="119"/>
      <c r="NY15" s="119"/>
      <c r="NZ15" s="119"/>
      <c r="OA15" s="119"/>
      <c r="OB15" s="119"/>
      <c r="OC15" s="119"/>
      <c r="OD15" s="119"/>
      <c r="OE15" s="119"/>
      <c r="OF15" s="119"/>
      <c r="OG15" s="119"/>
      <c r="OH15" s="119"/>
      <c r="OI15" s="119"/>
      <c r="OJ15" s="119"/>
      <c r="OK15" s="119"/>
      <c r="OL15" s="119"/>
      <c r="OM15" s="119"/>
      <c r="ON15" s="119"/>
      <c r="OO15" s="119"/>
      <c r="OP15" s="119"/>
      <c r="OQ15" s="119"/>
      <c r="OR15" s="119"/>
      <c r="OS15" s="119"/>
      <c r="OT15" s="119"/>
      <c r="OU15" s="119"/>
      <c r="OV15" s="119"/>
      <c r="OW15" s="119"/>
      <c r="OX15" s="119"/>
      <c r="OY15" s="119"/>
      <c r="OZ15" s="119"/>
      <c r="PA15" s="119"/>
      <c r="PB15" s="119"/>
      <c r="PC15" s="119"/>
      <c r="PD15" s="119"/>
      <c r="PE15" s="119"/>
      <c r="PF15" s="119"/>
      <c r="PG15" s="119"/>
      <c r="PH15" s="119"/>
      <c r="PI15" s="119"/>
      <c r="PJ15" s="119"/>
      <c r="PK15" s="119"/>
      <c r="PL15" s="119"/>
      <c r="PM15" s="119"/>
      <c r="PN15" s="119"/>
      <c r="PO15" s="119"/>
      <c r="PP15" s="119"/>
      <c r="PQ15" s="119"/>
      <c r="PR15" s="119"/>
      <c r="PS15" s="119"/>
      <c r="PT15" s="119"/>
      <c r="PU15" s="119"/>
      <c r="PV15" s="119"/>
      <c r="PW15" s="119"/>
      <c r="PX15" s="119"/>
      <c r="PY15" s="119"/>
      <c r="PZ15" s="119"/>
      <c r="QA15" s="119"/>
      <c r="QB15" s="119"/>
      <c r="QC15" s="119"/>
      <c r="QD15" s="119"/>
      <c r="QE15" s="119"/>
      <c r="QF15" s="119"/>
      <c r="QG15" s="119"/>
      <c r="QH15" s="119"/>
      <c r="QI15" s="119"/>
      <c r="QJ15" s="119"/>
      <c r="QK15" s="119"/>
      <c r="QL15" s="119"/>
      <c r="QM15" s="119"/>
      <c r="QN15" s="119"/>
      <c r="QO15" s="119"/>
      <c r="QP15" s="119"/>
      <c r="QQ15" s="119"/>
      <c r="QR15" s="119"/>
      <c r="QS15" s="119"/>
      <c r="QT15" s="119"/>
      <c r="QU15" s="119"/>
      <c r="QV15" s="119"/>
      <c r="QW15" s="119"/>
      <c r="QX15" s="119"/>
      <c r="QY15" s="119"/>
      <c r="QZ15" s="119"/>
      <c r="RA15" s="119"/>
      <c r="RB15" s="119"/>
      <c r="RC15" s="119"/>
      <c r="RD15" s="119"/>
      <c r="RE15" s="119"/>
      <c r="RF15" s="119"/>
      <c r="RG15" s="119"/>
      <c r="RH15" s="119"/>
      <c r="RI15" s="119"/>
      <c r="RJ15" s="119"/>
      <c r="RK15" s="119"/>
      <c r="RL15" s="119"/>
      <c r="RM15" s="119"/>
      <c r="RN15" s="119"/>
      <c r="RO15" s="119"/>
      <c r="RP15" s="119"/>
      <c r="RQ15" s="119"/>
      <c r="RR15" s="119"/>
      <c r="RS15" s="119"/>
      <c r="RT15" s="119"/>
      <c r="RU15" s="119"/>
      <c r="RV15" s="119"/>
      <c r="RW15" s="119"/>
      <c r="RX15" s="119"/>
      <c r="RY15" s="119"/>
      <c r="RZ15" s="119"/>
      <c r="SA15" s="119"/>
      <c r="SB15" s="119"/>
      <c r="SC15" s="119"/>
      <c r="SD15" s="119"/>
      <c r="SE15" s="119"/>
      <c r="SF15" s="119"/>
      <c r="SG15" s="119"/>
      <c r="SH15" s="119"/>
      <c r="SI15" s="119"/>
      <c r="SJ15" s="119"/>
      <c r="SK15" s="119"/>
      <c r="SL15" s="119"/>
      <c r="SM15" s="119"/>
      <c r="SN15" s="119"/>
      <c r="SO15" s="119"/>
      <c r="SP15" s="119"/>
      <c r="SQ15" s="119"/>
      <c r="SR15" s="119"/>
      <c r="SS15" s="119"/>
      <c r="ST15" s="119"/>
      <c r="SU15" s="119"/>
      <c r="SV15" s="119"/>
      <c r="SW15" s="119"/>
      <c r="SX15" s="119"/>
      <c r="SY15" s="119"/>
      <c r="SZ15" s="119"/>
      <c r="TA15" s="119"/>
      <c r="TB15" s="119"/>
      <c r="TC15" s="119"/>
      <c r="TD15" s="119"/>
      <c r="TE15" s="119"/>
    </row>
    <row r="16" spans="1:525" s="124" customFormat="1" ht="24" customHeight="1" x14ac:dyDescent="0.25">
      <c r="A16" s="121" t="s">
        <v>146</v>
      </c>
      <c r="B16" s="122"/>
      <c r="C16" s="122"/>
      <c r="D16" s="123" t="s">
        <v>34</v>
      </c>
      <c r="E16" s="15">
        <f>E17</f>
        <v>351426418</v>
      </c>
      <c r="F16" s="15">
        <f>F17</f>
        <v>260366418</v>
      </c>
      <c r="G16" s="15">
        <f t="shared" ref="G16:J16" si="0">G17</f>
        <v>130003300</v>
      </c>
      <c r="H16" s="15">
        <f t="shared" si="0"/>
        <v>16907500</v>
      </c>
      <c r="I16" s="15">
        <f t="shared" si="0"/>
        <v>91060000</v>
      </c>
      <c r="J16" s="15">
        <f t="shared" si="0"/>
        <v>72910399</v>
      </c>
      <c r="K16" s="15">
        <f t="shared" ref="K16" si="1">K17</f>
        <v>72233059</v>
      </c>
      <c r="L16" s="15">
        <f t="shared" ref="L16" si="2">L17</f>
        <v>677340</v>
      </c>
      <c r="M16" s="15">
        <f t="shared" ref="M16" si="3">M17</f>
        <v>345344</v>
      </c>
      <c r="N16" s="15">
        <f t="shared" ref="N16" si="4">N17</f>
        <v>103112</v>
      </c>
      <c r="O16" s="15">
        <f t="shared" ref="O16:P16" si="5">O17</f>
        <v>72233059</v>
      </c>
      <c r="P16" s="15">
        <f t="shared" si="5"/>
        <v>424336817</v>
      </c>
      <c r="Q16" s="197"/>
    </row>
    <row r="17" spans="1:17" s="11" customFormat="1" ht="31.5" customHeight="1" x14ac:dyDescent="0.25">
      <c r="A17" s="7" t="s">
        <v>147</v>
      </c>
      <c r="B17" s="84"/>
      <c r="C17" s="84"/>
      <c r="D17" s="9" t="s">
        <v>722</v>
      </c>
      <c r="E17" s="10">
        <f>E20+E21+E22+E23+E25+E26+E27+E28+E30+E31+E32+E33+E34+E35+E36+E37+E38+E39+E40+E41+E43+E44+E45+E47+E49+E50+E51+E53+E54+E55+E56+E57+E58+E60+E62+E63+E46+E48+E67+E64+E42+E29+E65+E61+E66+E52</f>
        <v>351426418</v>
      </c>
      <c r="F17" s="10">
        <f t="shared" ref="F17:O17" si="6">F20+F21+F22+F23+F25+F26+F27+F28+F30+F31+F32+F33+F34+F35+F36+F37+F38+F39+F40+F41+F43+F44+F45+F47+F49+F50+F51+F53+F54+F55+F56+F57+F58+F60+F62+F63+F46+F48+F67+F64+F42+F29+F65+F61+F66+F52</f>
        <v>260366418</v>
      </c>
      <c r="G17" s="10">
        <f t="shared" si="6"/>
        <v>130003300</v>
      </c>
      <c r="H17" s="10">
        <f>H20+H21+H22+H23+H25+H26+H27+H28+H30+H31+H32+H33+H34+H35+H36+H37+H38+H39+H40+H41+H43+H44+H45+H47+H49+H50+H51+H53+H54+H55+H56+H57+H58+H60+H62+H63+H46+H48+H67+H64+H42+H29+H65+H61+H66+H52</f>
        <v>16907500</v>
      </c>
      <c r="I17" s="10">
        <f t="shared" si="6"/>
        <v>91060000</v>
      </c>
      <c r="J17" s="10">
        <f t="shared" si="6"/>
        <v>72910399</v>
      </c>
      <c r="K17" s="10">
        <f t="shared" si="6"/>
        <v>72233059</v>
      </c>
      <c r="L17" s="10">
        <f t="shared" si="6"/>
        <v>677340</v>
      </c>
      <c r="M17" s="10">
        <f t="shared" si="6"/>
        <v>345344</v>
      </c>
      <c r="N17" s="10">
        <f t="shared" si="6"/>
        <v>103112</v>
      </c>
      <c r="O17" s="10">
        <f t="shared" si="6"/>
        <v>72233059</v>
      </c>
      <c r="P17" s="10">
        <f>P20+P21+P22+P23+P25+P26+P27+P28+P30+P31+P32+P33+P34+P35+P36+P37+P38+P39+P40+P41+P43+P44+P45+P47+P49+P50+P51+P53+P54+P55+P56+P57+P58+P60+P62+P63+P46+P48+P67+P64+P42+P29+P65+P61+P66+P52</f>
        <v>424336817</v>
      </c>
      <c r="Q17" s="197"/>
    </row>
    <row r="18" spans="1:17" s="11" customFormat="1" ht="50.25" customHeight="1" x14ac:dyDescent="0.25">
      <c r="A18" s="7"/>
      <c r="B18" s="84"/>
      <c r="C18" s="84"/>
      <c r="D18" s="9" t="s">
        <v>376</v>
      </c>
      <c r="E18" s="10">
        <f>E59</f>
        <v>410600</v>
      </c>
      <c r="F18" s="10">
        <f t="shared" ref="F18:P18" si="7">F59</f>
        <v>410600</v>
      </c>
      <c r="G18" s="10">
        <f t="shared" si="7"/>
        <v>336800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 t="shared" si="7"/>
        <v>0</v>
      </c>
      <c r="M18" s="10">
        <f t="shared" si="7"/>
        <v>0</v>
      </c>
      <c r="N18" s="10">
        <f t="shared" si="7"/>
        <v>0</v>
      </c>
      <c r="O18" s="10">
        <f t="shared" si="7"/>
        <v>0</v>
      </c>
      <c r="P18" s="10">
        <f t="shared" si="7"/>
        <v>410600</v>
      </c>
      <c r="Q18" s="197"/>
    </row>
    <row r="19" spans="1:17" s="11" customFormat="1" ht="63" hidden="1" customHeight="1" x14ac:dyDescent="0.25">
      <c r="A19" s="7"/>
      <c r="B19" s="84"/>
      <c r="C19" s="84"/>
      <c r="D19" s="9" t="str">
        <f>'дод 7'!C21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10">
        <f>E24</f>
        <v>0</v>
      </c>
      <c r="F19" s="10">
        <f t="shared" ref="F19:P19" si="8">F24</f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  <c r="K19" s="10">
        <f t="shared" si="8"/>
        <v>0</v>
      </c>
      <c r="L19" s="10">
        <f t="shared" si="8"/>
        <v>0</v>
      </c>
      <c r="M19" s="10">
        <f t="shared" si="8"/>
        <v>0</v>
      </c>
      <c r="N19" s="10">
        <f t="shared" si="8"/>
        <v>0</v>
      </c>
      <c r="O19" s="10">
        <f t="shared" si="8"/>
        <v>0</v>
      </c>
      <c r="P19" s="10">
        <f t="shared" si="8"/>
        <v>0</v>
      </c>
      <c r="Q19" s="197"/>
    </row>
    <row r="20" spans="1:17" s="125" customFormat="1" ht="45.75" customHeight="1" x14ac:dyDescent="0.25">
      <c r="A20" s="1" t="s">
        <v>148</v>
      </c>
      <c r="B20" s="3" t="str">
        <f>'дод 7'!A17</f>
        <v>0160</v>
      </c>
      <c r="C20" s="3" t="str">
        <f>'дод 7'!B17</f>
        <v>0111</v>
      </c>
      <c r="D20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20" s="2">
        <f>F20+I20</f>
        <v>127618900</v>
      </c>
      <c r="F20" s="2">
        <f>127421600-92800+5000+610000-324900</f>
        <v>127618900</v>
      </c>
      <c r="G20" s="2">
        <f>92423800-266300</f>
        <v>92157500</v>
      </c>
      <c r="H20" s="2">
        <f>6355400-92800+5000</f>
        <v>6267600</v>
      </c>
      <c r="I20" s="2"/>
      <c r="J20" s="2">
        <f>L20+O20</f>
        <v>14590879</v>
      </c>
      <c r="K20" s="2">
        <f>4000000+10590879</f>
        <v>14590879</v>
      </c>
      <c r="L20" s="2"/>
      <c r="M20" s="2"/>
      <c r="N20" s="2"/>
      <c r="O20" s="2">
        <f>4000000+10590879</f>
        <v>14590879</v>
      </c>
      <c r="P20" s="2">
        <f t="shared" ref="P20:P67" si="9">E20+J20</f>
        <v>142209779</v>
      </c>
      <c r="Q20" s="197"/>
    </row>
    <row r="21" spans="1:17" s="125" customFormat="1" ht="35.25" hidden="1" customHeight="1" x14ac:dyDescent="0.25">
      <c r="A21" s="1" t="s">
        <v>430</v>
      </c>
      <c r="B21" s="1" t="s">
        <v>89</v>
      </c>
      <c r="C21" s="1" t="s">
        <v>440</v>
      </c>
      <c r="D21" s="63" t="s">
        <v>431</v>
      </c>
      <c r="E21" s="2">
        <f t="shared" ref="E21:E64" si="10">F21+I21</f>
        <v>0</v>
      </c>
      <c r="F21" s="2"/>
      <c r="G21" s="2"/>
      <c r="H21" s="2"/>
      <c r="I21" s="2"/>
      <c r="J21" s="2">
        <f>L21+O21</f>
        <v>0</v>
      </c>
      <c r="K21" s="2"/>
      <c r="L21" s="2"/>
      <c r="M21" s="2"/>
      <c r="N21" s="2"/>
      <c r="O21" s="2"/>
      <c r="P21" s="2">
        <f t="shared" si="9"/>
        <v>0</v>
      </c>
      <c r="Q21" s="197"/>
    </row>
    <row r="22" spans="1:17" s="125" customFormat="1" ht="22.5" customHeight="1" x14ac:dyDescent="0.25">
      <c r="A22" s="1" t="s">
        <v>238</v>
      </c>
      <c r="B22" s="3" t="str">
        <f>'дод 7'!A19</f>
        <v>0180</v>
      </c>
      <c r="C22" s="3" t="str">
        <f>'дод 7'!B19</f>
        <v>0133</v>
      </c>
      <c r="D22" s="63" t="str">
        <f>'дод 7'!C19</f>
        <v>Інша діяльність у сфері державного управління</v>
      </c>
      <c r="E22" s="2">
        <f t="shared" si="10"/>
        <v>1970000</v>
      </c>
      <c r="F22" s="2">
        <f>1000000+3200400+208800-1084000-795000-560200</f>
        <v>1970000</v>
      </c>
      <c r="G22" s="2"/>
      <c r="H22" s="2"/>
      <c r="I22" s="2"/>
      <c r="J22" s="2">
        <f t="shared" ref="J22:J24" si="11">L22+O22</f>
        <v>0</v>
      </c>
      <c r="K22" s="2"/>
      <c r="L22" s="2"/>
      <c r="M22" s="2"/>
      <c r="N22" s="2"/>
      <c r="O22" s="2"/>
      <c r="P22" s="2">
        <f t="shared" si="9"/>
        <v>1970000</v>
      </c>
      <c r="Q22" s="197"/>
    </row>
    <row r="23" spans="1:17" s="125" customFormat="1" ht="15.75" hidden="1" customHeight="1" x14ac:dyDescent="0.25">
      <c r="A23" s="1" t="s">
        <v>418</v>
      </c>
      <c r="B23" s="1" t="s">
        <v>419</v>
      </c>
      <c r="C23" s="1" t="s">
        <v>117</v>
      </c>
      <c r="D23" s="63" t="s">
        <v>420</v>
      </c>
      <c r="E23" s="2">
        <f t="shared" si="10"/>
        <v>0</v>
      </c>
      <c r="F23" s="2"/>
      <c r="G23" s="2"/>
      <c r="H23" s="2"/>
      <c r="I23" s="2"/>
      <c r="J23" s="2">
        <f t="shared" si="11"/>
        <v>0</v>
      </c>
      <c r="K23" s="2"/>
      <c r="L23" s="2"/>
      <c r="M23" s="2"/>
      <c r="N23" s="2"/>
      <c r="O23" s="2"/>
      <c r="P23" s="2">
        <f t="shared" si="9"/>
        <v>0</v>
      </c>
      <c r="Q23" s="197"/>
    </row>
    <row r="24" spans="1:17" s="5" customFormat="1" ht="60" hidden="1" customHeight="1" x14ac:dyDescent="0.25">
      <c r="A24" s="66"/>
      <c r="B24" s="126"/>
      <c r="C24" s="126"/>
      <c r="D24" s="64" t="str">
        <f>'дод 7'!C21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16">
        <f t="shared" si="10"/>
        <v>0</v>
      </c>
      <c r="F24" s="16"/>
      <c r="G24" s="16"/>
      <c r="H24" s="16"/>
      <c r="I24" s="16"/>
      <c r="J24" s="16">
        <f t="shared" si="11"/>
        <v>0</v>
      </c>
      <c r="K24" s="16"/>
      <c r="L24" s="16"/>
      <c r="M24" s="16"/>
      <c r="N24" s="16"/>
      <c r="O24" s="16"/>
      <c r="P24" s="16">
        <f t="shared" si="9"/>
        <v>0</v>
      </c>
      <c r="Q24" s="197"/>
    </row>
    <row r="25" spans="1:17" s="125" customFormat="1" ht="47.25" customHeight="1" x14ac:dyDescent="0.25">
      <c r="A25" s="1" t="s">
        <v>254</v>
      </c>
      <c r="B25" s="3" t="str">
        <f>'дод 7'!A119</f>
        <v>3033</v>
      </c>
      <c r="C25" s="3" t="str">
        <f>'дод 7'!B119</f>
        <v>1070</v>
      </c>
      <c r="D25" s="63" t="s">
        <v>399</v>
      </c>
      <c r="E25" s="2">
        <f t="shared" si="10"/>
        <v>555700</v>
      </c>
      <c r="F25" s="2">
        <v>555700</v>
      </c>
      <c r="G25" s="2"/>
      <c r="H25" s="2"/>
      <c r="I25" s="2"/>
      <c r="J25" s="2">
        <f t="shared" ref="J25:J67" si="12">L25+O25</f>
        <v>0</v>
      </c>
      <c r="K25" s="2"/>
      <c r="L25" s="2"/>
      <c r="M25" s="2"/>
      <c r="N25" s="2"/>
      <c r="O25" s="2"/>
      <c r="P25" s="2">
        <f t="shared" si="9"/>
        <v>555700</v>
      </c>
      <c r="Q25" s="197"/>
    </row>
    <row r="26" spans="1:17" s="125" customFormat="1" ht="31.5" customHeight="1" x14ac:dyDescent="0.25">
      <c r="A26" s="1" t="s">
        <v>149</v>
      </c>
      <c r="B26" s="3" t="str">
        <f>'дод 7'!A122</f>
        <v>3036</v>
      </c>
      <c r="C26" s="3" t="str">
        <f>'дод 7'!B122</f>
        <v>1070</v>
      </c>
      <c r="D26" s="63" t="str">
        <f>'дод 7'!C122</f>
        <v>Компенсаційні виплати на пільговий проїзд електротранспортом окремим категоріям громадян</v>
      </c>
      <c r="E26" s="2">
        <f t="shared" si="10"/>
        <v>966300</v>
      </c>
      <c r="F26" s="2">
        <v>966300</v>
      </c>
      <c r="G26" s="2"/>
      <c r="H26" s="2"/>
      <c r="I26" s="2"/>
      <c r="J26" s="2">
        <f t="shared" si="12"/>
        <v>0</v>
      </c>
      <c r="K26" s="2"/>
      <c r="L26" s="2"/>
      <c r="M26" s="2"/>
      <c r="N26" s="2"/>
      <c r="O26" s="2"/>
      <c r="P26" s="2">
        <f t="shared" si="9"/>
        <v>966300</v>
      </c>
      <c r="Q26" s="197"/>
    </row>
    <row r="27" spans="1:17" s="125" customFormat="1" ht="36" customHeight="1" x14ac:dyDescent="0.25">
      <c r="A27" s="1" t="s">
        <v>150</v>
      </c>
      <c r="B27" s="3" t="str">
        <f>'дод 7'!A130</f>
        <v>3121</v>
      </c>
      <c r="C27" s="3" t="str">
        <f>'дод 7'!B130</f>
        <v>1040</v>
      </c>
      <c r="D27" s="63" t="str">
        <f>'дод 7'!C130</f>
        <v>Утримання та забезпечення діяльності центрів соціальних служб</v>
      </c>
      <c r="E27" s="2">
        <f t="shared" si="10"/>
        <v>4383800</v>
      </c>
      <c r="F27" s="2">
        <v>4383800</v>
      </c>
      <c r="G27" s="2">
        <v>3236100</v>
      </c>
      <c r="H27" s="2">
        <v>106600</v>
      </c>
      <c r="I27" s="2"/>
      <c r="J27" s="2">
        <f t="shared" si="12"/>
        <v>100000</v>
      </c>
      <c r="K27" s="2">
        <v>100000</v>
      </c>
      <c r="L27" s="2"/>
      <c r="M27" s="2"/>
      <c r="N27" s="2"/>
      <c r="O27" s="2">
        <v>100000</v>
      </c>
      <c r="P27" s="2">
        <f t="shared" si="9"/>
        <v>4483800</v>
      </c>
      <c r="Q27" s="197"/>
    </row>
    <row r="28" spans="1:17" s="125" customFormat="1" ht="49.35" customHeight="1" x14ac:dyDescent="0.25">
      <c r="A28" s="1" t="s">
        <v>151</v>
      </c>
      <c r="B28" s="3" t="str">
        <f>'дод 7'!A131</f>
        <v>3131</v>
      </c>
      <c r="C28" s="3" t="str">
        <f>'дод 7'!B131</f>
        <v>1040</v>
      </c>
      <c r="D28" s="63" t="str">
        <f>'дод 7'!C131</f>
        <v>Здійснення заходів та реалізація проектів на виконання Державної цільової соціальної програми "Молодь України"</v>
      </c>
      <c r="E28" s="2">
        <f t="shared" si="10"/>
        <v>500000</v>
      </c>
      <c r="F28" s="2">
        <f>1000000-500000</f>
        <v>500000</v>
      </c>
      <c r="G28" s="2"/>
      <c r="H28" s="2"/>
      <c r="I28" s="2"/>
      <c r="J28" s="2">
        <f t="shared" si="12"/>
        <v>0</v>
      </c>
      <c r="K28" s="2"/>
      <c r="L28" s="2"/>
      <c r="M28" s="2"/>
      <c r="N28" s="2"/>
      <c r="O28" s="2"/>
      <c r="P28" s="2">
        <f t="shared" si="9"/>
        <v>500000</v>
      </c>
      <c r="Q28" s="197"/>
    </row>
    <row r="29" spans="1:17" s="125" customFormat="1" ht="21.75" customHeight="1" x14ac:dyDescent="0.25">
      <c r="A29" s="1" t="s">
        <v>548</v>
      </c>
      <c r="B29" s="3">
        <v>3133</v>
      </c>
      <c r="C29" s="3">
        <v>1040</v>
      </c>
      <c r="D29" s="63" t="str">
        <f>'дод 7'!C132</f>
        <v>Інші заходи та заклади молодіжної політики</v>
      </c>
      <c r="E29" s="2">
        <f t="shared" si="10"/>
        <v>6297600</v>
      </c>
      <c r="F29" s="2">
        <f>6227600+70000</f>
        <v>6297600</v>
      </c>
      <c r="G29" s="2">
        <v>3587200</v>
      </c>
      <c r="H29" s="2">
        <v>1085700</v>
      </c>
      <c r="I29" s="2"/>
      <c r="J29" s="2">
        <f t="shared" si="12"/>
        <v>10000</v>
      </c>
      <c r="K29" s="2"/>
      <c r="L29" s="2">
        <v>10000</v>
      </c>
      <c r="M29" s="2"/>
      <c r="N29" s="2">
        <v>3500</v>
      </c>
      <c r="O29" s="2"/>
      <c r="P29" s="2">
        <f t="shared" si="9"/>
        <v>6307600</v>
      </c>
      <c r="Q29" s="197"/>
    </row>
    <row r="30" spans="1:17" s="125" customFormat="1" ht="78.75" hidden="1" customHeight="1" x14ac:dyDescent="0.25">
      <c r="A30" s="1" t="s">
        <v>152</v>
      </c>
      <c r="B30" s="3" t="str">
        <f>'дод 7'!A133</f>
        <v>3140</v>
      </c>
      <c r="C30" s="3" t="str">
        <f>'дод 7'!B133</f>
        <v>1040</v>
      </c>
      <c r="D30" s="63" t="str">
        <f>'дод 7'!C133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0" s="2">
        <f t="shared" si="10"/>
        <v>0</v>
      </c>
      <c r="F30" s="2"/>
      <c r="G30" s="2"/>
      <c r="H30" s="2"/>
      <c r="I30" s="2"/>
      <c r="J30" s="2">
        <f t="shared" si="12"/>
        <v>0</v>
      </c>
      <c r="K30" s="2"/>
      <c r="L30" s="2"/>
      <c r="M30" s="2"/>
      <c r="N30" s="2"/>
      <c r="O30" s="2"/>
      <c r="P30" s="2">
        <f t="shared" si="9"/>
        <v>0</v>
      </c>
      <c r="Q30" s="197"/>
    </row>
    <row r="31" spans="1:17" s="125" customFormat="1" ht="32.25" customHeight="1" x14ac:dyDescent="0.25">
      <c r="A31" s="1" t="s">
        <v>299</v>
      </c>
      <c r="B31" s="3" t="str">
        <f>'дод 7'!A151</f>
        <v>3241</v>
      </c>
      <c r="C31" s="3" t="str">
        <f>'дод 7'!B151</f>
        <v>1090</v>
      </c>
      <c r="D31" s="65" t="str">
        <f>'дод 7'!C151</f>
        <v>Забезпечення діяльності інших закладів у сфері соціального захисту і соціального забезпечення</v>
      </c>
      <c r="E31" s="2">
        <f t="shared" si="10"/>
        <v>1931700</v>
      </c>
      <c r="F31" s="2">
        <v>1931700</v>
      </c>
      <c r="G31" s="2">
        <v>1270900</v>
      </c>
      <c r="H31" s="2">
        <v>258800</v>
      </c>
      <c r="I31" s="2"/>
      <c r="J31" s="2">
        <f t="shared" si="12"/>
        <v>0</v>
      </c>
      <c r="K31" s="2"/>
      <c r="L31" s="2"/>
      <c r="M31" s="2"/>
      <c r="N31" s="2"/>
      <c r="O31" s="2"/>
      <c r="P31" s="2">
        <f t="shared" si="9"/>
        <v>1931700</v>
      </c>
      <c r="Q31" s="197"/>
    </row>
    <row r="32" spans="1:17" s="125" customFormat="1" ht="33.75" customHeight="1" x14ac:dyDescent="0.25">
      <c r="A32" s="1" t="s">
        <v>300</v>
      </c>
      <c r="B32" s="3" t="str">
        <f>'дод 7'!A152</f>
        <v>3242</v>
      </c>
      <c r="C32" s="3" t="str">
        <f>'дод 7'!B152</f>
        <v>1090</v>
      </c>
      <c r="D32" s="63" t="s">
        <v>400</v>
      </c>
      <c r="E32" s="2">
        <f t="shared" si="10"/>
        <v>157100</v>
      </c>
      <c r="F32" s="2">
        <v>157100</v>
      </c>
      <c r="G32" s="2"/>
      <c r="H32" s="2"/>
      <c r="I32" s="2"/>
      <c r="J32" s="2">
        <f t="shared" si="12"/>
        <v>0</v>
      </c>
      <c r="K32" s="2"/>
      <c r="L32" s="2"/>
      <c r="M32" s="2"/>
      <c r="N32" s="2"/>
      <c r="O32" s="2"/>
      <c r="P32" s="2">
        <f t="shared" si="9"/>
        <v>157100</v>
      </c>
      <c r="Q32" s="197"/>
    </row>
    <row r="33" spans="1:17" s="125" customFormat="1" ht="50.25" hidden="1" customHeight="1" x14ac:dyDescent="0.25">
      <c r="A33" s="1" t="s">
        <v>312</v>
      </c>
      <c r="B33" s="3" t="str">
        <f>'дод 7'!A156</f>
        <v>4060</v>
      </c>
      <c r="C33" s="3" t="str">
        <f>'дод 7'!B156</f>
        <v>0828</v>
      </c>
      <c r="D33" s="63" t="str">
        <f>'дод 7'!C156</f>
        <v>Забезпечення діяльності палаців i будинків культури, клубів, центрів дозвілля та iнших клубних закладів</v>
      </c>
      <c r="E33" s="2">
        <f t="shared" si="10"/>
        <v>0</v>
      </c>
      <c r="F33" s="127"/>
      <c r="G33" s="2"/>
      <c r="H33" s="2"/>
      <c r="I33" s="2"/>
      <c r="J33" s="2">
        <f t="shared" si="12"/>
        <v>0</v>
      </c>
      <c r="K33" s="2"/>
      <c r="L33" s="2"/>
      <c r="M33" s="2"/>
      <c r="N33" s="2"/>
      <c r="O33" s="2"/>
      <c r="P33" s="2">
        <f t="shared" si="9"/>
        <v>0</v>
      </c>
      <c r="Q33" s="197"/>
    </row>
    <row r="34" spans="1:17" s="125" customFormat="1" ht="30.75" customHeight="1" x14ac:dyDescent="0.25">
      <c r="A34" s="1" t="s">
        <v>297</v>
      </c>
      <c r="B34" s="3" t="str">
        <f>'дод 7'!A157</f>
        <v>4081</v>
      </c>
      <c r="C34" s="3" t="str">
        <f>'дод 7'!B157</f>
        <v>0829</v>
      </c>
      <c r="D34" s="63" t="str">
        <f>'дод 7'!C157</f>
        <v>Забезпечення діяльності інших закладів в галузі культури і мистецтва</v>
      </c>
      <c r="E34" s="2">
        <f t="shared" si="10"/>
        <v>3157300</v>
      </c>
      <c r="F34" s="2">
        <v>3157300</v>
      </c>
      <c r="G34" s="2">
        <v>2128600</v>
      </c>
      <c r="H34" s="2">
        <v>211100</v>
      </c>
      <c r="I34" s="2"/>
      <c r="J34" s="2">
        <f t="shared" si="12"/>
        <v>0</v>
      </c>
      <c r="K34" s="2"/>
      <c r="L34" s="2"/>
      <c r="M34" s="2"/>
      <c r="N34" s="2"/>
      <c r="O34" s="2"/>
      <c r="P34" s="2">
        <f t="shared" si="9"/>
        <v>3157300</v>
      </c>
      <c r="Q34" s="197"/>
    </row>
    <row r="35" spans="1:17" s="125" customFormat="1" ht="25.5" hidden="1" customHeight="1" x14ac:dyDescent="0.25">
      <c r="A35" s="1" t="s">
        <v>298</v>
      </c>
      <c r="B35" s="3">
        <v>4082</v>
      </c>
      <c r="C35" s="3" t="str">
        <f>'дод 7'!B158</f>
        <v>0829</v>
      </c>
      <c r="D35" s="63" t="str">
        <f>'дод 7'!C158</f>
        <v>Інші заходи в галузі культури і мистецтва</v>
      </c>
      <c r="E35" s="2">
        <f t="shared" si="10"/>
        <v>0</v>
      </c>
      <c r="F35" s="2"/>
      <c r="G35" s="2"/>
      <c r="H35" s="2"/>
      <c r="I35" s="2"/>
      <c r="J35" s="2">
        <f t="shared" si="12"/>
        <v>0</v>
      </c>
      <c r="K35" s="2"/>
      <c r="L35" s="2"/>
      <c r="M35" s="2"/>
      <c r="N35" s="2"/>
      <c r="O35" s="2"/>
      <c r="P35" s="2">
        <f t="shared" si="9"/>
        <v>0</v>
      </c>
      <c r="Q35" s="197"/>
    </row>
    <row r="36" spans="1:17" s="125" customFormat="1" ht="36.75" customHeight="1" x14ac:dyDescent="0.25">
      <c r="A36" s="1" t="s">
        <v>153</v>
      </c>
      <c r="B36" s="3" t="str">
        <f>'дод 7'!A161</f>
        <v>5011</v>
      </c>
      <c r="C36" s="3" t="str">
        <f>'дод 7'!B161</f>
        <v>0810</v>
      </c>
      <c r="D36" s="63" t="str">
        <f>'дод 7'!C161</f>
        <v>Проведення навчально-тренувальних зборів і змагань з олімпійських видів спорту</v>
      </c>
      <c r="E36" s="2">
        <f t="shared" si="10"/>
        <v>400000</v>
      </c>
      <c r="F36" s="2">
        <f>500000-100000</f>
        <v>400000</v>
      </c>
      <c r="G36" s="2"/>
      <c r="H36" s="2"/>
      <c r="I36" s="2"/>
      <c r="J36" s="2">
        <f t="shared" si="12"/>
        <v>0</v>
      </c>
      <c r="K36" s="2"/>
      <c r="L36" s="2"/>
      <c r="M36" s="2"/>
      <c r="N36" s="2"/>
      <c r="O36" s="2"/>
      <c r="P36" s="2">
        <f t="shared" si="9"/>
        <v>400000</v>
      </c>
      <c r="Q36" s="197"/>
    </row>
    <row r="37" spans="1:17" s="125" customFormat="1" ht="34.5" customHeight="1" x14ac:dyDescent="0.25">
      <c r="A37" s="1" t="s">
        <v>154</v>
      </c>
      <c r="B37" s="3" t="str">
        <f>'дод 7'!A162</f>
        <v>5012</v>
      </c>
      <c r="C37" s="3" t="str">
        <f>'дод 7'!B162</f>
        <v>0810</v>
      </c>
      <c r="D37" s="63" t="str">
        <f>'дод 7'!C162</f>
        <v>Проведення навчально-тренувальних зборів і змагань з неолімпійських видів спорту</v>
      </c>
      <c r="E37" s="2">
        <f t="shared" si="10"/>
        <v>400000</v>
      </c>
      <c r="F37" s="2">
        <f>500000-100000</f>
        <v>400000</v>
      </c>
      <c r="G37" s="2"/>
      <c r="H37" s="2"/>
      <c r="I37" s="2"/>
      <c r="J37" s="2">
        <f t="shared" si="12"/>
        <v>0</v>
      </c>
      <c r="K37" s="2"/>
      <c r="L37" s="2"/>
      <c r="M37" s="2"/>
      <c r="N37" s="2"/>
      <c r="O37" s="2"/>
      <c r="P37" s="2">
        <f t="shared" si="9"/>
        <v>400000</v>
      </c>
      <c r="Q37" s="197"/>
    </row>
    <row r="38" spans="1:17" s="125" customFormat="1" ht="31.5" x14ac:dyDescent="0.25">
      <c r="A38" s="1" t="s">
        <v>155</v>
      </c>
      <c r="B38" s="3" t="str">
        <f>'дод 7'!A163</f>
        <v>5031</v>
      </c>
      <c r="C38" s="3" t="str">
        <f>'дод 7'!B163</f>
        <v>0810</v>
      </c>
      <c r="D38" s="63" t="str">
        <f>'дод 7'!C163</f>
        <v>Утримання та навчально-тренувальна робота комунальних дитячо-юнацьких спортивних шкіл</v>
      </c>
      <c r="E38" s="2">
        <f t="shared" si="10"/>
        <v>28154800</v>
      </c>
      <c r="F38" s="2">
        <f>28174800-20000</f>
        <v>28154800</v>
      </c>
      <c r="G38" s="2">
        <v>21075000</v>
      </c>
      <c r="H38" s="2">
        <v>1904100</v>
      </c>
      <c r="I38" s="2"/>
      <c r="J38" s="2">
        <f t="shared" si="12"/>
        <v>130000</v>
      </c>
      <c r="K38" s="2">
        <v>130000</v>
      </c>
      <c r="L38" s="2"/>
      <c r="M38" s="2"/>
      <c r="N38" s="2"/>
      <c r="O38" s="2">
        <v>130000</v>
      </c>
      <c r="P38" s="2">
        <f t="shared" si="9"/>
        <v>28284800</v>
      </c>
      <c r="Q38" s="197"/>
    </row>
    <row r="39" spans="1:17" s="125" customFormat="1" ht="49.5" customHeight="1" x14ac:dyDescent="0.25">
      <c r="A39" s="1" t="s">
        <v>351</v>
      </c>
      <c r="B39" s="3" t="str">
        <f>'дод 7'!A165</f>
        <v>5032</v>
      </c>
      <c r="C39" s="3" t="str">
        <f>'дод 7'!B165</f>
        <v>0810</v>
      </c>
      <c r="D39" s="63" t="str">
        <f>'дод 7'!C165</f>
        <v>Фінансова підтримка дитячо-юнацьких спортивних шкіл фізкультурно-спортивних товариств</v>
      </c>
      <c r="E39" s="2">
        <f t="shared" si="10"/>
        <v>21975100</v>
      </c>
      <c r="F39" s="2">
        <f>21982100-7000</f>
        <v>21975100</v>
      </c>
      <c r="G39" s="2"/>
      <c r="H39" s="2"/>
      <c r="I39" s="2"/>
      <c r="J39" s="2">
        <f t="shared" si="12"/>
        <v>0</v>
      </c>
      <c r="K39" s="2"/>
      <c r="L39" s="2"/>
      <c r="M39" s="2"/>
      <c r="N39" s="2"/>
      <c r="O39" s="2"/>
      <c r="P39" s="2">
        <f t="shared" si="9"/>
        <v>21975100</v>
      </c>
      <c r="Q39" s="198"/>
    </row>
    <row r="40" spans="1:17" s="125" customFormat="1" ht="64.5" customHeight="1" x14ac:dyDescent="0.25">
      <c r="A40" s="1" t="s">
        <v>156</v>
      </c>
      <c r="B40" s="3" t="str">
        <f>'дод 7'!A166</f>
        <v>5061</v>
      </c>
      <c r="C40" s="3" t="str">
        <f>'дод 7'!B166</f>
        <v>0810</v>
      </c>
      <c r="D40" s="63" t="str">
        <f>'дод 7'!C166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2">
        <f t="shared" si="10"/>
        <v>6952500</v>
      </c>
      <c r="F40" s="2">
        <v>6952500</v>
      </c>
      <c r="G40" s="2">
        <v>4148000</v>
      </c>
      <c r="H40" s="2">
        <v>839400</v>
      </c>
      <c r="I40" s="2"/>
      <c r="J40" s="2">
        <f t="shared" si="12"/>
        <v>540440</v>
      </c>
      <c r="K40" s="2"/>
      <c r="L40" s="2">
        <v>540440</v>
      </c>
      <c r="M40" s="2">
        <v>345344</v>
      </c>
      <c r="N40" s="2">
        <v>98012</v>
      </c>
      <c r="O40" s="2"/>
      <c r="P40" s="2">
        <f t="shared" si="9"/>
        <v>7492940</v>
      </c>
      <c r="Q40" s="198"/>
    </row>
    <row r="41" spans="1:17" s="125" customFormat="1" ht="47.25" x14ac:dyDescent="0.25">
      <c r="A41" s="1" t="s">
        <v>343</v>
      </c>
      <c r="B41" s="3" t="str">
        <f>'дод 7'!A167</f>
        <v>5062</v>
      </c>
      <c r="C41" s="3" t="str">
        <f>'дод 7'!B167</f>
        <v>0810</v>
      </c>
      <c r="D41" s="63" t="str">
        <f>'дод 7'!C167</f>
        <v>Підтримка спорту вищих досягнень та організацій, які здійснюють фізкультурно-спортивну діяльність в регіоні</v>
      </c>
      <c r="E41" s="2">
        <f t="shared" si="10"/>
        <v>13630400</v>
      </c>
      <c r="F41" s="2">
        <f>14430400-500000-800000+500000</f>
        <v>13630400</v>
      </c>
      <c r="G41" s="2"/>
      <c r="H41" s="2"/>
      <c r="I41" s="2"/>
      <c r="J41" s="2">
        <f t="shared" si="12"/>
        <v>0</v>
      </c>
      <c r="K41" s="2"/>
      <c r="L41" s="2"/>
      <c r="M41" s="2"/>
      <c r="N41" s="2"/>
      <c r="O41" s="2"/>
      <c r="P41" s="2">
        <f t="shared" si="9"/>
        <v>13630400</v>
      </c>
      <c r="Q41" s="198"/>
    </row>
    <row r="42" spans="1:17" s="125" customFormat="1" ht="37.5" hidden="1" customHeight="1" x14ac:dyDescent="0.25">
      <c r="A42" s="1" t="s">
        <v>547</v>
      </c>
      <c r="B42" s="3">
        <v>7323</v>
      </c>
      <c r="C42" s="1" t="s">
        <v>110</v>
      </c>
      <c r="D42" s="63" t="str">
        <f>'дод 7'!C200</f>
        <v>Будівництво1 установ та закладів соціальної сфери</v>
      </c>
      <c r="E42" s="2">
        <f t="shared" si="10"/>
        <v>0</v>
      </c>
      <c r="F42" s="2"/>
      <c r="G42" s="2"/>
      <c r="H42" s="2"/>
      <c r="I42" s="2"/>
      <c r="J42" s="2">
        <f t="shared" si="12"/>
        <v>0</v>
      </c>
      <c r="K42" s="2"/>
      <c r="L42" s="2"/>
      <c r="M42" s="2"/>
      <c r="N42" s="2"/>
      <c r="O42" s="2"/>
      <c r="P42" s="2">
        <f t="shared" si="9"/>
        <v>0</v>
      </c>
      <c r="Q42" s="198"/>
    </row>
    <row r="43" spans="1:17" s="125" customFormat="1" ht="31.5" hidden="1" customHeight="1" x14ac:dyDescent="0.25">
      <c r="A43" s="1" t="s">
        <v>402</v>
      </c>
      <c r="B43" s="3">
        <v>7325</v>
      </c>
      <c r="C43" s="51" t="s">
        <v>110</v>
      </c>
      <c r="D43" s="4" t="str">
        <f>'дод 7'!C202</f>
        <v>Будівництво1 споруд, установ та закладів фізичної культури і спорту</v>
      </c>
      <c r="E43" s="2">
        <f t="shared" si="10"/>
        <v>0</v>
      </c>
      <c r="F43" s="2"/>
      <c r="G43" s="2"/>
      <c r="H43" s="2"/>
      <c r="I43" s="2"/>
      <c r="J43" s="2">
        <f t="shared" si="12"/>
        <v>0</v>
      </c>
      <c r="K43" s="2"/>
      <c r="L43" s="2"/>
      <c r="M43" s="2"/>
      <c r="N43" s="2"/>
      <c r="O43" s="2"/>
      <c r="P43" s="2">
        <f t="shared" si="9"/>
        <v>0</v>
      </c>
      <c r="Q43" s="198"/>
    </row>
    <row r="44" spans="1:17" s="125" customFormat="1" ht="15.75" hidden="1" customHeight="1" x14ac:dyDescent="0.25">
      <c r="A44" s="1" t="s">
        <v>403</v>
      </c>
      <c r="B44" s="3">
        <v>7330</v>
      </c>
      <c r="C44" s="51" t="s">
        <v>110</v>
      </c>
      <c r="D44" s="4" t="str">
        <f>'дод 7'!C203</f>
        <v>Будівництво1 інших об'єктів комунальної власності</v>
      </c>
      <c r="E44" s="2">
        <f t="shared" si="10"/>
        <v>0</v>
      </c>
      <c r="F44" s="2"/>
      <c r="G44" s="2"/>
      <c r="H44" s="2"/>
      <c r="I44" s="2"/>
      <c r="J44" s="2">
        <f t="shared" si="12"/>
        <v>0</v>
      </c>
      <c r="K44" s="2"/>
      <c r="L44" s="2"/>
      <c r="M44" s="2"/>
      <c r="N44" s="2"/>
      <c r="O44" s="2"/>
      <c r="P44" s="2">
        <f t="shared" si="9"/>
        <v>0</v>
      </c>
      <c r="Q44" s="198"/>
    </row>
    <row r="45" spans="1:17" s="125" customFormat="1" ht="33" customHeight="1" x14ac:dyDescent="0.25">
      <c r="A45" s="1" t="s">
        <v>157</v>
      </c>
      <c r="B45" s="3" t="str">
        <f>'дод 7'!A222</f>
        <v>7412</v>
      </c>
      <c r="C45" s="3" t="str">
        <f>'дод 7'!B222</f>
        <v>0451</v>
      </c>
      <c r="D45" s="63" t="str">
        <f>'дод 7'!C222</f>
        <v>Регулювання цін на послуги місцевого автотранспорту</v>
      </c>
      <c r="E45" s="2">
        <f t="shared" si="10"/>
        <v>26100000</v>
      </c>
      <c r="G45" s="2"/>
      <c r="H45" s="2"/>
      <c r="I45" s="2">
        <f>27600000-1500000</f>
        <v>26100000</v>
      </c>
      <c r="J45" s="2">
        <f t="shared" si="12"/>
        <v>0</v>
      </c>
      <c r="K45" s="2"/>
      <c r="L45" s="2"/>
      <c r="M45" s="2"/>
      <c r="N45" s="2"/>
      <c r="O45" s="2"/>
      <c r="P45" s="2">
        <f t="shared" si="9"/>
        <v>26100000</v>
      </c>
      <c r="Q45" s="198"/>
    </row>
    <row r="46" spans="1:17" s="125" customFormat="1" ht="24" hidden="1" customHeight="1" x14ac:dyDescent="0.25">
      <c r="A46" s="1" t="s">
        <v>371</v>
      </c>
      <c r="B46" s="3">
        <f>'дод 7'!A223</f>
        <v>7413</v>
      </c>
      <c r="C46" s="3" t="str">
        <f>'дод 7'!B223</f>
        <v>0451</v>
      </c>
      <c r="D46" s="90" t="str">
        <f>'дод 7'!C223</f>
        <v>Інші заходи у сфері автотранспорту</v>
      </c>
      <c r="E46" s="2">
        <f t="shared" si="10"/>
        <v>0</v>
      </c>
      <c r="F46" s="2"/>
      <c r="G46" s="2"/>
      <c r="H46" s="2"/>
      <c r="I46" s="2"/>
      <c r="J46" s="2">
        <f t="shared" si="12"/>
        <v>0</v>
      </c>
      <c r="K46" s="2"/>
      <c r="L46" s="2"/>
      <c r="M46" s="2"/>
      <c r="N46" s="2"/>
      <c r="O46" s="2"/>
      <c r="P46" s="2">
        <f t="shared" si="9"/>
        <v>0</v>
      </c>
      <c r="Q46" s="198"/>
    </row>
    <row r="47" spans="1:17" s="125" customFormat="1" ht="33" customHeight="1" x14ac:dyDescent="0.25">
      <c r="A47" s="1" t="s">
        <v>522</v>
      </c>
      <c r="B47" s="3">
        <v>7422</v>
      </c>
      <c r="C47" s="1" t="s">
        <v>401</v>
      </c>
      <c r="D47" s="90" t="str">
        <f>'дод 7'!C224</f>
        <v>Регулювання цін на послуги місцевого наземного електротранспорту</v>
      </c>
      <c r="E47" s="2">
        <f t="shared" si="10"/>
        <v>64960000</v>
      </c>
      <c r="F47" s="2"/>
      <c r="G47" s="2"/>
      <c r="H47" s="2"/>
      <c r="I47" s="2">
        <f>69010000-4050000</f>
        <v>64960000</v>
      </c>
      <c r="J47" s="2">
        <f t="shared" si="12"/>
        <v>0</v>
      </c>
      <c r="K47" s="2"/>
      <c r="L47" s="2"/>
      <c r="M47" s="2"/>
      <c r="N47" s="2"/>
      <c r="O47" s="2"/>
      <c r="P47" s="2">
        <f t="shared" si="9"/>
        <v>64960000</v>
      </c>
      <c r="Q47" s="198"/>
    </row>
    <row r="48" spans="1:17" s="125" customFormat="1" ht="24" hidden="1" customHeight="1" x14ac:dyDescent="0.25">
      <c r="A48" s="1" t="s">
        <v>372</v>
      </c>
      <c r="B48" s="3">
        <f>'дод 7'!A225</f>
        <v>7426</v>
      </c>
      <c r="C48" s="1" t="s">
        <v>401</v>
      </c>
      <c r="D48" s="90" t="str">
        <f>'дод 7'!C225</f>
        <v>Інші заходи у сфері електротранспорту</v>
      </c>
      <c r="E48" s="2">
        <f t="shared" si="10"/>
        <v>0</v>
      </c>
      <c r="F48" s="2"/>
      <c r="G48" s="2"/>
      <c r="H48" s="2"/>
      <c r="I48" s="2"/>
      <c r="J48" s="2">
        <f t="shared" si="12"/>
        <v>0</v>
      </c>
      <c r="K48" s="2"/>
      <c r="L48" s="2"/>
      <c r="M48" s="2"/>
      <c r="N48" s="2"/>
      <c r="O48" s="2"/>
      <c r="P48" s="2">
        <f t="shared" si="9"/>
        <v>0</v>
      </c>
      <c r="Q48" s="198"/>
    </row>
    <row r="49" spans="1:17" s="125" customFormat="1" ht="21.75" customHeight="1" x14ac:dyDescent="0.25">
      <c r="A49" s="1" t="s">
        <v>432</v>
      </c>
      <c r="B49" s="1" t="s">
        <v>433</v>
      </c>
      <c r="C49" s="1" t="s">
        <v>392</v>
      </c>
      <c r="D49" s="90" t="str">
        <f>'дод 7'!C227</f>
        <v>Інша діяльність у сфері транспорту</v>
      </c>
      <c r="E49" s="2">
        <f t="shared" si="10"/>
        <v>321000</v>
      </c>
      <c r="F49" s="2">
        <f>1500000+321000-1500000</f>
        <v>321000</v>
      </c>
      <c r="G49" s="2"/>
      <c r="H49" s="2"/>
      <c r="I49" s="2"/>
      <c r="J49" s="2">
        <f t="shared" si="12"/>
        <v>0</v>
      </c>
      <c r="K49" s="2"/>
      <c r="L49" s="2"/>
      <c r="M49" s="2"/>
      <c r="N49" s="2"/>
      <c r="O49" s="2"/>
      <c r="P49" s="2">
        <f t="shared" si="9"/>
        <v>321000</v>
      </c>
      <c r="Q49" s="198"/>
    </row>
    <row r="50" spans="1:17" s="125" customFormat="1" ht="30.75" customHeight="1" x14ac:dyDescent="0.25">
      <c r="A50" s="1" t="s">
        <v>230</v>
      </c>
      <c r="B50" s="3" t="str">
        <f>'дод 7'!A232</f>
        <v>7530</v>
      </c>
      <c r="C50" s="3" t="str">
        <f>'дод 7'!B232</f>
        <v>0460</v>
      </c>
      <c r="D50" s="63" t="str">
        <f>'дод 7'!C232</f>
        <v>Інші заходи у сфері зв'язку, телекомунікації та інформатики</v>
      </c>
      <c r="E50" s="2">
        <f t="shared" si="10"/>
        <v>5323200</v>
      </c>
      <c r="F50" s="2">
        <v>5323200</v>
      </c>
      <c r="G50" s="2"/>
      <c r="H50" s="2"/>
      <c r="I50" s="2"/>
      <c r="J50" s="2">
        <f>L50+O50</f>
        <v>19036280</v>
      </c>
      <c r="K50" s="2">
        <v>19036280</v>
      </c>
      <c r="L50" s="2"/>
      <c r="M50" s="2"/>
      <c r="N50" s="2"/>
      <c r="O50" s="2">
        <v>19036280</v>
      </c>
      <c r="P50" s="2">
        <f t="shared" si="9"/>
        <v>24359480</v>
      </c>
      <c r="Q50" s="198"/>
    </row>
    <row r="51" spans="1:17" s="125" customFormat="1" ht="31.5" hidden="1" customHeight="1" x14ac:dyDescent="0.25">
      <c r="A51" s="1" t="s">
        <v>158</v>
      </c>
      <c r="B51" s="3" t="str">
        <f>'дод 7'!A235</f>
        <v>7610</v>
      </c>
      <c r="C51" s="3" t="str">
        <f>'дод 7'!B235</f>
        <v>0411</v>
      </c>
      <c r="D51" s="63" t="str">
        <f>'дод 7'!C235</f>
        <v>Сприяння розвитку малого та середнього підприємництва</v>
      </c>
      <c r="E51" s="2">
        <f t="shared" si="10"/>
        <v>0</v>
      </c>
      <c r="F51" s="2"/>
      <c r="G51" s="2"/>
      <c r="H51" s="2"/>
      <c r="I51" s="2"/>
      <c r="J51" s="2">
        <f t="shared" si="12"/>
        <v>0</v>
      </c>
      <c r="K51" s="2"/>
      <c r="L51" s="2"/>
      <c r="M51" s="2"/>
      <c r="N51" s="2"/>
      <c r="O51" s="2"/>
      <c r="P51" s="2">
        <f t="shared" si="9"/>
        <v>0</v>
      </c>
      <c r="Q51" s="198"/>
    </row>
    <row r="52" spans="1:17" s="125" customFormat="1" ht="31.5" customHeight="1" x14ac:dyDescent="0.25">
      <c r="A52" s="1" t="s">
        <v>646</v>
      </c>
      <c r="B52" s="3" t="str">
        <f>'дод 7'!A236</f>
        <v>7640</v>
      </c>
      <c r="C52" s="3" t="str">
        <f>'дод 7'!B236</f>
        <v>0470</v>
      </c>
      <c r="D52" s="90" t="s">
        <v>410</v>
      </c>
      <c r="E52" s="2">
        <f t="shared" ref="E52" si="13">F52+I52</f>
        <v>0</v>
      </c>
      <c r="F52" s="2"/>
      <c r="G52" s="2"/>
      <c r="H52" s="2"/>
      <c r="I52" s="2"/>
      <c r="J52" s="2">
        <f t="shared" ref="J52" si="14">L52+O52</f>
        <v>10000000</v>
      </c>
      <c r="K52" s="2">
        <v>10000000</v>
      </c>
      <c r="L52" s="2"/>
      <c r="M52" s="2"/>
      <c r="N52" s="2"/>
      <c r="O52" s="2">
        <v>10000000</v>
      </c>
      <c r="P52" s="2">
        <f t="shared" ref="P52" si="15">E52+J52</f>
        <v>10000000</v>
      </c>
      <c r="Q52" s="198"/>
    </row>
    <row r="53" spans="1:17" s="125" customFormat="1" ht="33.75" customHeight="1" x14ac:dyDescent="0.25">
      <c r="A53" s="1" t="s">
        <v>159</v>
      </c>
      <c r="B53" s="3" t="str">
        <f>'дод 7'!A240</f>
        <v>7670</v>
      </c>
      <c r="C53" s="3" t="str">
        <f>'дод 7'!B240</f>
        <v>0490</v>
      </c>
      <c r="D53" s="63" t="str">
        <f>'дод 7'!C240</f>
        <v>Внески до статутного капіталу суб'єктів господарювання</v>
      </c>
      <c r="E53" s="2">
        <f t="shared" si="10"/>
        <v>0</v>
      </c>
      <c r="F53" s="2"/>
      <c r="G53" s="2"/>
      <c r="H53" s="2"/>
      <c r="I53" s="2"/>
      <c r="J53" s="2">
        <f t="shared" si="12"/>
        <v>1580400</v>
      </c>
      <c r="K53" s="2">
        <v>1580400</v>
      </c>
      <c r="L53" s="2"/>
      <c r="M53" s="2"/>
      <c r="N53" s="2"/>
      <c r="O53" s="2">
        <v>1580400</v>
      </c>
      <c r="P53" s="2">
        <f t="shared" si="9"/>
        <v>1580400</v>
      </c>
      <c r="Q53" s="198"/>
    </row>
    <row r="54" spans="1:17" s="125" customFormat="1" ht="34.5" customHeight="1" x14ac:dyDescent="0.25">
      <c r="A54" s="1" t="s">
        <v>244</v>
      </c>
      <c r="B54" s="3" t="str">
        <f>'дод 7'!A242</f>
        <v>7680</v>
      </c>
      <c r="C54" s="3" t="str">
        <f>'дод 7'!B242</f>
        <v>0490</v>
      </c>
      <c r="D54" s="63" t="str">
        <f>'дод 7'!C242</f>
        <v>Членські внески до асоціацій органів місцевого самоврядування</v>
      </c>
      <c r="E54" s="2">
        <f t="shared" si="10"/>
        <v>441318</v>
      </c>
      <c r="F54" s="2">
        <f>279854+167500-6036</f>
        <v>441318</v>
      </c>
      <c r="G54" s="2"/>
      <c r="H54" s="2"/>
      <c r="I54" s="2"/>
      <c r="J54" s="2">
        <f t="shared" si="12"/>
        <v>0</v>
      </c>
      <c r="K54" s="2"/>
      <c r="L54" s="2"/>
      <c r="M54" s="2"/>
      <c r="N54" s="2"/>
      <c r="O54" s="2"/>
      <c r="P54" s="2">
        <f t="shared" si="9"/>
        <v>441318</v>
      </c>
      <c r="Q54" s="198"/>
    </row>
    <row r="55" spans="1:17" s="125" customFormat="1" ht="111" customHeight="1" x14ac:dyDescent="0.25">
      <c r="A55" s="1" t="s">
        <v>295</v>
      </c>
      <c r="B55" s="3" t="str">
        <f>'дод 7'!A243</f>
        <v>7691</v>
      </c>
      <c r="C55" s="3" t="str">
        <f>'дод 7'!B243</f>
        <v>0490</v>
      </c>
      <c r="D55" s="63" t="str">
        <f>'дод 7'!C243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2">
        <f t="shared" si="10"/>
        <v>0</v>
      </c>
      <c r="F55" s="2"/>
      <c r="G55" s="2"/>
      <c r="H55" s="2"/>
      <c r="I55" s="2"/>
      <c r="J55" s="2">
        <f t="shared" si="12"/>
        <v>50000</v>
      </c>
      <c r="K55" s="2"/>
      <c r="L55" s="2">
        <v>50000</v>
      </c>
      <c r="M55" s="2"/>
      <c r="N55" s="2"/>
      <c r="O55" s="2"/>
      <c r="P55" s="2">
        <f t="shared" si="9"/>
        <v>50000</v>
      </c>
      <c r="Q55" s="198"/>
    </row>
    <row r="56" spans="1:17" s="125" customFormat="1" ht="23.25" customHeight="1" x14ac:dyDescent="0.25">
      <c r="A56" s="1" t="s">
        <v>237</v>
      </c>
      <c r="B56" s="3" t="str">
        <f>'дод 7'!A244</f>
        <v>7693</v>
      </c>
      <c r="C56" s="3" t="str">
        <f>'дод 7'!B244</f>
        <v>0490</v>
      </c>
      <c r="D56" s="63" t="str">
        <f>'дод 7'!C244</f>
        <v>Інші заходи, пов'язані з економічною діяльністю</v>
      </c>
      <c r="E56" s="2">
        <f t="shared" si="10"/>
        <v>900000</v>
      </c>
      <c r="F56" s="2">
        <f>1944700-1044700</f>
        <v>900000</v>
      </c>
      <c r="G56" s="2"/>
      <c r="H56" s="2"/>
      <c r="I56" s="2"/>
      <c r="J56" s="2">
        <f t="shared" si="12"/>
        <v>0</v>
      </c>
      <c r="K56" s="2"/>
      <c r="L56" s="2"/>
      <c r="M56" s="2"/>
      <c r="N56" s="2"/>
      <c r="O56" s="2"/>
      <c r="P56" s="2">
        <f t="shared" si="9"/>
        <v>900000</v>
      </c>
      <c r="Q56" s="198"/>
    </row>
    <row r="57" spans="1:17" s="125" customFormat="1" ht="34.5" customHeight="1" x14ac:dyDescent="0.25">
      <c r="A57" s="1" t="s">
        <v>160</v>
      </c>
      <c r="B57" s="3" t="str">
        <f>'дод 7'!A253</f>
        <v>8110</v>
      </c>
      <c r="C57" s="3" t="str">
        <f>'дод 7'!B253</f>
        <v>0320</v>
      </c>
      <c r="D57" s="63" t="str">
        <f>'дод 7'!C253</f>
        <v>Заходи із запобігання та ліквідації надзвичайних ситуацій та наслідків стихійного лиха</v>
      </c>
      <c r="E57" s="2">
        <f t="shared" si="10"/>
        <v>4599400</v>
      </c>
      <c r="F57" s="2">
        <f>3718400+36000+825000+20000</f>
        <v>4599400</v>
      </c>
      <c r="G57" s="2"/>
      <c r="H57" s="2">
        <f>28500+20000</f>
        <v>48500</v>
      </c>
      <c r="I57" s="2"/>
      <c r="J57" s="2">
        <f t="shared" si="12"/>
        <v>3525500</v>
      </c>
      <c r="K57" s="2">
        <f>795000+2730500</f>
        <v>3525500</v>
      </c>
      <c r="L57" s="2"/>
      <c r="M57" s="2"/>
      <c r="N57" s="2"/>
      <c r="O57" s="2">
        <f>795000+2730500</f>
        <v>3525500</v>
      </c>
      <c r="P57" s="2">
        <f t="shared" si="9"/>
        <v>8124900</v>
      </c>
      <c r="Q57" s="198"/>
    </row>
    <row r="58" spans="1:17" s="125" customFormat="1" ht="30" customHeight="1" x14ac:dyDescent="0.25">
      <c r="A58" s="1" t="s">
        <v>220</v>
      </c>
      <c r="B58" s="3" t="str">
        <f>'дод 7'!A254</f>
        <v>8120</v>
      </c>
      <c r="C58" s="3" t="str">
        <f>'дод 7'!B254</f>
        <v>0320</v>
      </c>
      <c r="D58" s="63" t="str">
        <f>'дод 7'!C254</f>
        <v>Заходи з організації рятування на водах, у т. ч. за рахунок:</v>
      </c>
      <c r="E58" s="2">
        <f t="shared" si="10"/>
        <v>3131100</v>
      </c>
      <c r="F58" s="2">
        <v>3131100</v>
      </c>
      <c r="G58" s="2">
        <v>2400000</v>
      </c>
      <c r="H58" s="2">
        <v>109000</v>
      </c>
      <c r="I58" s="2"/>
      <c r="J58" s="2">
        <f t="shared" si="12"/>
        <v>6900</v>
      </c>
      <c r="K58" s="2"/>
      <c r="L58" s="2">
        <v>6900</v>
      </c>
      <c r="M58" s="2"/>
      <c r="N58" s="2">
        <v>1600</v>
      </c>
      <c r="O58" s="2"/>
      <c r="P58" s="2">
        <f t="shared" si="9"/>
        <v>3138000</v>
      </c>
      <c r="Q58" s="198"/>
    </row>
    <row r="59" spans="1:17" s="5" customFormat="1" ht="47.25" customHeight="1" x14ac:dyDescent="0.25">
      <c r="A59" s="66"/>
      <c r="B59" s="53"/>
      <c r="C59" s="53"/>
      <c r="D59" s="64" t="str">
        <f>'дод 7'!C255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16">
        <f t="shared" si="10"/>
        <v>410600</v>
      </c>
      <c r="F59" s="16">
        <v>410600</v>
      </c>
      <c r="G59" s="16">
        <v>336800</v>
      </c>
      <c r="H59" s="16"/>
      <c r="I59" s="16"/>
      <c r="J59" s="16">
        <f t="shared" si="12"/>
        <v>0</v>
      </c>
      <c r="K59" s="16"/>
      <c r="L59" s="16"/>
      <c r="M59" s="16"/>
      <c r="N59" s="16"/>
      <c r="O59" s="16"/>
      <c r="P59" s="16">
        <f t="shared" si="9"/>
        <v>410600</v>
      </c>
      <c r="Q59" s="198"/>
    </row>
    <row r="60" spans="1:17" s="125" customFormat="1" ht="27" customHeight="1" x14ac:dyDescent="0.25">
      <c r="A60" s="1" t="s">
        <v>240</v>
      </c>
      <c r="B60" s="3" t="str">
        <f>'дод 7'!A257</f>
        <v>8230</v>
      </c>
      <c r="C60" s="3" t="str">
        <f>'дод 7'!B257</f>
        <v>0380</v>
      </c>
      <c r="D60" s="63" t="str">
        <f>'дод 7'!C257</f>
        <v>Інші заходи громадського порядку та безпеки</v>
      </c>
      <c r="E60" s="2">
        <f t="shared" si="10"/>
        <v>743000</v>
      </c>
      <c r="F60" s="2">
        <v>743000</v>
      </c>
      <c r="G60" s="2"/>
      <c r="H60" s="2">
        <v>546600</v>
      </c>
      <c r="I60" s="2"/>
      <c r="J60" s="2">
        <f t="shared" si="12"/>
        <v>0</v>
      </c>
      <c r="K60" s="2"/>
      <c r="L60" s="2"/>
      <c r="M60" s="2"/>
      <c r="N60" s="2"/>
      <c r="O60" s="2"/>
      <c r="P60" s="2">
        <f t="shared" si="9"/>
        <v>743000</v>
      </c>
      <c r="Q60" s="198"/>
    </row>
    <row r="61" spans="1:17" s="125" customFormat="1" ht="17.25" customHeight="1" x14ac:dyDescent="0.25">
      <c r="A61" s="1" t="s">
        <v>586</v>
      </c>
      <c r="B61" s="3">
        <f>'дод 7'!A258</f>
        <v>8240</v>
      </c>
      <c r="C61" s="3" t="str">
        <f>'дод 7'!B258</f>
        <v>0380</v>
      </c>
      <c r="D61" s="90" t="str">
        <f>'дод 7'!C258</f>
        <v>Заходи та роботи з територіальної оборони</v>
      </c>
      <c r="E61" s="2">
        <f t="shared" ref="E61" si="16">F61+I61</f>
        <v>22706200</v>
      </c>
      <c r="F61" s="2">
        <v>22706200</v>
      </c>
      <c r="G61" s="2"/>
      <c r="H61" s="2">
        <v>5530100</v>
      </c>
      <c r="I61" s="2"/>
      <c r="J61" s="2">
        <f t="shared" ref="J61" si="17">L61+O61</f>
        <v>750000</v>
      </c>
      <c r="K61" s="2">
        <f>750000</f>
        <v>750000</v>
      </c>
      <c r="L61" s="2"/>
      <c r="M61" s="2"/>
      <c r="N61" s="2"/>
      <c r="O61" s="2">
        <f>750000</f>
        <v>750000</v>
      </c>
      <c r="P61" s="2">
        <f t="shared" ref="P61" si="18">E61+J61</f>
        <v>23456200</v>
      </c>
      <c r="Q61" s="198"/>
    </row>
    <row r="62" spans="1:17" s="125" customFormat="1" ht="31.5" x14ac:dyDescent="0.25">
      <c r="A62" s="1" t="s">
        <v>161</v>
      </c>
      <c r="B62" s="3" t="str">
        <f>'дод 7'!A262</f>
        <v>8340</v>
      </c>
      <c r="C62" s="3" t="str">
        <f>'дод 7'!B262</f>
        <v>0540</v>
      </c>
      <c r="D62" s="63" t="str">
        <f>'дод 7'!C262</f>
        <v>Природоохоронні заходи за рахунок цільових фондів</v>
      </c>
      <c r="E62" s="2">
        <f t="shared" si="10"/>
        <v>0</v>
      </c>
      <c r="F62" s="2"/>
      <c r="G62" s="2"/>
      <c r="H62" s="2"/>
      <c r="I62" s="2"/>
      <c r="J62" s="2">
        <f t="shared" si="12"/>
        <v>70000</v>
      </c>
      <c r="K62" s="2"/>
      <c r="L62" s="2">
        <v>70000</v>
      </c>
      <c r="M62" s="2"/>
      <c r="N62" s="2"/>
      <c r="O62" s="2"/>
      <c r="P62" s="2">
        <f t="shared" si="9"/>
        <v>70000</v>
      </c>
      <c r="Q62" s="198"/>
    </row>
    <row r="63" spans="1:17" s="125" customFormat="1" ht="15.75" hidden="1" customHeight="1" x14ac:dyDescent="0.25">
      <c r="A63" s="1" t="s">
        <v>251</v>
      </c>
      <c r="B63" s="3" t="str">
        <f>'дод 7'!A264</f>
        <v>8420</v>
      </c>
      <c r="C63" s="3" t="str">
        <f>'дод 7'!B264</f>
        <v>0830</v>
      </c>
      <c r="D63" s="63" t="str">
        <f>'дод 7'!C264</f>
        <v>Інші заходи у сфері засобів масової інформації</v>
      </c>
      <c r="E63" s="2">
        <f t="shared" si="10"/>
        <v>0</v>
      </c>
      <c r="F63" s="2"/>
      <c r="G63" s="2"/>
      <c r="H63" s="2"/>
      <c r="I63" s="2"/>
      <c r="J63" s="2">
        <f t="shared" si="12"/>
        <v>0</v>
      </c>
      <c r="K63" s="2"/>
      <c r="L63" s="2"/>
      <c r="M63" s="2"/>
      <c r="N63" s="2"/>
      <c r="O63" s="2"/>
      <c r="P63" s="2">
        <f t="shared" si="9"/>
        <v>0</v>
      </c>
      <c r="Q63" s="198"/>
    </row>
    <row r="64" spans="1:17" s="125" customFormat="1" ht="15.75" hidden="1" customHeight="1" x14ac:dyDescent="0.25">
      <c r="A64" s="1" t="s">
        <v>543</v>
      </c>
      <c r="B64" s="3">
        <v>9770</v>
      </c>
      <c r="C64" s="1" t="s">
        <v>44</v>
      </c>
      <c r="D64" s="63" t="s">
        <v>350</v>
      </c>
      <c r="E64" s="2">
        <f t="shared" si="10"/>
        <v>0</v>
      </c>
      <c r="F64" s="2"/>
      <c r="G64" s="2"/>
      <c r="H64" s="2"/>
      <c r="I64" s="2"/>
      <c r="J64" s="2">
        <f t="shared" si="12"/>
        <v>0</v>
      </c>
      <c r="K64" s="2"/>
      <c r="L64" s="2"/>
      <c r="M64" s="2"/>
      <c r="N64" s="2"/>
      <c r="O64" s="2"/>
      <c r="P64" s="2">
        <f t="shared" si="9"/>
        <v>0</v>
      </c>
      <c r="Q64" s="198"/>
    </row>
    <row r="65" spans="1:17" s="125" customFormat="1" ht="38.25" hidden="1" customHeight="1" x14ac:dyDescent="0.25">
      <c r="A65" s="1" t="s">
        <v>580</v>
      </c>
      <c r="B65" s="3">
        <v>8775</v>
      </c>
      <c r="C65" s="1" t="s">
        <v>92</v>
      </c>
      <c r="D65" s="63" t="s">
        <v>581</v>
      </c>
      <c r="E65" s="2">
        <f>F65</f>
        <v>0</v>
      </c>
      <c r="F65" s="2"/>
      <c r="G65" s="2"/>
      <c r="H65" s="2"/>
      <c r="I65" s="2"/>
      <c r="J65" s="2">
        <f t="shared" ref="J65:J66" si="19">L65+O65</f>
        <v>0</v>
      </c>
      <c r="K65" s="2"/>
      <c r="L65" s="2"/>
      <c r="M65" s="2"/>
      <c r="N65" s="2"/>
      <c r="O65" s="2"/>
      <c r="P65" s="2">
        <f t="shared" ref="P65:P66" si="20">E65+J65</f>
        <v>0</v>
      </c>
      <c r="Q65" s="198"/>
    </row>
    <row r="66" spans="1:17" s="125" customFormat="1" ht="15.75" hidden="1" customHeight="1" x14ac:dyDescent="0.25">
      <c r="A66" s="1" t="s">
        <v>543</v>
      </c>
      <c r="B66" s="3">
        <v>9770</v>
      </c>
      <c r="C66" s="1" t="s">
        <v>44</v>
      </c>
      <c r="D66" s="63" t="s">
        <v>350</v>
      </c>
      <c r="E66" s="2">
        <f>F66</f>
        <v>0</v>
      </c>
      <c r="F66" s="2"/>
      <c r="G66" s="2"/>
      <c r="H66" s="2"/>
      <c r="I66" s="2"/>
      <c r="J66" s="2">
        <f t="shared" si="19"/>
        <v>0</v>
      </c>
      <c r="K66" s="2"/>
      <c r="L66" s="2"/>
      <c r="M66" s="2"/>
      <c r="N66" s="2"/>
      <c r="O66" s="2"/>
      <c r="P66" s="2">
        <f t="shared" si="20"/>
        <v>0</v>
      </c>
      <c r="Q66" s="198"/>
    </row>
    <row r="67" spans="1:17" s="125" customFormat="1" ht="47.25" customHeight="1" x14ac:dyDescent="0.25">
      <c r="A67" s="1" t="s">
        <v>375</v>
      </c>
      <c r="B67" s="3">
        <v>9800</v>
      </c>
      <c r="C67" s="1" t="s">
        <v>44</v>
      </c>
      <c r="D67" s="63" t="s">
        <v>361</v>
      </c>
      <c r="E67" s="2">
        <f>F67+I67</f>
        <v>3150000</v>
      </c>
      <c r="F67" s="2">
        <f>540000+340000+2270000</f>
        <v>3150000</v>
      </c>
      <c r="G67" s="2"/>
      <c r="H67" s="2"/>
      <c r="I67" s="2"/>
      <c r="J67" s="2">
        <f t="shared" si="12"/>
        <v>22520000</v>
      </c>
      <c r="K67" s="2">
        <f>19170000+600000+300000+1500000+950000</f>
        <v>22520000</v>
      </c>
      <c r="L67" s="2"/>
      <c r="M67" s="2"/>
      <c r="N67" s="2"/>
      <c r="O67" s="2">
        <f>19170000+600000+300000+1500000+950000</f>
        <v>22520000</v>
      </c>
      <c r="P67" s="2">
        <f t="shared" si="9"/>
        <v>25670000</v>
      </c>
      <c r="Q67" s="198"/>
    </row>
    <row r="68" spans="1:17" s="124" customFormat="1" ht="37.5" customHeight="1" x14ac:dyDescent="0.25">
      <c r="A68" s="94" t="s">
        <v>162</v>
      </c>
      <c r="B68" s="58"/>
      <c r="C68" s="58"/>
      <c r="D68" s="91" t="s">
        <v>24</v>
      </c>
      <c r="E68" s="15">
        <f>E69</f>
        <v>1499283362.8900001</v>
      </c>
      <c r="F68" s="15">
        <f t="shared" ref="F68:I68" si="21">F69</f>
        <v>1499283362.8900001</v>
      </c>
      <c r="G68" s="15">
        <f t="shared" si="21"/>
        <v>1033926070</v>
      </c>
      <c r="H68" s="15">
        <f t="shared" si="21"/>
        <v>143172200</v>
      </c>
      <c r="I68" s="15">
        <f t="shared" si="21"/>
        <v>0</v>
      </c>
      <c r="J68" s="15">
        <f>J69</f>
        <v>320620748.65999997</v>
      </c>
      <c r="K68" s="15">
        <f t="shared" ref="K68" si="22">K69</f>
        <v>167126971</v>
      </c>
      <c r="L68" s="15">
        <f t="shared" ref="L68" si="23">L69</f>
        <v>101674125</v>
      </c>
      <c r="M68" s="15">
        <f t="shared" ref="M68" si="24">M69</f>
        <v>6739662</v>
      </c>
      <c r="N68" s="15">
        <f t="shared" ref="N68" si="25">N69</f>
        <v>5594400</v>
      </c>
      <c r="O68" s="15">
        <f t="shared" ref="O68:P68" si="26">O69</f>
        <v>218946623.66</v>
      </c>
      <c r="P68" s="15">
        <f t="shared" si="26"/>
        <v>1819904111.5500002</v>
      </c>
      <c r="Q68" s="198"/>
    </row>
    <row r="69" spans="1:17" s="11" customFormat="1" ht="33" customHeight="1" x14ac:dyDescent="0.25">
      <c r="A69" s="7" t="s">
        <v>163</v>
      </c>
      <c r="B69" s="8"/>
      <c r="C69" s="8"/>
      <c r="D69" s="9" t="s">
        <v>659</v>
      </c>
      <c r="E69" s="10">
        <f>E85+E86+E87+E89+E90+E91+E94+E96+E98+E101+E103+E107+E108+E109+E110+E112+E113+E114+E116+E118+E120+E122+E124+E129+E130+E132+E134+E139+E140+E145+E146+E148+E149+E104+E105+E138+E141+E144+E142+E125+E126+E128+E136</f>
        <v>1499283362.8900001</v>
      </c>
      <c r="F69" s="10">
        <f t="shared" ref="F69:P69" si="27">F85+F86+F87+F89+F90+F91+F94+F96+F98+F101+F103+F107+F108+F109+F110+F112+F113+F114+F116+F118+F120+F122+F124+F129+F130+F132+F134+F139+F140+F145+F146+F148+F149+F104+F105+F138+F141+F144+F142+F125+F126+F128+F136</f>
        <v>1499283362.8900001</v>
      </c>
      <c r="G69" s="10">
        <f t="shared" si="27"/>
        <v>1033926070</v>
      </c>
      <c r="H69" s="10">
        <f t="shared" si="27"/>
        <v>143172200</v>
      </c>
      <c r="I69" s="10">
        <f t="shared" si="27"/>
        <v>0</v>
      </c>
      <c r="J69" s="10">
        <f t="shared" si="27"/>
        <v>320620748.65999997</v>
      </c>
      <c r="K69" s="10">
        <f t="shared" si="27"/>
        <v>167126971</v>
      </c>
      <c r="L69" s="10">
        <f t="shared" si="27"/>
        <v>101674125</v>
      </c>
      <c r="M69" s="10">
        <f t="shared" si="27"/>
        <v>6739662</v>
      </c>
      <c r="N69" s="10">
        <f t="shared" si="27"/>
        <v>5594400</v>
      </c>
      <c r="O69" s="10">
        <f t="shared" si="27"/>
        <v>218946623.66</v>
      </c>
      <c r="P69" s="10">
        <f t="shared" si="27"/>
        <v>1819904111.5500002</v>
      </c>
      <c r="Q69" s="198"/>
    </row>
    <row r="70" spans="1:17" s="11" customFormat="1" ht="31.5" customHeight="1" x14ac:dyDescent="0.25">
      <c r="A70" s="7"/>
      <c r="B70" s="8"/>
      <c r="C70" s="8"/>
      <c r="D70" s="9" t="s">
        <v>383</v>
      </c>
      <c r="E70" s="10">
        <f>E92+E95+E97+E106</f>
        <v>551078300</v>
      </c>
      <c r="F70" s="10">
        <f t="shared" ref="F70:P70" si="28">F92+F95+F97+F106</f>
        <v>551078300</v>
      </c>
      <c r="G70" s="10">
        <f t="shared" si="28"/>
        <v>452384600</v>
      </c>
      <c r="H70" s="10">
        <f t="shared" si="28"/>
        <v>0</v>
      </c>
      <c r="I70" s="10">
        <f t="shared" si="28"/>
        <v>0</v>
      </c>
      <c r="J70" s="10">
        <f t="shared" si="28"/>
        <v>0</v>
      </c>
      <c r="K70" s="10">
        <f t="shared" si="28"/>
        <v>0</v>
      </c>
      <c r="L70" s="10">
        <f t="shared" si="28"/>
        <v>0</v>
      </c>
      <c r="M70" s="10">
        <f t="shared" si="28"/>
        <v>0</v>
      </c>
      <c r="N70" s="10">
        <f t="shared" si="28"/>
        <v>0</v>
      </c>
      <c r="O70" s="10">
        <f t="shared" si="28"/>
        <v>0</v>
      </c>
      <c r="P70" s="10">
        <f t="shared" si="28"/>
        <v>551078300</v>
      </c>
      <c r="Q70" s="198"/>
    </row>
    <row r="71" spans="1:17" s="11" customFormat="1" ht="63" hidden="1" customHeight="1" x14ac:dyDescent="0.25">
      <c r="A71" s="7"/>
      <c r="B71" s="8"/>
      <c r="C71" s="8"/>
      <c r="D71" s="9" t="s">
        <v>382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98"/>
    </row>
    <row r="72" spans="1:17" s="11" customFormat="1" ht="31.5" customHeight="1" x14ac:dyDescent="0.25">
      <c r="A72" s="7"/>
      <c r="B72" s="8"/>
      <c r="C72" s="8"/>
      <c r="D72" s="9" t="s">
        <v>599</v>
      </c>
      <c r="E72" s="10">
        <f>E100</f>
        <v>351767.89</v>
      </c>
      <c r="F72" s="10">
        <f t="shared" ref="F72:P72" si="29">F100</f>
        <v>351767.89</v>
      </c>
      <c r="G72" s="10">
        <f t="shared" si="29"/>
        <v>290000</v>
      </c>
      <c r="H72" s="10">
        <f t="shared" si="29"/>
        <v>0</v>
      </c>
      <c r="I72" s="10">
        <f t="shared" si="29"/>
        <v>0</v>
      </c>
      <c r="J72" s="10">
        <f t="shared" si="29"/>
        <v>0</v>
      </c>
      <c r="K72" s="10">
        <f t="shared" si="29"/>
        <v>0</v>
      </c>
      <c r="L72" s="10">
        <f t="shared" si="29"/>
        <v>0</v>
      </c>
      <c r="M72" s="10">
        <f t="shared" si="29"/>
        <v>0</v>
      </c>
      <c r="N72" s="10">
        <f t="shared" si="29"/>
        <v>0</v>
      </c>
      <c r="O72" s="10">
        <f t="shared" si="29"/>
        <v>0</v>
      </c>
      <c r="P72" s="10">
        <f t="shared" si="29"/>
        <v>351767.89</v>
      </c>
      <c r="Q72" s="198"/>
    </row>
    <row r="73" spans="1:17" s="11" customFormat="1" ht="47.25" customHeight="1" x14ac:dyDescent="0.25">
      <c r="A73" s="7"/>
      <c r="B73" s="8"/>
      <c r="C73" s="8"/>
      <c r="D73" s="9" t="s">
        <v>378</v>
      </c>
      <c r="E73" s="10">
        <f>E93+E111</f>
        <v>4320175</v>
      </c>
      <c r="F73" s="10">
        <f t="shared" ref="F73:P73" si="30">F93+F111</f>
        <v>4320175</v>
      </c>
      <c r="G73" s="10">
        <f t="shared" si="30"/>
        <v>1714570</v>
      </c>
      <c r="H73" s="10">
        <f t="shared" si="30"/>
        <v>0</v>
      </c>
      <c r="I73" s="10">
        <f t="shared" si="30"/>
        <v>0</v>
      </c>
      <c r="J73" s="10">
        <f t="shared" si="30"/>
        <v>0</v>
      </c>
      <c r="K73" s="10">
        <f t="shared" si="30"/>
        <v>0</v>
      </c>
      <c r="L73" s="10">
        <f t="shared" si="30"/>
        <v>0</v>
      </c>
      <c r="M73" s="10">
        <f t="shared" si="30"/>
        <v>0</v>
      </c>
      <c r="N73" s="10">
        <f t="shared" si="30"/>
        <v>0</v>
      </c>
      <c r="O73" s="10">
        <f t="shared" si="30"/>
        <v>0</v>
      </c>
      <c r="P73" s="10">
        <f t="shared" si="30"/>
        <v>4320175</v>
      </c>
      <c r="Q73" s="198"/>
    </row>
    <row r="74" spans="1:17" s="11" customFormat="1" ht="45" hidden="1" customHeight="1" x14ac:dyDescent="0.25">
      <c r="A74" s="7"/>
      <c r="B74" s="8"/>
      <c r="C74" s="8"/>
      <c r="D74" s="9" t="s">
        <v>380</v>
      </c>
      <c r="E74" s="10"/>
      <c r="F74" s="10"/>
      <c r="G74" s="10">
        <f t="shared" ref="G74:O74" si="31">+G108</f>
        <v>0</v>
      </c>
      <c r="H74" s="10">
        <f t="shared" si="31"/>
        <v>0</v>
      </c>
      <c r="I74" s="10">
        <f t="shared" si="31"/>
        <v>0</v>
      </c>
      <c r="J74" s="10">
        <f t="shared" si="31"/>
        <v>0</v>
      </c>
      <c r="K74" s="10">
        <f t="shared" si="31"/>
        <v>0</v>
      </c>
      <c r="L74" s="10">
        <f t="shared" si="31"/>
        <v>0</v>
      </c>
      <c r="M74" s="10">
        <f t="shared" si="31"/>
        <v>0</v>
      </c>
      <c r="N74" s="10">
        <f t="shared" si="31"/>
        <v>0</v>
      </c>
      <c r="O74" s="10">
        <f t="shared" si="31"/>
        <v>0</v>
      </c>
      <c r="P74" s="10"/>
      <c r="Q74" s="12"/>
    </row>
    <row r="75" spans="1:17" s="11" customFormat="1" ht="63" hidden="1" customHeight="1" x14ac:dyDescent="0.25">
      <c r="A75" s="7"/>
      <c r="B75" s="8"/>
      <c r="C75" s="8"/>
      <c r="D75" s="9" t="s">
        <v>377</v>
      </c>
      <c r="E75" s="10">
        <f>E121</f>
        <v>0</v>
      </c>
      <c r="F75" s="10">
        <f t="shared" ref="F75:O75" si="32">F121</f>
        <v>0</v>
      </c>
      <c r="G75" s="10">
        <f t="shared" si="32"/>
        <v>0</v>
      </c>
      <c r="H75" s="10">
        <f t="shared" si="32"/>
        <v>0</v>
      </c>
      <c r="I75" s="10">
        <f t="shared" si="32"/>
        <v>0</v>
      </c>
      <c r="J75" s="10">
        <f t="shared" si="32"/>
        <v>0</v>
      </c>
      <c r="K75" s="10">
        <f t="shared" si="32"/>
        <v>0</v>
      </c>
      <c r="L75" s="10">
        <f t="shared" si="32"/>
        <v>0</v>
      </c>
      <c r="M75" s="10">
        <f t="shared" si="32"/>
        <v>0</v>
      </c>
      <c r="N75" s="10">
        <f t="shared" si="32"/>
        <v>0</v>
      </c>
      <c r="O75" s="10">
        <f t="shared" si="32"/>
        <v>0</v>
      </c>
      <c r="P75" s="10">
        <f>P121</f>
        <v>0</v>
      </c>
      <c r="Q75" s="12"/>
    </row>
    <row r="76" spans="1:17" s="11" customFormat="1" ht="77.25" hidden="1" customHeight="1" x14ac:dyDescent="0.25">
      <c r="A76" s="7"/>
      <c r="B76" s="128"/>
      <c r="C76" s="8"/>
      <c r="D76" s="9" t="s">
        <v>488</v>
      </c>
      <c r="E76" s="10">
        <f>E123</f>
        <v>0</v>
      </c>
      <c r="F76" s="10">
        <f t="shared" ref="F76:P76" si="33">F123</f>
        <v>0</v>
      </c>
      <c r="G76" s="10">
        <f t="shared" si="33"/>
        <v>0</v>
      </c>
      <c r="H76" s="10">
        <f t="shared" si="33"/>
        <v>0</v>
      </c>
      <c r="I76" s="10">
        <f t="shared" si="33"/>
        <v>0</v>
      </c>
      <c r="J76" s="10">
        <f t="shared" si="33"/>
        <v>0</v>
      </c>
      <c r="K76" s="10">
        <f t="shared" si="33"/>
        <v>0</v>
      </c>
      <c r="L76" s="10">
        <f t="shared" si="33"/>
        <v>0</v>
      </c>
      <c r="M76" s="10">
        <f t="shared" si="33"/>
        <v>0</v>
      </c>
      <c r="N76" s="10">
        <f t="shared" si="33"/>
        <v>0</v>
      </c>
      <c r="O76" s="10">
        <f t="shared" si="33"/>
        <v>0</v>
      </c>
      <c r="P76" s="10">
        <f t="shared" si="33"/>
        <v>0</v>
      </c>
      <c r="Q76" s="12"/>
    </row>
    <row r="77" spans="1:17" s="11" customFormat="1" ht="31.5" hidden="1" customHeight="1" x14ac:dyDescent="0.25">
      <c r="A77" s="7"/>
      <c r="B77" s="8"/>
      <c r="C77" s="8"/>
      <c r="D77" s="9" t="s">
        <v>502</v>
      </c>
      <c r="E77" s="10">
        <f t="shared" ref="E77:P77" si="34">E100+E102+E147</f>
        <v>351767.89</v>
      </c>
      <c r="F77" s="10">
        <f t="shared" si="34"/>
        <v>351767.89</v>
      </c>
      <c r="G77" s="10">
        <f t="shared" si="34"/>
        <v>290000</v>
      </c>
      <c r="H77" s="10">
        <f t="shared" si="34"/>
        <v>0</v>
      </c>
      <c r="I77" s="10">
        <f t="shared" si="34"/>
        <v>0</v>
      </c>
      <c r="J77" s="10">
        <f t="shared" si="34"/>
        <v>0</v>
      </c>
      <c r="K77" s="10">
        <f t="shared" si="34"/>
        <v>0</v>
      </c>
      <c r="L77" s="10">
        <f t="shared" si="34"/>
        <v>0</v>
      </c>
      <c r="M77" s="10">
        <f t="shared" si="34"/>
        <v>0</v>
      </c>
      <c r="N77" s="10">
        <f t="shared" si="34"/>
        <v>0</v>
      </c>
      <c r="O77" s="10">
        <f t="shared" si="34"/>
        <v>0</v>
      </c>
      <c r="P77" s="10">
        <f t="shared" si="34"/>
        <v>351767.89</v>
      </c>
      <c r="Q77" s="12"/>
    </row>
    <row r="78" spans="1:17" s="11" customFormat="1" ht="78.75" hidden="1" customHeight="1" x14ac:dyDescent="0.25">
      <c r="A78" s="7"/>
      <c r="B78" s="8"/>
      <c r="C78" s="8"/>
      <c r="D78" s="9" t="s">
        <v>519</v>
      </c>
      <c r="E78" s="10">
        <f>E119</f>
        <v>0</v>
      </c>
      <c r="F78" s="10">
        <f t="shared" ref="F78:P78" si="35">F119</f>
        <v>0</v>
      </c>
      <c r="G78" s="10">
        <f t="shared" si="35"/>
        <v>0</v>
      </c>
      <c r="H78" s="10">
        <f t="shared" si="35"/>
        <v>0</v>
      </c>
      <c r="I78" s="10">
        <f t="shared" si="35"/>
        <v>0</v>
      </c>
      <c r="J78" s="10">
        <f t="shared" si="35"/>
        <v>0</v>
      </c>
      <c r="K78" s="10">
        <f t="shared" si="35"/>
        <v>0</v>
      </c>
      <c r="L78" s="10">
        <f t="shared" si="35"/>
        <v>0</v>
      </c>
      <c r="M78" s="10">
        <f t="shared" si="35"/>
        <v>0</v>
      </c>
      <c r="N78" s="10">
        <f t="shared" si="35"/>
        <v>0</v>
      </c>
      <c r="O78" s="10">
        <f t="shared" si="35"/>
        <v>0</v>
      </c>
      <c r="P78" s="10">
        <f t="shared" si="35"/>
        <v>0</v>
      </c>
      <c r="Q78" s="12"/>
    </row>
    <row r="79" spans="1:17" s="11" customFormat="1" ht="26.25" hidden="1" customHeight="1" x14ac:dyDescent="0.25">
      <c r="A79" s="7"/>
      <c r="B79" s="8"/>
      <c r="C79" s="94"/>
      <c r="D79" s="9" t="s">
        <v>539</v>
      </c>
      <c r="E79" s="10">
        <f>E115</f>
        <v>0</v>
      </c>
      <c r="F79" s="10">
        <f t="shared" ref="F79:P79" si="36">F115</f>
        <v>0</v>
      </c>
      <c r="G79" s="10">
        <f t="shared" si="36"/>
        <v>0</v>
      </c>
      <c r="H79" s="10">
        <f t="shared" si="36"/>
        <v>0</v>
      </c>
      <c r="I79" s="10">
        <f t="shared" si="36"/>
        <v>0</v>
      </c>
      <c r="J79" s="10">
        <f t="shared" si="36"/>
        <v>0</v>
      </c>
      <c r="K79" s="10">
        <f t="shared" si="36"/>
        <v>0</v>
      </c>
      <c r="L79" s="10">
        <f t="shared" si="36"/>
        <v>0</v>
      </c>
      <c r="M79" s="10">
        <f t="shared" si="36"/>
        <v>0</v>
      </c>
      <c r="N79" s="10">
        <f t="shared" si="36"/>
        <v>0</v>
      </c>
      <c r="O79" s="10">
        <f t="shared" si="36"/>
        <v>0</v>
      </c>
      <c r="P79" s="10">
        <f t="shared" si="36"/>
        <v>0</v>
      </c>
      <c r="Q79" s="12"/>
    </row>
    <row r="80" spans="1:17" s="11" customFormat="1" ht="28.5" hidden="1" customHeight="1" x14ac:dyDescent="0.25">
      <c r="A80" s="7"/>
      <c r="B80" s="8"/>
      <c r="C80" s="8"/>
      <c r="D80" s="85" t="s">
        <v>598</v>
      </c>
      <c r="E80" s="10">
        <f>E88+E135</f>
        <v>0</v>
      </c>
      <c r="F80" s="10">
        <f t="shared" ref="F80:P80" si="37">F88+F135</f>
        <v>0</v>
      </c>
      <c r="G80" s="10">
        <f t="shared" si="37"/>
        <v>0</v>
      </c>
      <c r="H80" s="10">
        <f t="shared" si="37"/>
        <v>0</v>
      </c>
      <c r="I80" s="10">
        <f t="shared" si="37"/>
        <v>0</v>
      </c>
      <c r="J80" s="10">
        <f t="shared" si="37"/>
        <v>0</v>
      </c>
      <c r="K80" s="10">
        <f t="shared" si="37"/>
        <v>0</v>
      </c>
      <c r="L80" s="10">
        <f t="shared" si="37"/>
        <v>0</v>
      </c>
      <c r="M80" s="10">
        <f t="shared" si="37"/>
        <v>0</v>
      </c>
      <c r="N80" s="10">
        <f t="shared" si="37"/>
        <v>0</v>
      </c>
      <c r="O80" s="10">
        <f t="shared" si="37"/>
        <v>0</v>
      </c>
      <c r="P80" s="10">
        <f t="shared" si="37"/>
        <v>0</v>
      </c>
      <c r="Q80" s="12"/>
    </row>
    <row r="81" spans="1:17" s="11" customFormat="1" ht="39" hidden="1" customHeight="1" x14ac:dyDescent="0.25">
      <c r="A81" s="7"/>
      <c r="B81" s="8"/>
      <c r="C81" s="8"/>
      <c r="D81" s="9" t="s">
        <v>388</v>
      </c>
      <c r="E81" s="10">
        <f>E117+E131+E133</f>
        <v>0</v>
      </c>
      <c r="F81" s="10">
        <f t="shared" ref="F81:P81" si="38">F117+F131+F133</f>
        <v>0</v>
      </c>
      <c r="G81" s="10">
        <f t="shared" si="38"/>
        <v>0</v>
      </c>
      <c r="H81" s="10">
        <f t="shared" si="38"/>
        <v>0</v>
      </c>
      <c r="I81" s="10">
        <f t="shared" si="38"/>
        <v>0</v>
      </c>
      <c r="J81" s="10">
        <f t="shared" si="38"/>
        <v>0</v>
      </c>
      <c r="K81" s="10">
        <f t="shared" si="38"/>
        <v>0</v>
      </c>
      <c r="L81" s="10">
        <f t="shared" si="38"/>
        <v>0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0</v>
      </c>
      <c r="Q81" s="12"/>
    </row>
    <row r="82" spans="1:17" s="11" customFormat="1" ht="71.25" hidden="1" customHeight="1" x14ac:dyDescent="0.25">
      <c r="A82" s="7"/>
      <c r="B82" s="8"/>
      <c r="C82" s="8"/>
      <c r="D82" s="9" t="s">
        <v>688</v>
      </c>
      <c r="E82" s="10">
        <f>E127</f>
        <v>0</v>
      </c>
      <c r="F82" s="10">
        <f t="shared" ref="F82:P82" si="39">F127</f>
        <v>0</v>
      </c>
      <c r="G82" s="10">
        <f t="shared" si="39"/>
        <v>0</v>
      </c>
      <c r="H82" s="10">
        <f t="shared" si="39"/>
        <v>0</v>
      </c>
      <c r="I82" s="10">
        <f t="shared" si="39"/>
        <v>0</v>
      </c>
      <c r="J82" s="10">
        <f t="shared" si="39"/>
        <v>0</v>
      </c>
      <c r="K82" s="10">
        <f t="shared" si="39"/>
        <v>0</v>
      </c>
      <c r="L82" s="10">
        <f t="shared" si="39"/>
        <v>0</v>
      </c>
      <c r="M82" s="10">
        <f t="shared" si="39"/>
        <v>0</v>
      </c>
      <c r="N82" s="10">
        <f t="shared" si="39"/>
        <v>0</v>
      </c>
      <c r="O82" s="10">
        <f t="shared" si="39"/>
        <v>0</v>
      </c>
      <c r="P82" s="10">
        <f t="shared" si="39"/>
        <v>0</v>
      </c>
      <c r="Q82" s="12"/>
    </row>
    <row r="83" spans="1:17" s="11" customFormat="1" ht="39" hidden="1" customHeight="1" x14ac:dyDescent="0.25">
      <c r="A83" s="7"/>
      <c r="B83" s="8"/>
      <c r="C83" s="8"/>
      <c r="D83" s="9" t="s">
        <v>654</v>
      </c>
      <c r="E83" s="10">
        <f>E143</f>
        <v>0</v>
      </c>
      <c r="F83" s="10">
        <f t="shared" ref="F83:P83" si="40">F143</f>
        <v>0</v>
      </c>
      <c r="G83" s="10">
        <f t="shared" si="40"/>
        <v>0</v>
      </c>
      <c r="H83" s="10">
        <f t="shared" si="40"/>
        <v>0</v>
      </c>
      <c r="I83" s="10">
        <f t="shared" si="40"/>
        <v>0</v>
      </c>
      <c r="J83" s="10">
        <f t="shared" si="40"/>
        <v>0</v>
      </c>
      <c r="K83" s="10">
        <f t="shared" si="40"/>
        <v>0</v>
      </c>
      <c r="L83" s="10">
        <f t="shared" si="40"/>
        <v>0</v>
      </c>
      <c r="M83" s="10">
        <f t="shared" si="40"/>
        <v>0</v>
      </c>
      <c r="N83" s="10">
        <f t="shared" si="40"/>
        <v>0</v>
      </c>
      <c r="O83" s="10">
        <f t="shared" si="40"/>
        <v>0</v>
      </c>
      <c r="P83" s="10">
        <f t="shared" si="40"/>
        <v>0</v>
      </c>
      <c r="Q83" s="12"/>
    </row>
    <row r="84" spans="1:17" s="11" customFormat="1" ht="109.9" customHeight="1" x14ac:dyDescent="0.25">
      <c r="A84" s="7"/>
      <c r="B84" s="8"/>
      <c r="C84" s="8"/>
      <c r="D84" s="9" t="s">
        <v>730</v>
      </c>
      <c r="E84" s="10">
        <f>E137</f>
        <v>0</v>
      </c>
      <c r="F84" s="10">
        <f t="shared" ref="F84:P84" si="41">F137</f>
        <v>0</v>
      </c>
      <c r="G84" s="10">
        <f t="shared" si="41"/>
        <v>0</v>
      </c>
      <c r="H84" s="10">
        <f t="shared" si="41"/>
        <v>0</v>
      </c>
      <c r="I84" s="10">
        <f t="shared" si="41"/>
        <v>0</v>
      </c>
      <c r="J84" s="10">
        <f t="shared" si="41"/>
        <v>51527652.659999996</v>
      </c>
      <c r="K84" s="10">
        <f t="shared" si="41"/>
        <v>0</v>
      </c>
      <c r="L84" s="10">
        <f t="shared" si="41"/>
        <v>0</v>
      </c>
      <c r="M84" s="10">
        <f t="shared" si="41"/>
        <v>0</v>
      </c>
      <c r="N84" s="10">
        <f t="shared" si="41"/>
        <v>0</v>
      </c>
      <c r="O84" s="10">
        <f t="shared" si="41"/>
        <v>51527652.659999996</v>
      </c>
      <c r="P84" s="10">
        <f t="shared" si="41"/>
        <v>51527652.659999996</v>
      </c>
      <c r="Q84" s="12"/>
    </row>
    <row r="85" spans="1:17" s="125" customFormat="1" ht="45.75" customHeight="1" x14ac:dyDescent="0.25">
      <c r="A85" s="1" t="s">
        <v>164</v>
      </c>
      <c r="B85" s="3" t="str">
        <f>'дод 7'!A17</f>
        <v>0160</v>
      </c>
      <c r="C85" s="3" t="str">
        <f>'дод 7'!B17</f>
        <v>0111</v>
      </c>
      <c r="D85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85" s="2">
        <f t="shared" ref="E85:E145" si="42">F85+I85</f>
        <v>4777700</v>
      </c>
      <c r="F85" s="2">
        <f>4452800+324900</f>
        <v>4777700</v>
      </c>
      <c r="G85" s="2">
        <f>3309400+266300</f>
        <v>3575700</v>
      </c>
      <c r="H85" s="2">
        <v>111200</v>
      </c>
      <c r="I85" s="2"/>
      <c r="J85" s="2">
        <f>L85+O85</f>
        <v>0</v>
      </c>
      <c r="K85" s="2">
        <v>0</v>
      </c>
      <c r="L85" s="2"/>
      <c r="M85" s="2"/>
      <c r="N85" s="2"/>
      <c r="O85" s="2">
        <v>0</v>
      </c>
      <c r="P85" s="2">
        <f t="shared" ref="P85:P149" si="43">E85+J85</f>
        <v>4777700</v>
      </c>
      <c r="Q85" s="198"/>
    </row>
    <row r="86" spans="1:17" s="125" customFormat="1" ht="21.75" customHeight="1" x14ac:dyDescent="0.25">
      <c r="A86" s="1" t="s">
        <v>165</v>
      </c>
      <c r="B86" s="3" t="str">
        <f>'дод 7'!A36</f>
        <v>1010</v>
      </c>
      <c r="C86" s="3" t="str">
        <f>'дод 7'!B36</f>
        <v>0910</v>
      </c>
      <c r="D86" s="63" t="str">
        <f>'дод 7'!C36</f>
        <v>Надання дошкільної освіти</v>
      </c>
      <c r="E86" s="2">
        <f t="shared" si="42"/>
        <v>375262720</v>
      </c>
      <c r="F86" s="2">
        <f>387213800-11201080-750000</f>
        <v>375262720</v>
      </c>
      <c r="G86" s="2">
        <v>260000000</v>
      </c>
      <c r="H86" s="2">
        <f>46345800-250000</f>
        <v>46095800</v>
      </c>
      <c r="I86" s="2"/>
      <c r="J86" s="2">
        <f>L86+O86</f>
        <v>83912920</v>
      </c>
      <c r="K86" s="2">
        <f>20000000+390000+193770+31455908+1954092</f>
        <v>53993770</v>
      </c>
      <c r="L86" s="2">
        <v>29919150</v>
      </c>
      <c r="M86" s="2"/>
      <c r="N86" s="2"/>
      <c r="O86" s="2">
        <f>20000000+390000+193770+31455908+1954092</f>
        <v>53993770</v>
      </c>
      <c r="P86" s="2">
        <f t="shared" si="43"/>
        <v>459175640</v>
      </c>
      <c r="Q86" s="198"/>
    </row>
    <row r="87" spans="1:17" s="125" customFormat="1" ht="54" customHeight="1" x14ac:dyDescent="0.25">
      <c r="A87" s="1" t="s">
        <v>445</v>
      </c>
      <c r="B87" s="1">
        <f>'дод 7'!A38</f>
        <v>1021</v>
      </c>
      <c r="C87" s="3" t="str">
        <f>'дод 7'!B38</f>
        <v>0921</v>
      </c>
      <c r="D87" s="63" t="str">
        <f>'дод 7'!C38</f>
        <v>Надання загальної середньої освіти закладами загальної середньої освіти за рахунок коштів місцевого бюджету</v>
      </c>
      <c r="E87" s="2">
        <f t="shared" si="42"/>
        <v>268265640</v>
      </c>
      <c r="F87" s="2">
        <f>276972600-11595000-750000+3638040</f>
        <v>268265640</v>
      </c>
      <c r="G87" s="2">
        <v>146950000</v>
      </c>
      <c r="H87" s="2">
        <f>64072800-250000</f>
        <v>63822800</v>
      </c>
      <c r="I87" s="2"/>
      <c r="J87" s="2">
        <f t="shared" ref="J87:J149" si="44">L87+O87</f>
        <v>70173484</v>
      </c>
      <c r="K87" s="2">
        <f>10653058-3498324+2000000+2000000+320460+1913540</f>
        <v>13388734</v>
      </c>
      <c r="L87" s="2">
        <v>56784750</v>
      </c>
      <c r="M87" s="2">
        <v>2197510</v>
      </c>
      <c r="N87" s="2">
        <v>276700</v>
      </c>
      <c r="O87" s="129">
        <f>10653058-3498324+2000000+2000000+320460+1913540</f>
        <v>13388734</v>
      </c>
      <c r="P87" s="2">
        <f t="shared" si="43"/>
        <v>338439124</v>
      </c>
      <c r="Q87" s="198"/>
    </row>
    <row r="88" spans="1:17" s="125" customFormat="1" ht="61.5" hidden="1" customHeight="1" x14ac:dyDescent="0.25">
      <c r="A88" s="1"/>
      <c r="B88" s="1"/>
      <c r="C88" s="3"/>
      <c r="D88" s="64" t="s">
        <v>598</v>
      </c>
      <c r="E88" s="2">
        <f t="shared" si="42"/>
        <v>0</v>
      </c>
      <c r="F88" s="2"/>
      <c r="G88" s="2"/>
      <c r="H88" s="2"/>
      <c r="I88" s="2"/>
      <c r="J88" s="2">
        <f t="shared" si="44"/>
        <v>0</v>
      </c>
      <c r="K88" s="2"/>
      <c r="L88" s="2"/>
      <c r="M88" s="2"/>
      <c r="N88" s="2"/>
      <c r="O88" s="2"/>
      <c r="P88" s="2">
        <f t="shared" si="43"/>
        <v>0</v>
      </c>
      <c r="Q88" s="198"/>
    </row>
    <row r="89" spans="1:17" s="125" customFormat="1" ht="80.25" customHeight="1" x14ac:dyDescent="0.25">
      <c r="A89" s="1" t="s">
        <v>447</v>
      </c>
      <c r="B89" s="3">
        <v>1022</v>
      </c>
      <c r="C89" s="1" t="s">
        <v>54</v>
      </c>
      <c r="D89" s="63" t="str">
        <f>'дод 7'!C46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9" s="2">
        <f t="shared" si="42"/>
        <v>19640200</v>
      </c>
      <c r="F89" s="2">
        <v>19640200</v>
      </c>
      <c r="G89" s="2">
        <v>11259000</v>
      </c>
      <c r="H89" s="2">
        <v>2667000</v>
      </c>
      <c r="I89" s="2"/>
      <c r="J89" s="2">
        <f t="shared" si="44"/>
        <v>0</v>
      </c>
      <c r="K89" s="2"/>
      <c r="L89" s="2"/>
      <c r="M89" s="2"/>
      <c r="N89" s="2"/>
      <c r="O89" s="2"/>
      <c r="P89" s="2">
        <f t="shared" si="43"/>
        <v>19640200</v>
      </c>
      <c r="Q89" s="198"/>
    </row>
    <row r="90" spans="1:17" s="125" customFormat="1" ht="83.25" customHeight="1" x14ac:dyDescent="0.25">
      <c r="A90" s="1" t="s">
        <v>536</v>
      </c>
      <c r="B90" s="3">
        <v>1025</v>
      </c>
      <c r="C90" s="1" t="s">
        <v>54</v>
      </c>
      <c r="D90" s="63" t="str">
        <f>'дод 7'!C48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90" s="2">
        <f t="shared" si="42"/>
        <v>14028100</v>
      </c>
      <c r="F90" s="2">
        <v>14028100</v>
      </c>
      <c r="G90" s="2">
        <v>9815000</v>
      </c>
      <c r="H90" s="2">
        <v>1219000</v>
      </c>
      <c r="I90" s="2"/>
      <c r="J90" s="2">
        <f t="shared" si="44"/>
        <v>0</v>
      </c>
      <c r="K90" s="2"/>
      <c r="L90" s="2"/>
      <c r="M90" s="2"/>
      <c r="N90" s="2"/>
      <c r="O90" s="2"/>
      <c r="P90" s="2">
        <f t="shared" si="43"/>
        <v>14028100</v>
      </c>
      <c r="Q90" s="198"/>
    </row>
    <row r="91" spans="1:17" s="125" customFormat="1" ht="54" customHeight="1" x14ac:dyDescent="0.25">
      <c r="A91" s="1" t="s">
        <v>449</v>
      </c>
      <c r="B91" s="3">
        <v>1031</v>
      </c>
      <c r="C91" s="1" t="s">
        <v>50</v>
      </c>
      <c r="D91" s="63" t="str">
        <f>'дод 7'!C49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91" s="2">
        <f t="shared" si="42"/>
        <v>508400300</v>
      </c>
      <c r="F91" s="2">
        <v>508400300</v>
      </c>
      <c r="G91" s="2">
        <v>415576000</v>
      </c>
      <c r="H91" s="2"/>
      <c r="I91" s="2"/>
      <c r="J91" s="2">
        <f t="shared" si="44"/>
        <v>0</v>
      </c>
      <c r="K91" s="2"/>
      <c r="L91" s="2"/>
      <c r="M91" s="2"/>
      <c r="N91" s="2"/>
      <c r="O91" s="2"/>
      <c r="P91" s="2">
        <f t="shared" si="43"/>
        <v>508400300</v>
      </c>
      <c r="Q91" s="198"/>
    </row>
    <row r="92" spans="1:17" s="5" customFormat="1" ht="31.5" customHeight="1" x14ac:dyDescent="0.25">
      <c r="A92" s="66"/>
      <c r="B92" s="53"/>
      <c r="C92" s="53"/>
      <c r="D92" s="64" t="s">
        <v>383</v>
      </c>
      <c r="E92" s="16">
        <f t="shared" si="42"/>
        <v>506171900</v>
      </c>
      <c r="F92" s="16">
        <v>506171900</v>
      </c>
      <c r="G92" s="16">
        <v>415576000</v>
      </c>
      <c r="H92" s="16"/>
      <c r="I92" s="16"/>
      <c r="J92" s="16">
        <f t="shared" si="44"/>
        <v>0</v>
      </c>
      <c r="K92" s="16"/>
      <c r="L92" s="16"/>
      <c r="M92" s="16"/>
      <c r="N92" s="16"/>
      <c r="O92" s="16"/>
      <c r="P92" s="16">
        <f t="shared" si="43"/>
        <v>506171900</v>
      </c>
      <c r="Q92" s="198"/>
    </row>
    <row r="93" spans="1:17" s="5" customFormat="1" ht="47.25" x14ac:dyDescent="0.25">
      <c r="A93" s="66"/>
      <c r="B93" s="53"/>
      <c r="C93" s="53"/>
      <c r="D93" s="64" t="s">
        <v>378</v>
      </c>
      <c r="E93" s="16">
        <f t="shared" si="42"/>
        <v>2228400</v>
      </c>
      <c r="F93" s="16">
        <v>2228400</v>
      </c>
      <c r="G93" s="16"/>
      <c r="H93" s="16"/>
      <c r="I93" s="16"/>
      <c r="J93" s="16">
        <f t="shared" si="44"/>
        <v>0</v>
      </c>
      <c r="K93" s="16"/>
      <c r="L93" s="16"/>
      <c r="M93" s="16"/>
      <c r="N93" s="16"/>
      <c r="O93" s="16"/>
      <c r="P93" s="16">
        <f t="shared" si="43"/>
        <v>2228400</v>
      </c>
      <c r="Q93" s="198"/>
    </row>
    <row r="94" spans="1:17" s="125" customFormat="1" ht="84" customHeight="1" x14ac:dyDescent="0.25">
      <c r="A94" s="1" t="s">
        <v>450</v>
      </c>
      <c r="B94" s="1" t="s">
        <v>451</v>
      </c>
      <c r="C94" s="1" t="s">
        <v>54</v>
      </c>
      <c r="D94" s="63" t="str">
        <f>'дод 7'!C52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4" s="2">
        <f t="shared" si="42"/>
        <v>20154300</v>
      </c>
      <c r="F94" s="2">
        <v>20154300</v>
      </c>
      <c r="G94" s="2">
        <v>16520000</v>
      </c>
      <c r="H94" s="2"/>
      <c r="I94" s="2"/>
      <c r="J94" s="2">
        <f t="shared" si="44"/>
        <v>0</v>
      </c>
      <c r="K94" s="2"/>
      <c r="L94" s="2"/>
      <c r="M94" s="2"/>
      <c r="N94" s="2"/>
      <c r="O94" s="2"/>
      <c r="P94" s="2">
        <f t="shared" si="43"/>
        <v>20154300</v>
      </c>
      <c r="Q94" s="198"/>
    </row>
    <row r="95" spans="1:17" s="5" customFormat="1" ht="33" customHeight="1" x14ac:dyDescent="0.25">
      <c r="A95" s="66"/>
      <c r="B95" s="53"/>
      <c r="C95" s="53"/>
      <c r="D95" s="64" t="s">
        <v>383</v>
      </c>
      <c r="E95" s="16">
        <f t="shared" si="42"/>
        <v>20154300</v>
      </c>
      <c r="F95" s="16">
        <v>20154300</v>
      </c>
      <c r="G95" s="16">
        <v>16520000</v>
      </c>
      <c r="H95" s="16"/>
      <c r="I95" s="16"/>
      <c r="J95" s="16">
        <f t="shared" ref="J95:J97" si="45">L95+O95</f>
        <v>0</v>
      </c>
      <c r="K95" s="16"/>
      <c r="L95" s="16"/>
      <c r="M95" s="16"/>
      <c r="N95" s="16"/>
      <c r="O95" s="16"/>
      <c r="P95" s="16">
        <f t="shared" ref="P95:P97" si="46">E95+J95</f>
        <v>20154300</v>
      </c>
      <c r="Q95" s="198"/>
    </row>
    <row r="96" spans="1:17" s="125" customFormat="1" ht="78.75" x14ac:dyDescent="0.25">
      <c r="A96" s="1" t="s">
        <v>537</v>
      </c>
      <c r="B96" s="3">
        <v>1035</v>
      </c>
      <c r="C96" s="1" t="s">
        <v>54</v>
      </c>
      <c r="D96" s="63" t="str">
        <f>'дод 7'!C54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6" s="2">
        <f t="shared" si="42"/>
        <v>1773800</v>
      </c>
      <c r="F96" s="2">
        <v>1773800</v>
      </c>
      <c r="G96" s="2">
        <v>1454000</v>
      </c>
      <c r="H96" s="2"/>
      <c r="I96" s="2"/>
      <c r="J96" s="2">
        <f t="shared" si="44"/>
        <v>0</v>
      </c>
      <c r="K96" s="2"/>
      <c r="L96" s="2"/>
      <c r="M96" s="2"/>
      <c r="N96" s="2"/>
      <c r="O96" s="2"/>
      <c r="P96" s="2">
        <f t="shared" si="43"/>
        <v>1773800</v>
      </c>
      <c r="Q96" s="198"/>
    </row>
    <row r="97" spans="1:17" s="5" customFormat="1" ht="31.5" customHeight="1" x14ac:dyDescent="0.25">
      <c r="A97" s="66"/>
      <c r="B97" s="53"/>
      <c r="C97" s="66"/>
      <c r="D97" s="64" t="s">
        <v>383</v>
      </c>
      <c r="E97" s="16">
        <f t="shared" si="42"/>
        <v>1773800</v>
      </c>
      <c r="F97" s="16">
        <v>1773800</v>
      </c>
      <c r="G97" s="16">
        <v>1454000</v>
      </c>
      <c r="H97" s="16"/>
      <c r="I97" s="16"/>
      <c r="J97" s="16">
        <f t="shared" si="45"/>
        <v>0</v>
      </c>
      <c r="K97" s="16"/>
      <c r="L97" s="16"/>
      <c r="M97" s="16"/>
      <c r="N97" s="16"/>
      <c r="O97" s="16"/>
      <c r="P97" s="16">
        <f t="shared" si="46"/>
        <v>1773800</v>
      </c>
      <c r="Q97" s="198"/>
    </row>
    <row r="98" spans="1:17" s="5" customFormat="1" ht="31.5" customHeight="1" x14ac:dyDescent="0.25">
      <c r="A98" s="1" t="s">
        <v>493</v>
      </c>
      <c r="B98" s="3">
        <v>1061</v>
      </c>
      <c r="C98" s="1" t="s">
        <v>50</v>
      </c>
      <c r="D98" s="63" t="s">
        <v>446</v>
      </c>
      <c r="E98" s="2">
        <f t="shared" si="42"/>
        <v>351767.89</v>
      </c>
      <c r="F98" s="2">
        <v>351767.89</v>
      </c>
      <c r="G98" s="16">
        <v>290000</v>
      </c>
      <c r="H98" s="16"/>
      <c r="I98" s="16"/>
      <c r="J98" s="2">
        <f t="shared" si="44"/>
        <v>0</v>
      </c>
      <c r="K98" s="2"/>
      <c r="L98" s="2"/>
      <c r="M98" s="2"/>
      <c r="N98" s="2"/>
      <c r="O98" s="2"/>
      <c r="P98" s="2">
        <f t="shared" si="43"/>
        <v>351767.89</v>
      </c>
      <c r="Q98" s="198"/>
    </row>
    <row r="99" spans="1:17" s="5" customFormat="1" ht="47.25" hidden="1" customHeight="1" x14ac:dyDescent="0.25">
      <c r="A99" s="66"/>
      <c r="B99" s="53"/>
      <c r="C99" s="66"/>
      <c r="D99" s="64" t="s">
        <v>505</v>
      </c>
      <c r="E99" s="2">
        <f t="shared" si="42"/>
        <v>0</v>
      </c>
      <c r="F99" s="16"/>
      <c r="G99" s="16"/>
      <c r="H99" s="16"/>
      <c r="I99" s="16"/>
      <c r="J99" s="16">
        <f>L99+O99</f>
        <v>0</v>
      </c>
      <c r="K99" s="16"/>
      <c r="L99" s="16"/>
      <c r="M99" s="16"/>
      <c r="N99" s="16"/>
      <c r="O99" s="16"/>
      <c r="P99" s="16">
        <f t="shared" si="43"/>
        <v>0</v>
      </c>
      <c r="Q99" s="198"/>
    </row>
    <row r="100" spans="1:17" s="5" customFormat="1" ht="31.5" customHeight="1" x14ac:dyDescent="0.25">
      <c r="A100" s="66"/>
      <c r="B100" s="53"/>
      <c r="C100" s="66"/>
      <c r="D100" s="64" t="s">
        <v>502</v>
      </c>
      <c r="E100" s="16">
        <f t="shared" si="42"/>
        <v>351767.89</v>
      </c>
      <c r="F100" s="16">
        <v>351767.89</v>
      </c>
      <c r="G100" s="16">
        <v>290000</v>
      </c>
      <c r="H100" s="16"/>
      <c r="I100" s="16"/>
      <c r="J100" s="16">
        <f t="shared" ref="J100" si="47">L100+O100</f>
        <v>0</v>
      </c>
      <c r="K100" s="16"/>
      <c r="L100" s="16"/>
      <c r="M100" s="16"/>
      <c r="N100" s="16"/>
      <c r="O100" s="16"/>
      <c r="P100" s="16">
        <f t="shared" si="43"/>
        <v>351767.89</v>
      </c>
      <c r="Q100" s="198"/>
    </row>
    <row r="101" spans="1:17" s="5" customFormat="1" ht="63" hidden="1" customHeight="1" x14ac:dyDescent="0.25">
      <c r="A101" s="1" t="s">
        <v>497</v>
      </c>
      <c r="B101" s="3">
        <v>1062</v>
      </c>
      <c r="C101" s="1" t="s">
        <v>54</v>
      </c>
      <c r="D101" s="63" t="s">
        <v>478</v>
      </c>
      <c r="E101" s="2">
        <f t="shared" si="42"/>
        <v>0</v>
      </c>
      <c r="F101" s="2"/>
      <c r="G101" s="16"/>
      <c r="H101" s="16"/>
      <c r="I101" s="16"/>
      <c r="J101" s="2">
        <f>L101+O101</f>
        <v>0</v>
      </c>
      <c r="K101" s="16"/>
      <c r="L101" s="16"/>
      <c r="M101" s="16"/>
      <c r="N101" s="16"/>
      <c r="O101" s="16"/>
      <c r="P101" s="2">
        <f t="shared" si="43"/>
        <v>0</v>
      </c>
      <c r="Q101" s="198"/>
    </row>
    <row r="102" spans="1:17" s="5" customFormat="1" ht="31.5" hidden="1" customHeight="1" x14ac:dyDescent="0.25">
      <c r="A102" s="66"/>
      <c r="B102" s="53"/>
      <c r="C102" s="66"/>
      <c r="D102" s="64" t="s">
        <v>502</v>
      </c>
      <c r="E102" s="2">
        <f t="shared" si="42"/>
        <v>0</v>
      </c>
      <c r="F102" s="16"/>
      <c r="G102" s="16"/>
      <c r="H102" s="16"/>
      <c r="I102" s="16"/>
      <c r="J102" s="16">
        <f>L102+O102</f>
        <v>0</v>
      </c>
      <c r="K102" s="2"/>
      <c r="L102" s="16"/>
      <c r="M102" s="16"/>
      <c r="N102" s="16"/>
      <c r="O102" s="2"/>
      <c r="P102" s="16">
        <f t="shared" si="43"/>
        <v>0</v>
      </c>
      <c r="Q102" s="198"/>
    </row>
    <row r="103" spans="1:17" s="125" customFormat="1" ht="57.75" customHeight="1" x14ac:dyDescent="0.25">
      <c r="A103" s="1" t="s">
        <v>452</v>
      </c>
      <c r="B103" s="1" t="s">
        <v>53</v>
      </c>
      <c r="C103" s="1" t="s">
        <v>56</v>
      </c>
      <c r="D103" s="63" t="str">
        <f>'дод 7'!C61</f>
        <v>Надання позашкільної освіти закладами позашкільної освіти, заходи із позашкільної роботи з дітьми</v>
      </c>
      <c r="E103" s="2">
        <f t="shared" si="42"/>
        <v>49233900</v>
      </c>
      <c r="F103" s="2">
        <v>49233900</v>
      </c>
      <c r="G103" s="2">
        <v>34500000</v>
      </c>
      <c r="H103" s="2">
        <v>6479900</v>
      </c>
      <c r="I103" s="2"/>
      <c r="J103" s="2">
        <f t="shared" si="44"/>
        <v>3255000</v>
      </c>
      <c r="K103" s="2">
        <f>1000000+2255000</f>
        <v>3255000</v>
      </c>
      <c r="L103" s="2"/>
      <c r="M103" s="2"/>
      <c r="N103" s="2"/>
      <c r="O103" s="2">
        <f>1000000+2255000</f>
        <v>3255000</v>
      </c>
      <c r="P103" s="2">
        <f t="shared" si="43"/>
        <v>52488900</v>
      </c>
      <c r="Q103" s="198"/>
    </row>
    <row r="104" spans="1:17" s="125" customFormat="1" ht="66.75" customHeight="1" x14ac:dyDescent="0.25">
      <c r="A104" s="1" t="s">
        <v>566</v>
      </c>
      <c r="B104" s="3">
        <v>1091</v>
      </c>
      <c r="C104" s="1" t="s">
        <v>567</v>
      </c>
      <c r="D104" s="63" t="str">
        <f>'дод 7'!C63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4" s="2">
        <f t="shared" si="42"/>
        <v>164761300</v>
      </c>
      <c r="F104" s="2">
        <f>166005300-500000-744000</f>
        <v>164761300</v>
      </c>
      <c r="G104" s="2">
        <f>91215400-609000</f>
        <v>90606400</v>
      </c>
      <c r="H104" s="2">
        <v>18732100</v>
      </c>
      <c r="I104" s="2"/>
      <c r="J104" s="2">
        <f>L104+O104</f>
        <v>14580725</v>
      </c>
      <c r="K104" s="2"/>
      <c r="L104" s="2">
        <v>14430725</v>
      </c>
      <c r="M104" s="2">
        <v>4542152</v>
      </c>
      <c r="N104" s="2">
        <v>5317700</v>
      </c>
      <c r="O104" s="2">
        <v>150000</v>
      </c>
      <c r="P104" s="2">
        <f t="shared" si="43"/>
        <v>179342025</v>
      </c>
      <c r="Q104" s="198"/>
    </row>
    <row r="105" spans="1:17" s="125" customFormat="1" ht="63" customHeight="1" x14ac:dyDescent="0.25">
      <c r="A105" s="1" t="s">
        <v>569</v>
      </c>
      <c r="B105" s="3">
        <v>1092</v>
      </c>
      <c r="C105" s="1" t="s">
        <v>567</v>
      </c>
      <c r="D105" s="63" t="str">
        <f>'дод 7'!C64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5" s="2">
        <f t="shared" si="42"/>
        <v>22978300</v>
      </c>
      <c r="F105" s="2">
        <v>22978300</v>
      </c>
      <c r="G105" s="2">
        <v>18834600</v>
      </c>
      <c r="H105" s="2"/>
      <c r="I105" s="2"/>
      <c r="J105" s="2">
        <f t="shared" si="44"/>
        <v>0</v>
      </c>
      <c r="K105" s="2"/>
      <c r="L105" s="2"/>
      <c r="M105" s="2"/>
      <c r="N105" s="2"/>
      <c r="O105" s="2"/>
      <c r="P105" s="2">
        <f t="shared" si="43"/>
        <v>22978300</v>
      </c>
      <c r="Q105" s="198"/>
    </row>
    <row r="106" spans="1:17" s="5" customFormat="1" ht="31.5" customHeight="1" x14ac:dyDescent="0.25">
      <c r="A106" s="66"/>
      <c r="B106" s="53"/>
      <c r="C106" s="66"/>
      <c r="D106" s="64" t="s">
        <v>383</v>
      </c>
      <c r="E106" s="16">
        <f t="shared" si="42"/>
        <v>22978300</v>
      </c>
      <c r="F106" s="16">
        <v>22978300</v>
      </c>
      <c r="G106" s="16">
        <v>18834600</v>
      </c>
      <c r="H106" s="16"/>
      <c r="I106" s="16"/>
      <c r="J106" s="16">
        <f t="shared" si="44"/>
        <v>0</v>
      </c>
      <c r="K106" s="16"/>
      <c r="L106" s="16"/>
      <c r="M106" s="16"/>
      <c r="N106" s="16"/>
      <c r="O106" s="16"/>
      <c r="P106" s="16">
        <f t="shared" si="43"/>
        <v>22978300</v>
      </c>
      <c r="Q106" s="198"/>
    </row>
    <row r="107" spans="1:17" s="125" customFormat="1" ht="34.5" customHeight="1" x14ac:dyDescent="0.25">
      <c r="A107" s="1" t="s">
        <v>453</v>
      </c>
      <c r="B107" s="1" t="s">
        <v>454</v>
      </c>
      <c r="C107" s="1" t="s">
        <v>57</v>
      </c>
      <c r="D107" s="63" t="str">
        <f>'дод 7'!C66</f>
        <v>Забезпечення діяльності інших закладів у сфері освіти</v>
      </c>
      <c r="E107" s="2">
        <f t="shared" si="42"/>
        <v>13653300</v>
      </c>
      <c r="F107" s="2">
        <v>13653300</v>
      </c>
      <c r="G107" s="2">
        <v>9562000</v>
      </c>
      <c r="H107" s="2">
        <v>1300700</v>
      </c>
      <c r="I107" s="2"/>
      <c r="J107" s="2">
        <f t="shared" si="44"/>
        <v>0</v>
      </c>
      <c r="K107" s="2"/>
      <c r="L107" s="2"/>
      <c r="M107" s="2"/>
      <c r="N107" s="2"/>
      <c r="O107" s="2"/>
      <c r="P107" s="2">
        <f t="shared" si="43"/>
        <v>13653300</v>
      </c>
      <c r="Q107" s="198"/>
    </row>
    <row r="108" spans="1:17" s="125" customFormat="1" ht="27.75" customHeight="1" x14ac:dyDescent="0.25">
      <c r="A108" s="1" t="s">
        <v>455</v>
      </c>
      <c r="B108" s="1" t="s">
        <v>456</v>
      </c>
      <c r="C108" s="1" t="s">
        <v>57</v>
      </c>
      <c r="D108" s="63" t="str">
        <f>'дод 7'!C67</f>
        <v>Інші програми та заходи у сфері освіти</v>
      </c>
      <c r="E108" s="2">
        <f t="shared" si="42"/>
        <v>134000</v>
      </c>
      <c r="F108" s="2">
        <v>134000</v>
      </c>
      <c r="G108" s="2"/>
      <c r="H108" s="2"/>
      <c r="I108" s="2"/>
      <c r="J108" s="2">
        <f t="shared" ref="J108" si="48">L108+O108</f>
        <v>0</v>
      </c>
      <c r="K108" s="2"/>
      <c r="L108" s="2"/>
      <c r="M108" s="2"/>
      <c r="N108" s="2"/>
      <c r="O108" s="2"/>
      <c r="P108" s="2">
        <f t="shared" ref="P108" si="49">E108+J108</f>
        <v>134000</v>
      </c>
      <c r="Q108" s="198"/>
    </row>
    <row r="109" spans="1:17" s="125" customFormat="1" ht="35.25" customHeight="1" x14ac:dyDescent="0.25">
      <c r="A109" s="1" t="s">
        <v>457</v>
      </c>
      <c r="B109" s="1" t="s">
        <v>458</v>
      </c>
      <c r="C109" s="1" t="s">
        <v>57</v>
      </c>
      <c r="D109" s="63" t="str">
        <f>'дод 7'!C68</f>
        <v>Забезпечення діяльності інклюзивно-ресурсних центрів за рахунок коштів місцевого бюджету</v>
      </c>
      <c r="E109" s="2">
        <f t="shared" si="42"/>
        <v>174700</v>
      </c>
      <c r="F109" s="2">
        <v>174700</v>
      </c>
      <c r="G109" s="2"/>
      <c r="H109" s="2">
        <v>122400</v>
      </c>
      <c r="I109" s="2"/>
      <c r="J109" s="2">
        <f t="shared" si="44"/>
        <v>0</v>
      </c>
      <c r="K109" s="2"/>
      <c r="L109" s="2"/>
      <c r="M109" s="2"/>
      <c r="N109" s="2"/>
      <c r="O109" s="2"/>
      <c r="P109" s="2">
        <f t="shared" si="43"/>
        <v>174700</v>
      </c>
      <c r="Q109" s="198"/>
    </row>
    <row r="110" spans="1:17" s="125" customFormat="1" ht="47.25" x14ac:dyDescent="0.25">
      <c r="A110" s="1" t="s">
        <v>460</v>
      </c>
      <c r="B110" s="1" t="s">
        <v>461</v>
      </c>
      <c r="C110" s="1" t="str">
        <f>'дод 7'!B68</f>
        <v>0990</v>
      </c>
      <c r="D110" s="63" t="str">
        <f>'дод 7'!C69</f>
        <v>Забезпечення діяльності інклюзивно-ресурсних центрів за рахунок освітньої субвенції, у т.ч. за рахунок:</v>
      </c>
      <c r="E110" s="2">
        <f t="shared" si="42"/>
        <v>2091775</v>
      </c>
      <c r="F110" s="2">
        <v>2091775</v>
      </c>
      <c r="G110" s="2">
        <v>1714570</v>
      </c>
      <c r="H110" s="2"/>
      <c r="I110" s="2"/>
      <c r="J110" s="2">
        <f t="shared" si="44"/>
        <v>0</v>
      </c>
      <c r="K110" s="2"/>
      <c r="L110" s="2"/>
      <c r="M110" s="2"/>
      <c r="N110" s="2"/>
      <c r="O110" s="2"/>
      <c r="P110" s="2">
        <f t="shared" si="43"/>
        <v>2091775</v>
      </c>
      <c r="Q110" s="198"/>
    </row>
    <row r="111" spans="1:17" s="5" customFormat="1" ht="47.25" x14ac:dyDescent="0.25">
      <c r="A111" s="66"/>
      <c r="B111" s="66"/>
      <c r="C111" s="66"/>
      <c r="D111" s="64" t="s">
        <v>378</v>
      </c>
      <c r="E111" s="16">
        <f t="shared" si="42"/>
        <v>2091775</v>
      </c>
      <c r="F111" s="16">
        <v>2091775</v>
      </c>
      <c r="G111" s="16">
        <v>1714570</v>
      </c>
      <c r="H111" s="16"/>
      <c r="I111" s="16"/>
      <c r="J111" s="16">
        <f t="shared" si="44"/>
        <v>0</v>
      </c>
      <c r="K111" s="16"/>
      <c r="L111" s="16"/>
      <c r="M111" s="16"/>
      <c r="N111" s="16"/>
      <c r="O111" s="16"/>
      <c r="P111" s="16">
        <f t="shared" si="43"/>
        <v>2091775</v>
      </c>
      <c r="Q111" s="198"/>
    </row>
    <row r="112" spans="1:17" s="125" customFormat="1" ht="36" customHeight="1" x14ac:dyDescent="0.25">
      <c r="A112" s="1" t="s">
        <v>462</v>
      </c>
      <c r="B112" s="1" t="s">
        <v>463</v>
      </c>
      <c r="C112" s="1" t="str">
        <f>'дод 7'!B69</f>
        <v>0990</v>
      </c>
      <c r="D112" s="63" t="str">
        <f>'дод 7'!C71</f>
        <v>Забезпечення діяльності центрів професійного розвитку педагогічних працівників</v>
      </c>
      <c r="E112" s="2">
        <f t="shared" si="42"/>
        <v>3905000</v>
      </c>
      <c r="F112" s="2">
        <f>3661000+244000</f>
        <v>3905000</v>
      </c>
      <c r="G112" s="2">
        <f>2625000+200000</f>
        <v>2825000</v>
      </c>
      <c r="H112" s="2">
        <v>303800</v>
      </c>
      <c r="I112" s="2"/>
      <c r="J112" s="2">
        <f t="shared" si="44"/>
        <v>0</v>
      </c>
      <c r="K112" s="2"/>
      <c r="L112" s="2"/>
      <c r="M112" s="2"/>
      <c r="N112" s="2"/>
      <c r="O112" s="2"/>
      <c r="P112" s="2">
        <f t="shared" si="43"/>
        <v>3905000</v>
      </c>
      <c r="Q112" s="198"/>
    </row>
    <row r="113" spans="1:17" s="125" customFormat="1" ht="63" hidden="1" customHeight="1" x14ac:dyDescent="0.25">
      <c r="A113" s="1" t="s">
        <v>524</v>
      </c>
      <c r="B113" s="1" t="s">
        <v>525</v>
      </c>
      <c r="C113" s="1" t="s">
        <v>57</v>
      </c>
      <c r="D113" s="63" t="str">
        <f>'дод 7'!C72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3" s="2">
        <f t="shared" si="42"/>
        <v>0</v>
      </c>
      <c r="F113" s="2"/>
      <c r="G113" s="2"/>
      <c r="H113" s="2"/>
      <c r="I113" s="2"/>
      <c r="J113" s="2">
        <f t="shared" si="44"/>
        <v>0</v>
      </c>
      <c r="K113" s="2"/>
      <c r="L113" s="2"/>
      <c r="M113" s="2"/>
      <c r="N113" s="2"/>
      <c r="O113" s="2"/>
      <c r="P113" s="2">
        <f t="shared" si="43"/>
        <v>0</v>
      </c>
      <c r="Q113" s="198"/>
    </row>
    <row r="114" spans="1:17" s="125" customFormat="1" ht="63" hidden="1" customHeight="1" x14ac:dyDescent="0.25">
      <c r="A114" s="1" t="s">
        <v>515</v>
      </c>
      <c r="B114" s="1" t="s">
        <v>517</v>
      </c>
      <c r="C114" s="1" t="s">
        <v>57</v>
      </c>
      <c r="D114" s="63" t="s">
        <v>544</v>
      </c>
      <c r="E114" s="2">
        <f t="shared" si="42"/>
        <v>0</v>
      </c>
      <c r="F114" s="2"/>
      <c r="G114" s="2"/>
      <c r="H114" s="2"/>
      <c r="I114" s="2"/>
      <c r="J114" s="2">
        <f t="shared" si="44"/>
        <v>0</v>
      </c>
      <c r="K114" s="2"/>
      <c r="L114" s="2"/>
      <c r="M114" s="2"/>
      <c r="N114" s="2"/>
      <c r="O114" s="2"/>
      <c r="P114" s="2">
        <f t="shared" si="43"/>
        <v>0</v>
      </c>
      <c r="Q114" s="198"/>
    </row>
    <row r="115" spans="1:17" s="5" customFormat="1" ht="47.25" hidden="1" customHeight="1" x14ac:dyDescent="0.25">
      <c r="A115" s="66"/>
      <c r="B115" s="66"/>
      <c r="C115" s="66"/>
      <c r="D115" s="64" t="s">
        <v>539</v>
      </c>
      <c r="E115" s="2">
        <f t="shared" si="42"/>
        <v>0</v>
      </c>
      <c r="F115" s="16"/>
      <c r="G115" s="16"/>
      <c r="H115" s="16"/>
      <c r="I115" s="16"/>
      <c r="J115" s="16">
        <f t="shared" si="44"/>
        <v>0</v>
      </c>
      <c r="K115" s="16"/>
      <c r="L115" s="16"/>
      <c r="M115" s="16"/>
      <c r="N115" s="16"/>
      <c r="O115" s="16"/>
      <c r="P115" s="16">
        <f t="shared" si="43"/>
        <v>0</v>
      </c>
      <c r="Q115" s="198"/>
    </row>
    <row r="116" spans="1:17" s="125" customFormat="1" ht="78.75" hidden="1" customHeight="1" x14ac:dyDescent="0.25">
      <c r="A116" s="1" t="s">
        <v>526</v>
      </c>
      <c r="B116" s="1" t="s">
        <v>527</v>
      </c>
      <c r="C116" s="1" t="s">
        <v>57</v>
      </c>
      <c r="D116" s="63" t="str">
        <f>'дод 7'!C75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6" s="2">
        <f t="shared" si="42"/>
        <v>0</v>
      </c>
      <c r="F116" s="2"/>
      <c r="G116" s="2"/>
      <c r="H116" s="2"/>
      <c r="I116" s="2"/>
      <c r="J116" s="2">
        <f t="shared" si="44"/>
        <v>0</v>
      </c>
      <c r="K116" s="2"/>
      <c r="L116" s="2"/>
      <c r="M116" s="2"/>
      <c r="N116" s="2"/>
      <c r="O116" s="2"/>
      <c r="P116" s="2">
        <f t="shared" si="43"/>
        <v>0</v>
      </c>
      <c r="Q116" s="198"/>
    </row>
    <row r="117" spans="1:17" s="125" customFormat="1" ht="15.75" hidden="1" customHeight="1" x14ac:dyDescent="0.25">
      <c r="A117" s="1"/>
      <c r="B117" s="1"/>
      <c r="C117" s="1"/>
      <c r="D117" s="64" t="s">
        <v>388</v>
      </c>
      <c r="E117" s="2">
        <f t="shared" si="42"/>
        <v>0</v>
      </c>
      <c r="F117" s="16"/>
      <c r="G117" s="2"/>
      <c r="H117" s="2"/>
      <c r="I117" s="2"/>
      <c r="J117" s="16">
        <f t="shared" si="44"/>
        <v>0</v>
      </c>
      <c r="K117" s="2"/>
      <c r="L117" s="2"/>
      <c r="M117" s="2"/>
      <c r="N117" s="2"/>
      <c r="O117" s="2"/>
      <c r="P117" s="16">
        <f t="shared" si="43"/>
        <v>0</v>
      </c>
      <c r="Q117" s="198"/>
    </row>
    <row r="118" spans="1:17" s="125" customFormat="1" ht="78.75" hidden="1" customHeight="1" x14ac:dyDescent="0.25">
      <c r="A118" s="1" t="s">
        <v>516</v>
      </c>
      <c r="B118" s="1" t="s">
        <v>518</v>
      </c>
      <c r="C118" s="1" t="s">
        <v>57</v>
      </c>
      <c r="D118" s="63" t="s">
        <v>540</v>
      </c>
      <c r="E118" s="2">
        <f t="shared" si="42"/>
        <v>0</v>
      </c>
      <c r="F118" s="2"/>
      <c r="G118" s="2"/>
      <c r="H118" s="2"/>
      <c r="I118" s="2"/>
      <c r="J118" s="2">
        <f t="shared" si="44"/>
        <v>0</v>
      </c>
      <c r="K118" s="2"/>
      <c r="L118" s="2"/>
      <c r="M118" s="2"/>
      <c r="N118" s="2"/>
      <c r="O118" s="2"/>
      <c r="P118" s="2">
        <f t="shared" si="43"/>
        <v>0</v>
      </c>
      <c r="Q118" s="198"/>
    </row>
    <row r="119" spans="1:17" s="5" customFormat="1" ht="63" hidden="1" customHeight="1" x14ac:dyDescent="0.25">
      <c r="A119" s="66"/>
      <c r="B119" s="66"/>
      <c r="C119" s="66"/>
      <c r="D119" s="64" t="s">
        <v>519</v>
      </c>
      <c r="E119" s="2">
        <f t="shared" si="42"/>
        <v>0</v>
      </c>
      <c r="F119" s="16"/>
      <c r="G119" s="16"/>
      <c r="H119" s="16"/>
      <c r="I119" s="16"/>
      <c r="J119" s="16">
        <f t="shared" si="44"/>
        <v>0</v>
      </c>
      <c r="K119" s="16"/>
      <c r="L119" s="16"/>
      <c r="M119" s="16"/>
      <c r="N119" s="16"/>
      <c r="O119" s="16"/>
      <c r="P119" s="16">
        <f t="shared" si="43"/>
        <v>0</v>
      </c>
      <c r="Q119" s="198"/>
    </row>
    <row r="120" spans="1:17" s="125" customFormat="1" ht="65.25" hidden="1" customHeight="1" x14ac:dyDescent="0.25">
      <c r="A120" s="1" t="s">
        <v>465</v>
      </c>
      <c r="B120" s="1" t="s">
        <v>466</v>
      </c>
      <c r="C120" s="1" t="s">
        <v>57</v>
      </c>
      <c r="D120" s="67" t="s">
        <v>479</v>
      </c>
      <c r="E120" s="2">
        <f t="shared" si="42"/>
        <v>0</v>
      </c>
      <c r="F120" s="2"/>
      <c r="G120" s="2"/>
      <c r="H120" s="2"/>
      <c r="I120" s="2"/>
      <c r="J120" s="2">
        <f t="shared" si="44"/>
        <v>0</v>
      </c>
      <c r="K120" s="2"/>
      <c r="L120" s="2"/>
      <c r="M120" s="2"/>
      <c r="N120" s="2"/>
      <c r="O120" s="2"/>
      <c r="P120" s="2">
        <f t="shared" si="43"/>
        <v>0</v>
      </c>
      <c r="Q120" s="198"/>
    </row>
    <row r="121" spans="1:17" s="5" customFormat="1" ht="63" hidden="1" customHeight="1" x14ac:dyDescent="0.25">
      <c r="A121" s="66"/>
      <c r="B121" s="53"/>
      <c r="C121" s="53"/>
      <c r="D121" s="64" t="s">
        <v>377</v>
      </c>
      <c r="E121" s="2">
        <f t="shared" si="42"/>
        <v>0</v>
      </c>
      <c r="F121" s="16"/>
      <c r="G121" s="16"/>
      <c r="H121" s="16"/>
      <c r="I121" s="16"/>
      <c r="J121" s="2">
        <f t="shared" si="44"/>
        <v>0</v>
      </c>
      <c r="K121" s="16"/>
      <c r="L121" s="16"/>
      <c r="M121" s="16"/>
      <c r="N121" s="16"/>
      <c r="O121" s="16"/>
      <c r="P121" s="16">
        <f t="shared" si="43"/>
        <v>0</v>
      </c>
      <c r="Q121" s="198"/>
    </row>
    <row r="122" spans="1:17" s="5" customFormat="1" ht="70.5" hidden="1" customHeight="1" x14ac:dyDescent="0.25">
      <c r="A122" s="1" t="s">
        <v>486</v>
      </c>
      <c r="B122" s="3">
        <v>1210</v>
      </c>
      <c r="C122" s="1" t="s">
        <v>57</v>
      </c>
      <c r="D122" s="63" t="s">
        <v>487</v>
      </c>
      <c r="E122" s="2">
        <f t="shared" si="42"/>
        <v>0</v>
      </c>
      <c r="F122" s="2"/>
      <c r="G122" s="2"/>
      <c r="H122" s="16"/>
      <c r="I122" s="16"/>
      <c r="J122" s="2">
        <f t="shared" si="44"/>
        <v>0</v>
      </c>
      <c r="K122" s="16"/>
      <c r="L122" s="16"/>
      <c r="M122" s="16"/>
      <c r="N122" s="16"/>
      <c r="O122" s="16"/>
      <c r="P122" s="2">
        <f t="shared" si="43"/>
        <v>0</v>
      </c>
      <c r="Q122" s="198"/>
    </row>
    <row r="123" spans="1:17" s="5" customFormat="1" ht="64.5" hidden="1" customHeight="1" x14ac:dyDescent="0.25">
      <c r="A123" s="66"/>
      <c r="B123" s="53"/>
      <c r="C123" s="53"/>
      <c r="D123" s="64" t="s">
        <v>488</v>
      </c>
      <c r="E123" s="2">
        <f t="shared" si="42"/>
        <v>0</v>
      </c>
      <c r="F123" s="16"/>
      <c r="G123" s="16"/>
      <c r="H123" s="16"/>
      <c r="I123" s="16"/>
      <c r="J123" s="2">
        <f t="shared" si="44"/>
        <v>0</v>
      </c>
      <c r="K123" s="16"/>
      <c r="L123" s="16"/>
      <c r="M123" s="16"/>
      <c r="N123" s="16"/>
      <c r="O123" s="16"/>
      <c r="P123" s="2">
        <f t="shared" si="43"/>
        <v>0</v>
      </c>
      <c r="Q123" s="198"/>
    </row>
    <row r="124" spans="1:17" s="5" customFormat="1" ht="64.5" hidden="1" customHeight="1" x14ac:dyDescent="0.25">
      <c r="A124" s="1" t="s">
        <v>467</v>
      </c>
      <c r="B124" s="3">
        <v>3140</v>
      </c>
      <c r="C124" s="3">
        <v>1040</v>
      </c>
      <c r="D124" s="4" t="str">
        <f>'дод 7'!C133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4" s="2">
        <f t="shared" si="42"/>
        <v>0</v>
      </c>
      <c r="F124" s="2"/>
      <c r="G124" s="2"/>
      <c r="H124" s="2"/>
      <c r="I124" s="2"/>
      <c r="J124" s="2">
        <f t="shared" si="44"/>
        <v>0</v>
      </c>
      <c r="K124" s="16"/>
      <c r="L124" s="16"/>
      <c r="M124" s="16"/>
      <c r="N124" s="16"/>
      <c r="O124" s="16"/>
      <c r="P124" s="2">
        <f t="shared" si="43"/>
        <v>0</v>
      </c>
      <c r="Q124" s="198"/>
    </row>
    <row r="125" spans="1:17" s="5" customFormat="1" ht="64.5" customHeight="1" x14ac:dyDescent="0.25">
      <c r="A125" s="1" t="s">
        <v>685</v>
      </c>
      <c r="B125" s="3">
        <v>1261</v>
      </c>
      <c r="C125" s="1" t="s">
        <v>57</v>
      </c>
      <c r="D125" s="4" t="s">
        <v>684</v>
      </c>
      <c r="E125" s="2">
        <f t="shared" si="42"/>
        <v>0</v>
      </c>
      <c r="F125" s="2"/>
      <c r="G125" s="2"/>
      <c r="H125" s="2"/>
      <c r="I125" s="2"/>
      <c r="J125" s="2">
        <f t="shared" si="44"/>
        <v>1200000</v>
      </c>
      <c r="K125" s="2">
        <v>1200000</v>
      </c>
      <c r="L125" s="2"/>
      <c r="M125" s="2"/>
      <c r="N125" s="2"/>
      <c r="O125" s="2">
        <v>1200000</v>
      </c>
      <c r="P125" s="2">
        <f t="shared" si="43"/>
        <v>1200000</v>
      </c>
      <c r="Q125" s="198"/>
    </row>
    <row r="126" spans="1:17" s="5" customFormat="1" ht="64.5" hidden="1" customHeight="1" x14ac:dyDescent="0.25">
      <c r="A126" s="1" t="s">
        <v>686</v>
      </c>
      <c r="B126" s="3">
        <v>1262</v>
      </c>
      <c r="C126" s="1" t="s">
        <v>57</v>
      </c>
      <c r="D126" s="4" t="s">
        <v>687</v>
      </c>
      <c r="E126" s="2">
        <f t="shared" si="42"/>
        <v>0</v>
      </c>
      <c r="F126" s="2"/>
      <c r="G126" s="2"/>
      <c r="H126" s="2"/>
      <c r="I126" s="2"/>
      <c r="J126" s="2">
        <f t="shared" si="44"/>
        <v>0</v>
      </c>
      <c r="K126" s="2"/>
      <c r="L126" s="2"/>
      <c r="M126" s="2"/>
      <c r="N126" s="2"/>
      <c r="O126" s="2"/>
      <c r="P126" s="2">
        <f t="shared" si="43"/>
        <v>0</v>
      </c>
      <c r="Q126" s="198"/>
    </row>
    <row r="127" spans="1:17" s="5" customFormat="1" ht="64.5" hidden="1" customHeight="1" x14ac:dyDescent="0.25">
      <c r="A127" s="1"/>
      <c r="B127" s="3"/>
      <c r="C127" s="3"/>
      <c r="D127" s="73" t="s">
        <v>688</v>
      </c>
      <c r="E127" s="2">
        <f t="shared" si="42"/>
        <v>0</v>
      </c>
      <c r="F127" s="2"/>
      <c r="G127" s="2"/>
      <c r="H127" s="2"/>
      <c r="I127" s="2"/>
      <c r="J127" s="16">
        <f t="shared" si="44"/>
        <v>0</v>
      </c>
      <c r="K127" s="16"/>
      <c r="L127" s="16"/>
      <c r="M127" s="16"/>
      <c r="N127" s="16"/>
      <c r="O127" s="16"/>
      <c r="P127" s="16">
        <f t="shared" si="43"/>
        <v>0</v>
      </c>
      <c r="Q127" s="198"/>
    </row>
    <row r="128" spans="1:17" s="5" customFormat="1" ht="64.5" hidden="1" customHeight="1" x14ac:dyDescent="0.25">
      <c r="A128" s="1" t="s">
        <v>467</v>
      </c>
      <c r="B128" s="3">
        <v>3140</v>
      </c>
      <c r="C128" s="3">
        <v>1040</v>
      </c>
      <c r="D128" s="4" t="s">
        <v>20</v>
      </c>
      <c r="E128" s="2">
        <f t="shared" si="42"/>
        <v>0</v>
      </c>
      <c r="F128" s="2">
        <f>2000000-2000000</f>
        <v>0</v>
      </c>
      <c r="G128" s="2"/>
      <c r="H128" s="2"/>
      <c r="I128" s="2"/>
      <c r="J128" s="16">
        <f t="shared" si="44"/>
        <v>0</v>
      </c>
      <c r="K128" s="16"/>
      <c r="L128" s="16"/>
      <c r="M128" s="16"/>
      <c r="N128" s="16"/>
      <c r="O128" s="16"/>
      <c r="P128" s="2">
        <f t="shared" si="43"/>
        <v>0</v>
      </c>
      <c r="Q128" s="198"/>
    </row>
    <row r="129" spans="1:17" s="5" customFormat="1" ht="31.5" x14ac:dyDescent="0.25">
      <c r="A129" s="1" t="s">
        <v>468</v>
      </c>
      <c r="B129" s="3">
        <v>3242</v>
      </c>
      <c r="C129" s="3">
        <v>1090</v>
      </c>
      <c r="D129" s="63" t="s">
        <v>400</v>
      </c>
      <c r="E129" s="2">
        <f t="shared" si="42"/>
        <v>65200</v>
      </c>
      <c r="F129" s="2">
        <v>65200</v>
      </c>
      <c r="G129" s="2"/>
      <c r="H129" s="2"/>
      <c r="I129" s="2"/>
      <c r="J129" s="2">
        <f t="shared" si="44"/>
        <v>0</v>
      </c>
      <c r="K129" s="16"/>
      <c r="L129" s="16"/>
      <c r="M129" s="16"/>
      <c r="N129" s="16"/>
      <c r="O129" s="16"/>
      <c r="P129" s="2">
        <f t="shared" si="43"/>
        <v>65200</v>
      </c>
      <c r="Q129" s="198"/>
    </row>
    <row r="130" spans="1:17" s="5" customFormat="1" ht="31.5" x14ac:dyDescent="0.25">
      <c r="A130" s="1" t="s">
        <v>470</v>
      </c>
      <c r="B130" s="3">
        <v>5031</v>
      </c>
      <c r="C130" s="1" t="s">
        <v>79</v>
      </c>
      <c r="D130" s="65" t="str">
        <f>'дод 7'!C163</f>
        <v>Утримання та навчально-тренувальна робота комунальних дитячо-юнацьких спортивних шкіл</v>
      </c>
      <c r="E130" s="2">
        <f t="shared" si="42"/>
        <v>14044800</v>
      </c>
      <c r="F130" s="2">
        <f>14114800-70000</f>
        <v>14044800</v>
      </c>
      <c r="G130" s="2">
        <v>10443800</v>
      </c>
      <c r="H130" s="2">
        <v>457500</v>
      </c>
      <c r="I130" s="2"/>
      <c r="J130" s="2">
        <f t="shared" si="44"/>
        <v>0</v>
      </c>
      <c r="K130" s="2"/>
      <c r="L130" s="16"/>
      <c r="M130" s="16"/>
      <c r="N130" s="16"/>
      <c r="O130" s="2"/>
      <c r="P130" s="2">
        <f t="shared" si="43"/>
        <v>14044800</v>
      </c>
      <c r="Q130" s="198"/>
    </row>
    <row r="131" spans="1:17" s="5" customFormat="1" ht="23.25" hidden="1" customHeight="1" x14ac:dyDescent="0.25">
      <c r="A131" s="66"/>
      <c r="B131" s="53"/>
      <c r="C131" s="66"/>
      <c r="D131" s="64" t="s">
        <v>388</v>
      </c>
      <c r="E131" s="2">
        <f t="shared" si="42"/>
        <v>0</v>
      </c>
      <c r="F131" s="16"/>
      <c r="G131" s="16"/>
      <c r="H131" s="16"/>
      <c r="I131" s="16"/>
      <c r="J131" s="16">
        <f t="shared" si="44"/>
        <v>0</v>
      </c>
      <c r="K131" s="16"/>
      <c r="L131" s="16"/>
      <c r="M131" s="16"/>
      <c r="N131" s="16"/>
      <c r="O131" s="16"/>
      <c r="P131" s="16">
        <f t="shared" si="43"/>
        <v>0</v>
      </c>
      <c r="Q131" s="198"/>
    </row>
    <row r="132" spans="1:17" s="5" customFormat="1" ht="42" hidden="1" customHeight="1" x14ac:dyDescent="0.25">
      <c r="A132" s="1" t="s">
        <v>471</v>
      </c>
      <c r="B132" s="3">
        <v>7321</v>
      </c>
      <c r="C132" s="1" t="s">
        <v>110</v>
      </c>
      <c r="D132" s="4" t="str">
        <f>'дод 7'!C197</f>
        <v>Будівництво1 освітніх установ та закладів</v>
      </c>
      <c r="E132" s="2">
        <f t="shared" si="42"/>
        <v>0</v>
      </c>
      <c r="F132" s="2"/>
      <c r="G132" s="2"/>
      <c r="H132" s="2"/>
      <c r="I132" s="2"/>
      <c r="J132" s="2">
        <f t="shared" si="44"/>
        <v>0</v>
      </c>
      <c r="K132" s="2"/>
      <c r="L132" s="2"/>
      <c r="M132" s="2"/>
      <c r="N132" s="2"/>
      <c r="O132" s="2"/>
      <c r="P132" s="2">
        <f t="shared" si="43"/>
        <v>0</v>
      </c>
      <c r="Q132" s="198"/>
    </row>
    <row r="133" spans="1:17" s="5" customFormat="1" ht="21" hidden="1" customHeight="1" x14ac:dyDescent="0.25">
      <c r="A133" s="1"/>
      <c r="B133" s="3"/>
      <c r="C133" s="1"/>
      <c r="D133" s="64" t="s">
        <v>388</v>
      </c>
      <c r="E133" s="2">
        <f t="shared" si="42"/>
        <v>0</v>
      </c>
      <c r="F133" s="2"/>
      <c r="G133" s="2"/>
      <c r="H133" s="2"/>
      <c r="I133" s="2"/>
      <c r="J133" s="16">
        <f t="shared" si="44"/>
        <v>0</v>
      </c>
      <c r="K133" s="16"/>
      <c r="L133" s="2"/>
      <c r="M133" s="2"/>
      <c r="N133" s="2"/>
      <c r="O133" s="16"/>
      <c r="P133" s="16">
        <f t="shared" si="43"/>
        <v>0</v>
      </c>
      <c r="Q133" s="198"/>
    </row>
    <row r="134" spans="1:17" s="5" customFormat="1" ht="47.25" hidden="1" customHeight="1" x14ac:dyDescent="0.25">
      <c r="A134" s="1" t="s">
        <v>512</v>
      </c>
      <c r="B134" s="3">
        <v>7363</v>
      </c>
      <c r="C134" s="1" t="s">
        <v>81</v>
      </c>
      <c r="D134" s="4" t="s">
        <v>571</v>
      </c>
      <c r="E134" s="2">
        <f t="shared" si="42"/>
        <v>0</v>
      </c>
      <c r="F134" s="2"/>
      <c r="G134" s="2"/>
      <c r="H134" s="2"/>
      <c r="I134" s="2"/>
      <c r="J134" s="2">
        <f t="shared" si="44"/>
        <v>0</v>
      </c>
      <c r="K134" s="2"/>
      <c r="L134" s="2"/>
      <c r="M134" s="2"/>
      <c r="N134" s="2"/>
      <c r="O134" s="2"/>
      <c r="P134" s="2">
        <f t="shared" si="43"/>
        <v>0</v>
      </c>
      <c r="Q134" s="198"/>
    </row>
    <row r="135" spans="1:17" s="5" customFormat="1" ht="36.75" hidden="1" customHeight="1" x14ac:dyDescent="0.25">
      <c r="A135" s="66"/>
      <c r="B135" s="53"/>
      <c r="C135" s="66"/>
      <c r="D135" s="73" t="s">
        <v>600</v>
      </c>
      <c r="E135" s="2">
        <f t="shared" si="42"/>
        <v>0</v>
      </c>
      <c r="F135" s="16"/>
      <c r="G135" s="16"/>
      <c r="H135" s="16"/>
      <c r="I135" s="16"/>
      <c r="J135" s="16">
        <f t="shared" si="44"/>
        <v>0</v>
      </c>
      <c r="K135" s="16"/>
      <c r="L135" s="16"/>
      <c r="M135" s="16"/>
      <c r="N135" s="16"/>
      <c r="O135" s="16"/>
      <c r="P135" s="16">
        <f t="shared" si="43"/>
        <v>0</v>
      </c>
      <c r="Q135" s="198"/>
    </row>
    <row r="136" spans="1:17" s="5" customFormat="1" ht="94.5" x14ac:dyDescent="0.25">
      <c r="A136" s="1" t="s">
        <v>725</v>
      </c>
      <c r="B136" s="3">
        <v>7384</v>
      </c>
      <c r="C136" s="1" t="s">
        <v>81</v>
      </c>
      <c r="D136" s="65" t="s">
        <v>726</v>
      </c>
      <c r="E136" s="2">
        <f t="shared" ref="E136" si="50">F136+I136</f>
        <v>0</v>
      </c>
      <c r="F136" s="2">
        <v>0</v>
      </c>
      <c r="G136" s="2">
        <v>0</v>
      </c>
      <c r="H136" s="2">
        <v>0</v>
      </c>
      <c r="I136" s="2"/>
      <c r="J136" s="2">
        <f t="shared" ref="J136" si="51">L136+O136</f>
        <v>51527652.659999996</v>
      </c>
      <c r="K136" s="2"/>
      <c r="L136" s="16"/>
      <c r="M136" s="16"/>
      <c r="N136" s="16"/>
      <c r="O136" s="2">
        <v>51527652.659999996</v>
      </c>
      <c r="P136" s="2">
        <f t="shared" ref="P136" si="52">E136+J136</f>
        <v>51527652.659999996</v>
      </c>
      <c r="Q136" s="198"/>
    </row>
    <row r="137" spans="1:17" s="5" customFormat="1" ht="118.9" customHeight="1" x14ac:dyDescent="0.25">
      <c r="A137" s="66"/>
      <c r="B137" s="53"/>
      <c r="C137" s="66"/>
      <c r="D137" s="73" t="s">
        <v>730</v>
      </c>
      <c r="E137" s="16">
        <f t="shared" ref="E137" si="53">F137+I137</f>
        <v>0</v>
      </c>
      <c r="F137" s="16">
        <v>0</v>
      </c>
      <c r="G137" s="16">
        <v>0</v>
      </c>
      <c r="H137" s="16">
        <v>0</v>
      </c>
      <c r="I137" s="16"/>
      <c r="J137" s="16">
        <f t="shared" ref="J137" si="54">L137+O137</f>
        <v>51527652.659999996</v>
      </c>
      <c r="K137" s="16"/>
      <c r="L137" s="16"/>
      <c r="M137" s="16"/>
      <c r="N137" s="16"/>
      <c r="O137" s="16">
        <v>51527652.659999996</v>
      </c>
      <c r="P137" s="16">
        <f t="shared" ref="P137" si="55">E137+J137</f>
        <v>51527652.659999996</v>
      </c>
      <c r="Q137" s="198"/>
    </row>
    <row r="138" spans="1:17" s="125" customFormat="1" ht="27.75" hidden="1" customHeight="1" x14ac:dyDescent="0.25">
      <c r="A138" s="1" t="s">
        <v>597</v>
      </c>
      <c r="B138" s="49" t="s">
        <v>236</v>
      </c>
      <c r="C138" s="49" t="s">
        <v>81</v>
      </c>
      <c r="D138" s="65" t="s">
        <v>17</v>
      </c>
      <c r="E138" s="2">
        <f t="shared" si="42"/>
        <v>0</v>
      </c>
      <c r="F138" s="2"/>
      <c r="G138" s="2"/>
      <c r="H138" s="2"/>
      <c r="I138" s="2"/>
      <c r="J138" s="2">
        <f t="shared" ref="J138" si="56">L138+O138</f>
        <v>0</v>
      </c>
      <c r="K138" s="16"/>
      <c r="L138" s="16"/>
      <c r="M138" s="16"/>
      <c r="N138" s="16"/>
      <c r="O138" s="16"/>
      <c r="P138" s="2">
        <f t="shared" ref="P138" si="57">E138+J138</f>
        <v>0</v>
      </c>
      <c r="Q138" s="198"/>
    </row>
    <row r="139" spans="1:17" s="5" customFormat="1" ht="24" customHeight="1" x14ac:dyDescent="0.25">
      <c r="A139" s="1" t="s">
        <v>472</v>
      </c>
      <c r="B139" s="3">
        <v>7640</v>
      </c>
      <c r="C139" s="1" t="s">
        <v>85</v>
      </c>
      <c r="D139" s="65" t="s">
        <v>410</v>
      </c>
      <c r="E139" s="2">
        <f t="shared" si="42"/>
        <v>766560</v>
      </c>
      <c r="F139" s="2">
        <v>766560</v>
      </c>
      <c r="G139" s="2"/>
      <c r="H139" s="2"/>
      <c r="I139" s="2"/>
      <c r="J139" s="2">
        <f>L139+O139</f>
        <v>95289467</v>
      </c>
      <c r="K139" s="2">
        <f>71289467+24000000</f>
        <v>95289467</v>
      </c>
      <c r="L139" s="2"/>
      <c r="M139" s="2"/>
      <c r="N139" s="2"/>
      <c r="O139" s="2">
        <f>71289467+24000000</f>
        <v>95289467</v>
      </c>
      <c r="P139" s="2">
        <f t="shared" si="43"/>
        <v>96056027</v>
      </c>
      <c r="Q139" s="198"/>
    </row>
    <row r="140" spans="1:17" s="5" customFormat="1" ht="47.25" hidden="1" customHeight="1" x14ac:dyDescent="0.25">
      <c r="A140" s="1" t="s">
        <v>475</v>
      </c>
      <c r="B140" s="3">
        <v>7700</v>
      </c>
      <c r="C140" s="1" t="s">
        <v>92</v>
      </c>
      <c r="D140" s="65" t="s">
        <v>356</v>
      </c>
      <c r="E140" s="2">
        <f t="shared" si="42"/>
        <v>0</v>
      </c>
      <c r="F140" s="2"/>
      <c r="G140" s="2"/>
      <c r="H140" s="2"/>
      <c r="I140" s="2"/>
      <c r="J140" s="2">
        <f t="shared" si="44"/>
        <v>0</v>
      </c>
      <c r="K140" s="2"/>
      <c r="L140" s="2"/>
      <c r="M140" s="2"/>
      <c r="N140" s="2"/>
      <c r="O140" s="2"/>
      <c r="P140" s="2">
        <f t="shared" si="43"/>
        <v>0</v>
      </c>
      <c r="Q140" s="198"/>
    </row>
    <row r="141" spans="1:17" s="5" customFormat="1" ht="47.25" hidden="1" customHeight="1" x14ac:dyDescent="0.25">
      <c r="A141" s="1" t="s">
        <v>597</v>
      </c>
      <c r="B141" s="3" t="str">
        <f>'дод 7'!A244</f>
        <v>7693</v>
      </c>
      <c r="C141" s="3" t="str">
        <f>'дод 7'!B244</f>
        <v>0490</v>
      </c>
      <c r="D141" s="90" t="str">
        <f>'дод 7'!C244</f>
        <v>Інші заходи, пов'язані з економічною діяльністю</v>
      </c>
      <c r="E141" s="2">
        <f t="shared" si="42"/>
        <v>0</v>
      </c>
      <c r="F141" s="130"/>
      <c r="G141" s="2"/>
      <c r="H141" s="2"/>
      <c r="I141" s="2"/>
      <c r="J141" s="2">
        <f t="shared" si="44"/>
        <v>0</v>
      </c>
      <c r="K141" s="2"/>
      <c r="L141" s="2"/>
      <c r="M141" s="2"/>
      <c r="N141" s="2"/>
      <c r="O141" s="2"/>
      <c r="P141" s="2">
        <f t="shared" si="43"/>
        <v>0</v>
      </c>
      <c r="Q141" s="198"/>
    </row>
    <row r="142" spans="1:17" s="5" customFormat="1" ht="65.25" hidden="1" customHeight="1" x14ac:dyDescent="0.25">
      <c r="A142" s="1" t="s">
        <v>475</v>
      </c>
      <c r="B142" s="3">
        <f>'дод 7'!A247</f>
        <v>7700</v>
      </c>
      <c r="C142" s="3" t="str">
        <f>'дод 7'!B247</f>
        <v>0133</v>
      </c>
      <c r="D142" s="90" t="str">
        <f>'дод 7'!C247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42" s="2">
        <f t="shared" si="42"/>
        <v>0</v>
      </c>
      <c r="F142" s="130"/>
      <c r="G142" s="2"/>
      <c r="H142" s="2"/>
      <c r="I142" s="2"/>
      <c r="J142" s="2">
        <f>L142+O142</f>
        <v>0</v>
      </c>
      <c r="K142" s="2"/>
      <c r="L142" s="2"/>
      <c r="M142" s="2"/>
      <c r="N142" s="2"/>
      <c r="O142" s="2"/>
      <c r="P142" s="2">
        <f t="shared" si="43"/>
        <v>0</v>
      </c>
      <c r="Q142" s="198"/>
    </row>
    <row r="143" spans="1:17" s="5" customFormat="1" ht="23.25" hidden="1" customHeight="1" x14ac:dyDescent="0.25">
      <c r="A143" s="1"/>
      <c r="B143" s="3"/>
      <c r="C143" s="3"/>
      <c r="D143" s="64" t="s">
        <v>654</v>
      </c>
      <c r="E143" s="2">
        <f t="shared" si="42"/>
        <v>0</v>
      </c>
      <c r="F143" s="130"/>
      <c r="G143" s="2"/>
      <c r="H143" s="2"/>
      <c r="I143" s="2"/>
      <c r="J143" s="16">
        <f>L143+O143</f>
        <v>0</v>
      </c>
      <c r="K143" s="2"/>
      <c r="L143" s="16"/>
      <c r="M143" s="2"/>
      <c r="N143" s="2"/>
      <c r="O143" s="16"/>
      <c r="P143" s="16">
        <f t="shared" si="43"/>
        <v>0</v>
      </c>
      <c r="Q143" s="198"/>
    </row>
    <row r="144" spans="1:17" s="5" customFormat="1" ht="47.25" customHeight="1" x14ac:dyDescent="0.25">
      <c r="A144" s="1" t="s">
        <v>676</v>
      </c>
      <c r="B144" s="3">
        <v>8240</v>
      </c>
      <c r="C144" s="3" t="str">
        <f>'дод 7'!B258</f>
        <v>0380</v>
      </c>
      <c r="D144" s="90" t="str">
        <f>'дод 7'!C258</f>
        <v>Заходи та роботи з територіальної оборони</v>
      </c>
      <c r="E144" s="2">
        <f t="shared" si="42"/>
        <v>14820000</v>
      </c>
      <c r="F144" s="131">
        <v>14820000</v>
      </c>
      <c r="G144" s="2"/>
      <c r="H144" s="2">
        <v>1860000</v>
      </c>
      <c r="I144" s="2"/>
      <c r="J144" s="2">
        <f t="shared" si="44"/>
        <v>0</v>
      </c>
      <c r="K144" s="2"/>
      <c r="L144" s="2"/>
      <c r="M144" s="2"/>
      <c r="N144" s="2"/>
      <c r="O144" s="2"/>
      <c r="P144" s="2">
        <f t="shared" si="43"/>
        <v>14820000</v>
      </c>
      <c r="Q144" s="198"/>
    </row>
    <row r="145" spans="1:17" s="5" customFormat="1" ht="36" customHeight="1" x14ac:dyDescent="0.25">
      <c r="A145" s="1" t="s">
        <v>473</v>
      </c>
      <c r="B145" s="3">
        <v>8340</v>
      </c>
      <c r="C145" s="1" t="s">
        <v>91</v>
      </c>
      <c r="D145" s="65" t="str">
        <f>'дод 7'!C262</f>
        <v>Природоохоронні заходи за рахунок цільових фондів</v>
      </c>
      <c r="E145" s="2">
        <f t="shared" si="42"/>
        <v>0</v>
      </c>
      <c r="F145" s="2"/>
      <c r="G145" s="2"/>
      <c r="H145" s="2"/>
      <c r="I145" s="2"/>
      <c r="J145" s="2">
        <f t="shared" si="44"/>
        <v>681500</v>
      </c>
      <c r="K145" s="2"/>
      <c r="L145" s="2">
        <v>539500</v>
      </c>
      <c r="M145" s="2"/>
      <c r="N145" s="2"/>
      <c r="O145" s="2">
        <v>142000</v>
      </c>
      <c r="P145" s="2">
        <f t="shared" si="43"/>
        <v>681500</v>
      </c>
      <c r="Q145" s="198"/>
    </row>
    <row r="146" spans="1:17" s="5" customFormat="1" ht="47.25" hidden="1" customHeight="1" x14ac:dyDescent="0.25">
      <c r="A146" s="1" t="s">
        <v>498</v>
      </c>
      <c r="B146" s="3">
        <v>9320</v>
      </c>
      <c r="C146" s="1" t="s">
        <v>44</v>
      </c>
      <c r="D146" s="4" t="s">
        <v>541</v>
      </c>
      <c r="E146" s="2">
        <f t="shared" ref="E146:E149" si="58">F146+I146</f>
        <v>0</v>
      </c>
      <c r="F146" s="2"/>
      <c r="G146" s="2"/>
      <c r="H146" s="2"/>
      <c r="I146" s="2"/>
      <c r="J146" s="2">
        <f t="shared" si="44"/>
        <v>0</v>
      </c>
      <c r="K146" s="2"/>
      <c r="L146" s="2"/>
      <c r="M146" s="2"/>
      <c r="N146" s="2"/>
      <c r="O146" s="2"/>
      <c r="P146" s="2">
        <f t="shared" si="43"/>
        <v>0</v>
      </c>
      <c r="Q146" s="198"/>
    </row>
    <row r="147" spans="1:17" s="5" customFormat="1" ht="31.5" hidden="1" customHeight="1" x14ac:dyDescent="0.25">
      <c r="A147" s="66"/>
      <c r="B147" s="53"/>
      <c r="C147" s="66"/>
      <c r="D147" s="64" t="s">
        <v>494</v>
      </c>
      <c r="E147" s="16">
        <f t="shared" si="58"/>
        <v>0</v>
      </c>
      <c r="F147" s="16"/>
      <c r="G147" s="16"/>
      <c r="H147" s="16"/>
      <c r="I147" s="16"/>
      <c r="J147" s="16">
        <f t="shared" si="44"/>
        <v>0</v>
      </c>
      <c r="K147" s="16"/>
      <c r="L147" s="16"/>
      <c r="M147" s="16"/>
      <c r="N147" s="16"/>
      <c r="O147" s="16"/>
      <c r="P147" s="16">
        <f t="shared" si="43"/>
        <v>0</v>
      </c>
      <c r="Q147" s="198"/>
    </row>
    <row r="148" spans="1:17" s="5" customFormat="1" ht="22.5" hidden="1" customHeight="1" x14ac:dyDescent="0.25">
      <c r="A148" s="1" t="s">
        <v>474</v>
      </c>
      <c r="B148" s="3">
        <v>9770</v>
      </c>
      <c r="C148" s="1" t="s">
        <v>44</v>
      </c>
      <c r="D148" s="4" t="str">
        <f>'дод 7'!C283</f>
        <v>Інші субвенції з місцевого бюджету</v>
      </c>
      <c r="E148" s="2">
        <f t="shared" ref="E148" si="59">F148+I148</f>
        <v>0</v>
      </c>
      <c r="F148" s="2"/>
      <c r="G148" s="2"/>
      <c r="H148" s="2"/>
      <c r="I148" s="2"/>
      <c r="J148" s="2">
        <f t="shared" ref="J148" si="60">L148+O148</f>
        <v>0</v>
      </c>
      <c r="K148" s="2"/>
      <c r="L148" s="2"/>
      <c r="M148" s="2"/>
      <c r="N148" s="2"/>
      <c r="O148" s="2"/>
      <c r="P148" s="2">
        <f t="shared" ref="P148" si="61">E148+J148</f>
        <v>0</v>
      </c>
      <c r="Q148" s="198"/>
    </row>
    <row r="149" spans="1:17" s="5" customFormat="1" ht="48.75" hidden="1" customHeight="1" x14ac:dyDescent="0.25">
      <c r="A149" s="1" t="s">
        <v>490</v>
      </c>
      <c r="B149" s="3">
        <v>9800</v>
      </c>
      <c r="C149" s="1" t="s">
        <v>44</v>
      </c>
      <c r="D149" s="4" t="s">
        <v>361</v>
      </c>
      <c r="E149" s="2">
        <f t="shared" si="58"/>
        <v>0</v>
      </c>
      <c r="F149" s="2"/>
      <c r="G149" s="2"/>
      <c r="H149" s="2"/>
      <c r="I149" s="2"/>
      <c r="J149" s="2">
        <f t="shared" si="44"/>
        <v>0</v>
      </c>
      <c r="K149" s="2"/>
      <c r="L149" s="2"/>
      <c r="M149" s="2"/>
      <c r="N149" s="2"/>
      <c r="O149" s="2"/>
      <c r="P149" s="2">
        <f t="shared" si="43"/>
        <v>0</v>
      </c>
      <c r="Q149" s="198"/>
    </row>
    <row r="150" spans="1:17" s="124" customFormat="1" ht="33.75" customHeight="1" x14ac:dyDescent="0.25">
      <c r="A150" s="94" t="s">
        <v>166</v>
      </c>
      <c r="B150" s="58"/>
      <c r="C150" s="58"/>
      <c r="D150" s="91" t="s">
        <v>441</v>
      </c>
      <c r="E150" s="15">
        <f>E151</f>
        <v>122888100</v>
      </c>
      <c r="F150" s="15">
        <f t="shared" ref="F150:P150" si="62">F151</f>
        <v>122888100</v>
      </c>
      <c r="G150" s="15">
        <f t="shared" si="62"/>
        <v>5368400</v>
      </c>
      <c r="H150" s="15">
        <f t="shared" si="62"/>
        <v>226600</v>
      </c>
      <c r="I150" s="15">
        <f t="shared" si="62"/>
        <v>0</v>
      </c>
      <c r="J150" s="15">
        <f t="shared" si="62"/>
        <v>78807260</v>
      </c>
      <c r="K150" s="15">
        <f t="shared" si="62"/>
        <v>78807260</v>
      </c>
      <c r="L150" s="15">
        <f t="shared" si="62"/>
        <v>0</v>
      </c>
      <c r="M150" s="15">
        <f t="shared" si="62"/>
        <v>0</v>
      </c>
      <c r="N150" s="15">
        <f t="shared" si="62"/>
        <v>0</v>
      </c>
      <c r="O150" s="15">
        <f t="shared" si="62"/>
        <v>78807260</v>
      </c>
      <c r="P150" s="15">
        <f t="shared" si="62"/>
        <v>201695360</v>
      </c>
      <c r="Q150" s="198"/>
    </row>
    <row r="151" spans="1:17" s="11" customFormat="1" ht="33" customHeight="1" x14ac:dyDescent="0.25">
      <c r="A151" s="7" t="s">
        <v>167</v>
      </c>
      <c r="B151" s="8"/>
      <c r="C151" s="8"/>
      <c r="D151" s="9" t="s">
        <v>715</v>
      </c>
      <c r="E151" s="10">
        <f>E161+E162+E168+E171+E173+E175+E178+E179+E180+E181+E182+E184+E186+E188+E167+E170+E189</f>
        <v>122888100</v>
      </c>
      <c r="F151" s="10">
        <f t="shared" ref="F151:P151" si="63">F161+F162+F168+F171+F173+F175+F178+F179+F180+F181+F182+F184+F186+F188+F167+F170+F189</f>
        <v>122888100</v>
      </c>
      <c r="G151" s="10">
        <f t="shared" si="63"/>
        <v>5368400</v>
      </c>
      <c r="H151" s="10">
        <f t="shared" si="63"/>
        <v>226600</v>
      </c>
      <c r="I151" s="10">
        <f t="shared" si="63"/>
        <v>0</v>
      </c>
      <c r="J151" s="10">
        <f t="shared" si="63"/>
        <v>78807260</v>
      </c>
      <c r="K151" s="10">
        <f t="shared" si="63"/>
        <v>78807260</v>
      </c>
      <c r="L151" s="10">
        <f t="shared" si="63"/>
        <v>0</v>
      </c>
      <c r="M151" s="10">
        <f t="shared" si="63"/>
        <v>0</v>
      </c>
      <c r="N151" s="10">
        <f t="shared" si="63"/>
        <v>0</v>
      </c>
      <c r="O151" s="10">
        <f t="shared" si="63"/>
        <v>78807260</v>
      </c>
      <c r="P151" s="10">
        <f t="shared" si="63"/>
        <v>201695360</v>
      </c>
      <c r="Q151" s="198"/>
    </row>
    <row r="152" spans="1:17" s="11" customFormat="1" ht="94.5" hidden="1" customHeight="1" x14ac:dyDescent="0.25">
      <c r="A152" s="7"/>
      <c r="B152" s="8"/>
      <c r="C152" s="8"/>
      <c r="D152" s="9" t="s">
        <v>601</v>
      </c>
      <c r="E152" s="10">
        <f>E166</f>
        <v>0</v>
      </c>
      <c r="F152" s="10">
        <f t="shared" ref="F152:P152" si="64">F166</f>
        <v>0</v>
      </c>
      <c r="G152" s="10">
        <f t="shared" si="64"/>
        <v>0</v>
      </c>
      <c r="H152" s="10">
        <f t="shared" si="64"/>
        <v>0</v>
      </c>
      <c r="I152" s="10">
        <f t="shared" si="64"/>
        <v>0</v>
      </c>
      <c r="J152" s="10">
        <f t="shared" si="64"/>
        <v>0</v>
      </c>
      <c r="K152" s="10">
        <f t="shared" si="64"/>
        <v>0</v>
      </c>
      <c r="L152" s="10">
        <f t="shared" si="64"/>
        <v>0</v>
      </c>
      <c r="M152" s="10">
        <f t="shared" si="64"/>
        <v>0</v>
      </c>
      <c r="N152" s="10">
        <f t="shared" si="64"/>
        <v>0</v>
      </c>
      <c r="O152" s="10">
        <f t="shared" si="64"/>
        <v>0</v>
      </c>
      <c r="P152" s="10">
        <f t="shared" si="64"/>
        <v>0</v>
      </c>
      <c r="Q152" s="198"/>
    </row>
    <row r="153" spans="1:17" s="11" customFormat="1" ht="31.5" hidden="1" customHeight="1" x14ac:dyDescent="0.25">
      <c r="A153" s="7"/>
      <c r="B153" s="8"/>
      <c r="C153" s="8"/>
      <c r="D153" s="9" t="s">
        <v>384</v>
      </c>
      <c r="E153" s="10">
        <f>E163+E169+E172</f>
        <v>0</v>
      </c>
      <c r="F153" s="10">
        <f t="shared" ref="F153:P153" si="65">F163+F169+F172</f>
        <v>0</v>
      </c>
      <c r="G153" s="10">
        <f t="shared" si="65"/>
        <v>0</v>
      </c>
      <c r="H153" s="10">
        <f t="shared" si="65"/>
        <v>0</v>
      </c>
      <c r="I153" s="10">
        <f t="shared" si="65"/>
        <v>0</v>
      </c>
      <c r="J153" s="10">
        <f t="shared" si="65"/>
        <v>0</v>
      </c>
      <c r="K153" s="10">
        <f t="shared" si="65"/>
        <v>0</v>
      </c>
      <c r="L153" s="10">
        <f t="shared" si="65"/>
        <v>0</v>
      </c>
      <c r="M153" s="10">
        <f t="shared" si="65"/>
        <v>0</v>
      </c>
      <c r="N153" s="10">
        <f t="shared" si="65"/>
        <v>0</v>
      </c>
      <c r="O153" s="10">
        <f t="shared" si="65"/>
        <v>0</v>
      </c>
      <c r="P153" s="10">
        <f t="shared" si="65"/>
        <v>0</v>
      </c>
      <c r="Q153" s="198"/>
    </row>
    <row r="154" spans="1:17" s="11" customFormat="1" ht="57" hidden="1" customHeight="1" x14ac:dyDescent="0.25">
      <c r="A154" s="7"/>
      <c r="B154" s="8"/>
      <c r="C154" s="8"/>
      <c r="D154" s="9" t="s">
        <v>382</v>
      </c>
      <c r="E154" s="10">
        <f>E183</f>
        <v>0</v>
      </c>
      <c r="F154" s="10">
        <f>F183</f>
        <v>0</v>
      </c>
      <c r="G154" s="10">
        <f t="shared" ref="G154:I154" si="66">G183</f>
        <v>0</v>
      </c>
      <c r="H154" s="10">
        <f t="shared" si="66"/>
        <v>0</v>
      </c>
      <c r="I154" s="10">
        <f t="shared" si="66"/>
        <v>0</v>
      </c>
      <c r="J154" s="10">
        <f>J183</f>
        <v>0</v>
      </c>
      <c r="K154" s="10">
        <f t="shared" ref="K154:P154" si="67">K183</f>
        <v>0</v>
      </c>
      <c r="L154" s="10">
        <f t="shared" si="67"/>
        <v>0</v>
      </c>
      <c r="M154" s="10">
        <f t="shared" si="67"/>
        <v>0</v>
      </c>
      <c r="N154" s="10">
        <f t="shared" si="67"/>
        <v>0</v>
      </c>
      <c r="O154" s="10">
        <f t="shared" si="67"/>
        <v>0</v>
      </c>
      <c r="P154" s="10">
        <f t="shared" si="67"/>
        <v>0</v>
      </c>
      <c r="Q154" s="198"/>
    </row>
    <row r="155" spans="1:17" s="11" customFormat="1" ht="47.25" hidden="1" customHeight="1" x14ac:dyDescent="0.25">
      <c r="A155" s="7"/>
      <c r="B155" s="8"/>
      <c r="C155" s="8"/>
      <c r="D155" s="9" t="s">
        <v>385</v>
      </c>
      <c r="E155" s="10">
        <f>E164+E176</f>
        <v>0</v>
      </c>
      <c r="F155" s="10">
        <f t="shared" ref="F155:P155" si="68">F164+F176</f>
        <v>0</v>
      </c>
      <c r="G155" s="10">
        <f t="shared" si="68"/>
        <v>0</v>
      </c>
      <c r="H155" s="10">
        <f t="shared" si="68"/>
        <v>0</v>
      </c>
      <c r="I155" s="10">
        <f t="shared" si="68"/>
        <v>0</v>
      </c>
      <c r="J155" s="10">
        <f t="shared" si="68"/>
        <v>0</v>
      </c>
      <c r="K155" s="10">
        <f t="shared" si="68"/>
        <v>0</v>
      </c>
      <c r="L155" s="10">
        <f t="shared" si="68"/>
        <v>0</v>
      </c>
      <c r="M155" s="10">
        <f t="shared" si="68"/>
        <v>0</v>
      </c>
      <c r="N155" s="10">
        <f t="shared" si="68"/>
        <v>0</v>
      </c>
      <c r="O155" s="10">
        <f t="shared" si="68"/>
        <v>0</v>
      </c>
      <c r="P155" s="10">
        <f t="shared" si="68"/>
        <v>0</v>
      </c>
      <c r="Q155" s="198"/>
    </row>
    <row r="156" spans="1:17" s="11" customFormat="1" ht="63" hidden="1" customHeight="1" x14ac:dyDescent="0.25">
      <c r="A156" s="7"/>
      <c r="B156" s="8"/>
      <c r="C156" s="8"/>
      <c r="D156" s="9" t="s">
        <v>386</v>
      </c>
      <c r="E156" s="10">
        <f>E174+E177</f>
        <v>0</v>
      </c>
      <c r="F156" s="10">
        <f>F174+F177</f>
        <v>0</v>
      </c>
      <c r="G156" s="10">
        <f t="shared" ref="G156:P156" si="69">G174+G177</f>
        <v>0</v>
      </c>
      <c r="H156" s="10">
        <f t="shared" si="69"/>
        <v>0</v>
      </c>
      <c r="I156" s="10">
        <f t="shared" si="69"/>
        <v>0</v>
      </c>
      <c r="J156" s="10">
        <f t="shared" si="69"/>
        <v>0</v>
      </c>
      <c r="K156" s="10">
        <f>K174+K177</f>
        <v>0</v>
      </c>
      <c r="L156" s="10">
        <f t="shared" si="69"/>
        <v>0</v>
      </c>
      <c r="M156" s="10">
        <f t="shared" si="69"/>
        <v>0</v>
      </c>
      <c r="N156" s="10">
        <f t="shared" si="69"/>
        <v>0</v>
      </c>
      <c r="O156" s="10">
        <f t="shared" si="69"/>
        <v>0</v>
      </c>
      <c r="P156" s="10">
        <f t="shared" si="69"/>
        <v>0</v>
      </c>
      <c r="Q156" s="198"/>
    </row>
    <row r="157" spans="1:17" s="11" customFormat="1" ht="53.25" hidden="1" customHeight="1" x14ac:dyDescent="0.25">
      <c r="A157" s="7"/>
      <c r="B157" s="8"/>
      <c r="C157" s="8"/>
      <c r="D157" s="9" t="s">
        <v>382</v>
      </c>
      <c r="E157" s="10">
        <f>E183</f>
        <v>0</v>
      </c>
      <c r="F157" s="10">
        <f t="shared" ref="F157:P157" si="70">F183</f>
        <v>0</v>
      </c>
      <c r="G157" s="10">
        <f t="shared" si="70"/>
        <v>0</v>
      </c>
      <c r="H157" s="10">
        <f t="shared" si="70"/>
        <v>0</v>
      </c>
      <c r="I157" s="10">
        <f t="shared" si="70"/>
        <v>0</v>
      </c>
      <c r="J157" s="10">
        <f t="shared" si="70"/>
        <v>0</v>
      </c>
      <c r="K157" s="10">
        <f t="shared" si="70"/>
        <v>0</v>
      </c>
      <c r="L157" s="10">
        <f t="shared" si="70"/>
        <v>0</v>
      </c>
      <c r="M157" s="10">
        <f t="shared" si="70"/>
        <v>0</v>
      </c>
      <c r="N157" s="10">
        <f t="shared" si="70"/>
        <v>0</v>
      </c>
      <c r="O157" s="10">
        <f t="shared" si="70"/>
        <v>0</v>
      </c>
      <c r="P157" s="10">
        <f t="shared" si="70"/>
        <v>0</v>
      </c>
      <c r="Q157" s="198"/>
    </row>
    <row r="158" spans="1:17" s="11" customFormat="1" ht="15.75" hidden="1" customHeight="1" x14ac:dyDescent="0.25">
      <c r="A158" s="7"/>
      <c r="B158" s="8"/>
      <c r="C158" s="8"/>
      <c r="D158" s="9" t="s">
        <v>387</v>
      </c>
      <c r="E158" s="10">
        <f>E165</f>
        <v>0</v>
      </c>
      <c r="F158" s="10">
        <f>F165</f>
        <v>0</v>
      </c>
      <c r="G158" s="10">
        <f t="shared" ref="G158:O158" si="71">G165</f>
        <v>0</v>
      </c>
      <c r="H158" s="10">
        <f t="shared" si="71"/>
        <v>0</v>
      </c>
      <c r="I158" s="10">
        <f t="shared" si="71"/>
        <v>0</v>
      </c>
      <c r="J158" s="10">
        <f t="shared" si="71"/>
        <v>0</v>
      </c>
      <c r="K158" s="10">
        <f t="shared" si="71"/>
        <v>0</v>
      </c>
      <c r="L158" s="10">
        <f t="shared" si="71"/>
        <v>0</v>
      </c>
      <c r="M158" s="10">
        <f t="shared" si="71"/>
        <v>0</v>
      </c>
      <c r="N158" s="10">
        <f t="shared" si="71"/>
        <v>0</v>
      </c>
      <c r="O158" s="10">
        <f t="shared" si="71"/>
        <v>0</v>
      </c>
      <c r="P158" s="10">
        <f>P165</f>
        <v>0</v>
      </c>
      <c r="Q158" s="198"/>
    </row>
    <row r="159" spans="1:17" s="11" customFormat="1" ht="15.75" hidden="1" customHeight="1" x14ac:dyDescent="0.25">
      <c r="A159" s="7"/>
      <c r="B159" s="8"/>
      <c r="C159" s="8"/>
      <c r="D159" s="9" t="s">
        <v>407</v>
      </c>
      <c r="E159" s="10">
        <f>E185</f>
        <v>0</v>
      </c>
      <c r="F159" s="10">
        <f t="shared" ref="F159:P159" si="72">F185</f>
        <v>0</v>
      </c>
      <c r="G159" s="10">
        <f t="shared" si="72"/>
        <v>0</v>
      </c>
      <c r="H159" s="10">
        <f t="shared" si="72"/>
        <v>0</v>
      </c>
      <c r="I159" s="10">
        <f t="shared" si="72"/>
        <v>0</v>
      </c>
      <c r="J159" s="10">
        <f t="shared" si="72"/>
        <v>0</v>
      </c>
      <c r="K159" s="10">
        <f t="shared" si="72"/>
        <v>0</v>
      </c>
      <c r="L159" s="10">
        <f t="shared" si="72"/>
        <v>0</v>
      </c>
      <c r="M159" s="10">
        <f t="shared" si="72"/>
        <v>0</v>
      </c>
      <c r="N159" s="10">
        <f t="shared" si="72"/>
        <v>0</v>
      </c>
      <c r="O159" s="10">
        <f t="shared" si="72"/>
        <v>0</v>
      </c>
      <c r="P159" s="10">
        <f t="shared" si="72"/>
        <v>0</v>
      </c>
      <c r="Q159" s="198"/>
    </row>
    <row r="160" spans="1:17" s="11" customFormat="1" ht="15.75" hidden="1" customHeight="1" x14ac:dyDescent="0.25">
      <c r="A160" s="7"/>
      <c r="B160" s="8"/>
      <c r="C160" s="8"/>
      <c r="D160" s="9" t="s">
        <v>654</v>
      </c>
      <c r="E160" s="10">
        <f>E187</f>
        <v>0</v>
      </c>
      <c r="F160" s="10">
        <f t="shared" ref="F160:P160" si="73">F187</f>
        <v>0</v>
      </c>
      <c r="G160" s="10">
        <f t="shared" si="73"/>
        <v>0</v>
      </c>
      <c r="H160" s="10">
        <f t="shared" si="73"/>
        <v>0</v>
      </c>
      <c r="I160" s="10">
        <f t="shared" si="73"/>
        <v>0</v>
      </c>
      <c r="J160" s="10">
        <f t="shared" si="73"/>
        <v>0</v>
      </c>
      <c r="K160" s="10">
        <f t="shared" si="73"/>
        <v>0</v>
      </c>
      <c r="L160" s="10">
        <f t="shared" si="73"/>
        <v>0</v>
      </c>
      <c r="M160" s="10">
        <f t="shared" si="73"/>
        <v>0</v>
      </c>
      <c r="N160" s="10">
        <f t="shared" si="73"/>
        <v>0</v>
      </c>
      <c r="O160" s="10">
        <f t="shared" si="73"/>
        <v>0</v>
      </c>
      <c r="P160" s="10">
        <f t="shared" si="73"/>
        <v>0</v>
      </c>
      <c r="Q160" s="198"/>
    </row>
    <row r="161" spans="1:17" s="125" customFormat="1" ht="48" customHeight="1" x14ac:dyDescent="0.25">
      <c r="A161" s="1" t="s">
        <v>168</v>
      </c>
      <c r="B161" s="3" t="str">
        <f>'дод 7'!A17</f>
        <v>0160</v>
      </c>
      <c r="C161" s="3" t="str">
        <f>'дод 7'!B17</f>
        <v>0111</v>
      </c>
      <c r="D161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161" s="2">
        <f t="shared" ref="E161:E188" si="74">F161+I161</f>
        <v>3131500</v>
      </c>
      <c r="F161" s="2">
        <f>3144200-12700</f>
        <v>3131500</v>
      </c>
      <c r="G161" s="2">
        <v>2288600</v>
      </c>
      <c r="H161" s="2">
        <v>72400</v>
      </c>
      <c r="I161" s="2"/>
      <c r="J161" s="2">
        <f>L161+O161</f>
        <v>0</v>
      </c>
      <c r="K161" s="2"/>
      <c r="L161" s="2"/>
      <c r="M161" s="2"/>
      <c r="N161" s="2"/>
      <c r="O161" s="2"/>
      <c r="P161" s="2">
        <f t="shared" ref="P161:P189" si="75">E161+J161</f>
        <v>3131500</v>
      </c>
      <c r="Q161" s="198"/>
    </row>
    <row r="162" spans="1:17" s="125" customFormat="1" ht="33" customHeight="1" x14ac:dyDescent="0.25">
      <c r="A162" s="1" t="s">
        <v>169</v>
      </c>
      <c r="B162" s="3" t="str">
        <f>'дод 7'!A93</f>
        <v>2010</v>
      </c>
      <c r="C162" s="3" t="str">
        <f>'дод 7'!B93</f>
        <v>0731</v>
      </c>
      <c r="D162" s="4" t="str">
        <f>'дод 7'!C93</f>
        <v>Багатопрофільна стаціонарна медична допомога населенню</v>
      </c>
      <c r="E162" s="2">
        <f>F162+I162</f>
        <v>66664700</v>
      </c>
      <c r="F162" s="2">
        <f>61266100+4826700+428200-250000+393700</f>
        <v>66664700</v>
      </c>
      <c r="G162" s="2"/>
      <c r="H162" s="2"/>
      <c r="I162" s="2"/>
      <c r="J162" s="2">
        <f t="shared" ref="J162:J189" si="76">L162+O162</f>
        <v>13000000</v>
      </c>
      <c r="K162" s="2">
        <f>13500000-500000</f>
        <v>13000000</v>
      </c>
      <c r="L162" s="2"/>
      <c r="M162" s="2"/>
      <c r="N162" s="2"/>
      <c r="O162" s="2">
        <f>13500000-500000</f>
        <v>13000000</v>
      </c>
      <c r="P162" s="2">
        <f t="shared" si="75"/>
        <v>79664700</v>
      </c>
      <c r="Q162" s="198"/>
    </row>
    <row r="163" spans="1:17" s="5" customFormat="1" ht="31.5" hidden="1" customHeight="1" x14ac:dyDescent="0.25">
      <c r="A163" s="66"/>
      <c r="B163" s="53"/>
      <c r="C163" s="53"/>
      <c r="D163" s="64" t="s">
        <v>384</v>
      </c>
      <c r="E163" s="16">
        <f t="shared" si="74"/>
        <v>0</v>
      </c>
      <c r="F163" s="16"/>
      <c r="G163" s="16"/>
      <c r="H163" s="16"/>
      <c r="I163" s="16"/>
      <c r="J163" s="16">
        <f t="shared" si="76"/>
        <v>0</v>
      </c>
      <c r="K163" s="16"/>
      <c r="L163" s="16"/>
      <c r="M163" s="16"/>
      <c r="N163" s="16"/>
      <c r="O163" s="16"/>
      <c r="P163" s="16">
        <f t="shared" si="75"/>
        <v>0</v>
      </c>
      <c r="Q163" s="198"/>
    </row>
    <row r="164" spans="1:17" s="5" customFormat="1" ht="47.25" hidden="1" customHeight="1" x14ac:dyDescent="0.25">
      <c r="A164" s="66"/>
      <c r="B164" s="53"/>
      <c r="C164" s="53"/>
      <c r="D164" s="64" t="s">
        <v>385</v>
      </c>
      <c r="E164" s="16">
        <f t="shared" si="74"/>
        <v>0</v>
      </c>
      <c r="F164" s="16"/>
      <c r="G164" s="16"/>
      <c r="H164" s="16"/>
      <c r="I164" s="16"/>
      <c r="J164" s="16">
        <f t="shared" si="76"/>
        <v>0</v>
      </c>
      <c r="K164" s="16"/>
      <c r="L164" s="16"/>
      <c r="M164" s="16"/>
      <c r="N164" s="16"/>
      <c r="O164" s="16"/>
      <c r="P164" s="16">
        <f t="shared" si="75"/>
        <v>0</v>
      </c>
      <c r="Q164" s="198"/>
    </row>
    <row r="165" spans="1:17" s="5" customFormat="1" ht="15.75" hidden="1" customHeight="1" x14ac:dyDescent="0.25">
      <c r="A165" s="66"/>
      <c r="B165" s="53"/>
      <c r="C165" s="53"/>
      <c r="D165" s="64" t="s">
        <v>387</v>
      </c>
      <c r="E165" s="16">
        <f t="shared" si="74"/>
        <v>0</v>
      </c>
      <c r="F165" s="16"/>
      <c r="G165" s="16"/>
      <c r="H165" s="16"/>
      <c r="I165" s="16"/>
      <c r="J165" s="16">
        <f t="shared" si="76"/>
        <v>0</v>
      </c>
      <c r="K165" s="16"/>
      <c r="L165" s="16"/>
      <c r="M165" s="16"/>
      <c r="N165" s="16"/>
      <c r="O165" s="16"/>
      <c r="P165" s="16">
        <f t="shared" si="75"/>
        <v>0</v>
      </c>
      <c r="Q165" s="198"/>
    </row>
    <row r="166" spans="1:17" s="5" customFormat="1" ht="94.5" hidden="1" customHeight="1" x14ac:dyDescent="0.25">
      <c r="A166" s="66"/>
      <c r="B166" s="53"/>
      <c r="C166" s="53"/>
      <c r="D166" s="64" t="s">
        <v>601</v>
      </c>
      <c r="E166" s="16"/>
      <c r="F166" s="16"/>
      <c r="G166" s="16"/>
      <c r="H166" s="16"/>
      <c r="I166" s="16"/>
      <c r="J166" s="2">
        <f t="shared" ref="J166" si="77">L166+O166</f>
        <v>0</v>
      </c>
      <c r="K166" s="2"/>
      <c r="L166" s="16"/>
      <c r="M166" s="16"/>
      <c r="N166" s="16"/>
      <c r="O166" s="2"/>
      <c r="P166" s="2">
        <f t="shared" ref="P166" si="78">E166+J166</f>
        <v>0</v>
      </c>
      <c r="Q166" s="198"/>
    </row>
    <row r="167" spans="1:17" s="125" customFormat="1" ht="31.5" hidden="1" customHeight="1" x14ac:dyDescent="0.25">
      <c r="A167" s="1" t="s">
        <v>427</v>
      </c>
      <c r="B167" s="3">
        <v>2020</v>
      </c>
      <c r="C167" s="1" t="s">
        <v>428</v>
      </c>
      <c r="D167" s="63" t="str">
        <f>'дод 7'!C97</f>
        <v xml:space="preserve"> Спеціалізована стаціонарна медична допомога населенню</v>
      </c>
      <c r="E167" s="2">
        <f t="shared" si="74"/>
        <v>0</v>
      </c>
      <c r="F167" s="2"/>
      <c r="G167" s="2"/>
      <c r="H167" s="2"/>
      <c r="I167" s="2"/>
      <c r="J167" s="2">
        <f t="shared" si="76"/>
        <v>0</v>
      </c>
      <c r="K167" s="2"/>
      <c r="L167" s="2"/>
      <c r="M167" s="2"/>
      <c r="N167" s="2"/>
      <c r="O167" s="2"/>
      <c r="P167" s="2">
        <f t="shared" si="75"/>
        <v>0</v>
      </c>
      <c r="Q167" s="198"/>
    </row>
    <row r="168" spans="1:17" s="125" customFormat="1" ht="31.5" x14ac:dyDescent="0.25">
      <c r="A168" s="1" t="s">
        <v>174</v>
      </c>
      <c r="B168" s="3" t="str">
        <f>'дод 7'!A99</f>
        <v>2030</v>
      </c>
      <c r="C168" s="3" t="str">
        <f>'дод 7'!B99</f>
        <v>0733</v>
      </c>
      <c r="D168" s="63" t="str">
        <f>'дод 7'!C99</f>
        <v>Лікарсько-акушерська допомога вагітним, породіллям та новонародженим</v>
      </c>
      <c r="E168" s="2">
        <f t="shared" si="74"/>
        <v>6012400</v>
      </c>
      <c r="F168" s="2">
        <v>6012400</v>
      </c>
      <c r="G168" s="2"/>
      <c r="H168" s="2"/>
      <c r="I168" s="2"/>
      <c r="J168" s="2">
        <f t="shared" si="76"/>
        <v>0</v>
      </c>
      <c r="K168" s="2"/>
      <c r="L168" s="2"/>
      <c r="M168" s="2"/>
      <c r="N168" s="2"/>
      <c r="O168" s="2"/>
      <c r="P168" s="2">
        <f t="shared" si="75"/>
        <v>6012400</v>
      </c>
      <c r="Q168" s="198"/>
    </row>
    <row r="169" spans="1:17" s="5" customFormat="1" ht="31.5" hidden="1" customHeight="1" x14ac:dyDescent="0.25">
      <c r="A169" s="66"/>
      <c r="B169" s="53"/>
      <c r="C169" s="53"/>
      <c r="D169" s="64" t="s">
        <v>384</v>
      </c>
      <c r="E169" s="16">
        <f t="shared" si="74"/>
        <v>0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2">
        <f t="shared" si="75"/>
        <v>0</v>
      </c>
      <c r="Q169" s="198"/>
    </row>
    <row r="170" spans="1:17" s="5" customFormat="1" ht="21" hidden="1" customHeight="1" x14ac:dyDescent="0.25">
      <c r="A170" s="1" t="s">
        <v>577</v>
      </c>
      <c r="B170" s="3">
        <v>2070</v>
      </c>
      <c r="C170" s="51" t="s">
        <v>578</v>
      </c>
      <c r="D170" s="63" t="s">
        <v>579</v>
      </c>
      <c r="E170" s="2">
        <f t="shared" si="74"/>
        <v>0</v>
      </c>
      <c r="F170" s="2"/>
      <c r="G170" s="63"/>
      <c r="H170" s="63"/>
      <c r="I170" s="63"/>
      <c r="J170" s="2">
        <f t="shared" si="76"/>
        <v>0</v>
      </c>
      <c r="K170" s="2"/>
      <c r="L170" s="2"/>
      <c r="M170" s="2"/>
      <c r="N170" s="2"/>
      <c r="O170" s="2"/>
      <c r="P170" s="2">
        <f t="shared" si="75"/>
        <v>0</v>
      </c>
      <c r="Q170" s="198"/>
    </row>
    <row r="171" spans="1:17" s="125" customFormat="1" ht="24" customHeight="1" x14ac:dyDescent="0.25">
      <c r="A171" s="1" t="s">
        <v>173</v>
      </c>
      <c r="B171" s="3" t="str">
        <f>'дод 7'!A102</f>
        <v>2100</v>
      </c>
      <c r="C171" s="3" t="str">
        <f>'дод 7'!B102</f>
        <v>0722</v>
      </c>
      <c r="D171" s="63" t="str">
        <f>'дод 7'!C102</f>
        <v>Стоматологічна допомога населенню</v>
      </c>
      <c r="E171" s="2">
        <f t="shared" si="74"/>
        <v>12460400</v>
      </c>
      <c r="F171" s="2">
        <v>12460400</v>
      </c>
      <c r="G171" s="2"/>
      <c r="H171" s="2"/>
      <c r="I171" s="2"/>
      <c r="J171" s="2">
        <f t="shared" si="76"/>
        <v>0</v>
      </c>
      <c r="K171" s="2"/>
      <c r="L171" s="2"/>
      <c r="M171" s="2"/>
      <c r="N171" s="2"/>
      <c r="O171" s="2"/>
      <c r="P171" s="2">
        <f t="shared" si="75"/>
        <v>12460400</v>
      </c>
      <c r="Q171" s="198"/>
    </row>
    <row r="172" spans="1:17" s="5" customFormat="1" ht="30" hidden="1" customHeight="1" x14ac:dyDescent="0.25">
      <c r="A172" s="66"/>
      <c r="B172" s="53"/>
      <c r="C172" s="53"/>
      <c r="D172" s="64" t="s">
        <v>384</v>
      </c>
      <c r="E172" s="16">
        <f t="shared" si="74"/>
        <v>0</v>
      </c>
      <c r="F172" s="16"/>
      <c r="G172" s="16"/>
      <c r="H172" s="16"/>
      <c r="I172" s="16"/>
      <c r="J172" s="16">
        <f t="shared" si="76"/>
        <v>0</v>
      </c>
      <c r="K172" s="16"/>
      <c r="L172" s="16"/>
      <c r="M172" s="16"/>
      <c r="N172" s="16"/>
      <c r="O172" s="16"/>
      <c r="P172" s="16">
        <f t="shared" si="75"/>
        <v>0</v>
      </c>
      <c r="Q172" s="198"/>
    </row>
    <row r="173" spans="1:17" s="125" customFormat="1" ht="48" customHeight="1" x14ac:dyDescent="0.25">
      <c r="A173" s="1" t="s">
        <v>172</v>
      </c>
      <c r="B173" s="3" t="str">
        <f>'дод 7'!A104</f>
        <v>2111</v>
      </c>
      <c r="C173" s="3" t="str">
        <f>'дод 7'!B104</f>
        <v>0726</v>
      </c>
      <c r="D173" s="63" t="str">
        <f>'дод 7'!C104</f>
        <v>Первинна медична допомога населенню, що надається центрами первинної медичної (медико-санітарної) допомоги</v>
      </c>
      <c r="E173" s="2">
        <f t="shared" si="74"/>
        <v>5716100</v>
      </c>
      <c r="F173" s="2">
        <v>5716100</v>
      </c>
      <c r="G173" s="2"/>
      <c r="H173" s="2"/>
      <c r="I173" s="2"/>
      <c r="J173" s="2">
        <f t="shared" si="76"/>
        <v>1457260</v>
      </c>
      <c r="K173" s="2">
        <f>3980000-2522740</f>
        <v>1457260</v>
      </c>
      <c r="L173" s="2"/>
      <c r="M173" s="2"/>
      <c r="N173" s="2"/>
      <c r="O173" s="2">
        <f>3980000-2522740</f>
        <v>1457260</v>
      </c>
      <c r="P173" s="2">
        <f t="shared" si="75"/>
        <v>7173360</v>
      </c>
      <c r="Q173" s="198"/>
    </row>
    <row r="174" spans="1:17" s="5" customFormat="1" ht="63" hidden="1" customHeight="1" x14ac:dyDescent="0.25">
      <c r="A174" s="66"/>
      <c r="B174" s="53"/>
      <c r="C174" s="53"/>
      <c r="D174" s="64" t="s">
        <v>386</v>
      </c>
      <c r="E174" s="16">
        <f t="shared" si="74"/>
        <v>0</v>
      </c>
      <c r="F174" s="16"/>
      <c r="G174" s="16"/>
      <c r="H174" s="16"/>
      <c r="I174" s="16"/>
      <c r="J174" s="16">
        <f t="shared" si="76"/>
        <v>0</v>
      </c>
      <c r="K174" s="16"/>
      <c r="L174" s="16"/>
      <c r="M174" s="16"/>
      <c r="N174" s="16"/>
      <c r="O174" s="16"/>
      <c r="P174" s="16">
        <f t="shared" si="75"/>
        <v>0</v>
      </c>
      <c r="Q174" s="198"/>
    </row>
    <row r="175" spans="1:17" s="125" customFormat="1" ht="31.5" hidden="1" customHeight="1" x14ac:dyDescent="0.25">
      <c r="A175" s="1" t="s">
        <v>171</v>
      </c>
      <c r="B175" s="3">
        <f>'дод 7'!A106</f>
        <v>2144</v>
      </c>
      <c r="C175" s="3" t="str">
        <f>'дод 7'!B106</f>
        <v>0763</v>
      </c>
      <c r="D175" s="132" t="str">
        <f>'дод 7'!C106</f>
        <v>Централізовані заходи з лікування хворих на цукровий та нецукровий діабет, у т.ч. за рахунок:</v>
      </c>
      <c r="E175" s="2">
        <f t="shared" si="74"/>
        <v>0</v>
      </c>
      <c r="F175" s="2"/>
      <c r="G175" s="2"/>
      <c r="H175" s="2"/>
      <c r="I175" s="2"/>
      <c r="J175" s="2">
        <f t="shared" si="76"/>
        <v>0</v>
      </c>
      <c r="K175" s="2"/>
      <c r="L175" s="2"/>
      <c r="M175" s="2"/>
      <c r="N175" s="2"/>
      <c r="O175" s="2"/>
      <c r="P175" s="2">
        <f t="shared" si="75"/>
        <v>0</v>
      </c>
      <c r="Q175" s="198"/>
    </row>
    <row r="176" spans="1:17" s="5" customFormat="1" ht="47.25" hidden="1" customHeight="1" x14ac:dyDescent="0.25">
      <c r="A176" s="66"/>
      <c r="B176" s="53"/>
      <c r="C176" s="53"/>
      <c r="D176" s="133" t="s">
        <v>385</v>
      </c>
      <c r="E176" s="16">
        <f t="shared" si="74"/>
        <v>0</v>
      </c>
      <c r="F176" s="16"/>
      <c r="G176" s="16"/>
      <c r="H176" s="16"/>
      <c r="I176" s="16"/>
      <c r="J176" s="16">
        <f t="shared" si="76"/>
        <v>0</v>
      </c>
      <c r="K176" s="16"/>
      <c r="L176" s="16"/>
      <c r="M176" s="16"/>
      <c r="N176" s="16"/>
      <c r="O176" s="16"/>
      <c r="P176" s="16">
        <f t="shared" si="75"/>
        <v>0</v>
      </c>
      <c r="Q176" s="198"/>
    </row>
    <row r="177" spans="1:17" s="5" customFormat="1" ht="63" hidden="1" customHeight="1" x14ac:dyDescent="0.25">
      <c r="A177" s="66"/>
      <c r="B177" s="53"/>
      <c r="C177" s="53"/>
      <c r="D177" s="133" t="s">
        <v>386</v>
      </c>
      <c r="E177" s="16">
        <f t="shared" si="74"/>
        <v>0</v>
      </c>
      <c r="F177" s="16"/>
      <c r="G177" s="16"/>
      <c r="H177" s="16"/>
      <c r="I177" s="16"/>
      <c r="J177" s="16">
        <f t="shared" si="76"/>
        <v>0</v>
      </c>
      <c r="K177" s="16"/>
      <c r="L177" s="16"/>
      <c r="M177" s="16"/>
      <c r="N177" s="16"/>
      <c r="O177" s="16"/>
      <c r="P177" s="16">
        <f t="shared" si="75"/>
        <v>0</v>
      </c>
      <c r="Q177" s="198"/>
    </row>
    <row r="178" spans="1:17" s="125" customFormat="1" ht="30" customHeight="1" x14ac:dyDescent="0.25">
      <c r="A178" s="1" t="s">
        <v>319</v>
      </c>
      <c r="B178" s="3" t="str">
        <f>'дод 7'!A109</f>
        <v>2151</v>
      </c>
      <c r="C178" s="3" t="str">
        <f>'дод 7'!B109</f>
        <v>0763</v>
      </c>
      <c r="D178" s="63" t="str">
        <f>'дод 7'!C109</f>
        <v>Забезпечення діяльності інших закладів у сфері охорони здоров'я</v>
      </c>
      <c r="E178" s="2">
        <f t="shared" si="74"/>
        <v>4113000</v>
      </c>
      <c r="F178" s="2">
        <v>4113000</v>
      </c>
      <c r="G178" s="2">
        <v>3079800</v>
      </c>
      <c r="H178" s="2">
        <v>154200</v>
      </c>
      <c r="I178" s="2"/>
      <c r="J178" s="2">
        <f t="shared" si="76"/>
        <v>0</v>
      </c>
      <c r="K178" s="2"/>
      <c r="L178" s="2"/>
      <c r="M178" s="2"/>
      <c r="N178" s="2"/>
      <c r="O178" s="2"/>
      <c r="P178" s="2">
        <f t="shared" si="75"/>
        <v>4113000</v>
      </c>
      <c r="Q178" s="198"/>
    </row>
    <row r="179" spans="1:17" s="125" customFormat="1" ht="34.5" customHeight="1" x14ac:dyDescent="0.25">
      <c r="A179" s="1" t="s">
        <v>320</v>
      </c>
      <c r="B179" s="3" t="str">
        <f>'дод 7'!A110</f>
        <v>2152</v>
      </c>
      <c r="C179" s="3" t="str">
        <f>'дод 7'!B110</f>
        <v>0763</v>
      </c>
      <c r="D179" s="63" t="str">
        <f>'дод 7'!C110</f>
        <v>Інші програми та заходи у сфері охорони здоров'я</v>
      </c>
      <c r="E179" s="2">
        <f>F179+I179</f>
        <v>24465400</v>
      </c>
      <c r="F179" s="2">
        <f>23965400+250000+250000</f>
        <v>24465400</v>
      </c>
      <c r="G179" s="2"/>
      <c r="H179" s="2"/>
      <c r="I179" s="2"/>
      <c r="J179" s="2">
        <f t="shared" si="76"/>
        <v>50000000</v>
      </c>
      <c r="K179" s="2">
        <v>50000000</v>
      </c>
      <c r="L179" s="2"/>
      <c r="M179" s="2"/>
      <c r="N179" s="2"/>
      <c r="O179" s="2">
        <v>50000000</v>
      </c>
      <c r="P179" s="2">
        <f t="shared" si="75"/>
        <v>74465400</v>
      </c>
      <c r="Q179" s="198"/>
    </row>
    <row r="180" spans="1:17" s="125" customFormat="1" ht="24.75" hidden="1" customHeight="1" x14ac:dyDescent="0.25">
      <c r="A180" s="1" t="s">
        <v>404</v>
      </c>
      <c r="B180" s="3">
        <v>7322</v>
      </c>
      <c r="C180" s="1" t="s">
        <v>110</v>
      </c>
      <c r="D180" s="4" t="str">
        <f>'дод 7'!C199</f>
        <v>Будівництво1 медичних установ та закладів</v>
      </c>
      <c r="E180" s="2">
        <f>F180+I180</f>
        <v>0</v>
      </c>
      <c r="F180" s="2"/>
      <c r="G180" s="2"/>
      <c r="H180" s="2"/>
      <c r="I180" s="2"/>
      <c r="J180" s="2">
        <f t="shared" si="76"/>
        <v>0</v>
      </c>
      <c r="K180" s="2"/>
      <c r="L180" s="2"/>
      <c r="M180" s="2"/>
      <c r="N180" s="2"/>
      <c r="O180" s="2"/>
      <c r="P180" s="2">
        <f t="shared" si="75"/>
        <v>0</v>
      </c>
      <c r="Q180" s="198"/>
    </row>
    <row r="181" spans="1:17" s="125" customFormat="1" ht="47.25" hidden="1" customHeight="1" x14ac:dyDescent="0.25">
      <c r="A181" s="1" t="s">
        <v>367</v>
      </c>
      <c r="B181" s="3">
        <f>'дод 7'!A206</f>
        <v>7361</v>
      </c>
      <c r="C181" s="3" t="str">
        <f>'дод 7'!B206</f>
        <v>0490</v>
      </c>
      <c r="D181" s="63" t="str">
        <f>'дод 7'!C206</f>
        <v>Співфінансування інвестиційних проектів, що реалізуються за рахунок коштів державного фонду регіонального розвитку</v>
      </c>
      <c r="E181" s="2">
        <f t="shared" si="74"/>
        <v>0</v>
      </c>
      <c r="F181" s="2"/>
      <c r="G181" s="2"/>
      <c r="H181" s="2"/>
      <c r="I181" s="2"/>
      <c r="J181" s="2">
        <f t="shared" si="76"/>
        <v>0</v>
      </c>
      <c r="K181" s="2"/>
      <c r="L181" s="2"/>
      <c r="M181" s="2"/>
      <c r="N181" s="2"/>
      <c r="O181" s="2"/>
      <c r="P181" s="2">
        <f t="shared" si="75"/>
        <v>0</v>
      </c>
      <c r="Q181" s="198"/>
    </row>
    <row r="182" spans="1:17" s="125" customFormat="1" ht="47.25" hidden="1" customHeight="1" x14ac:dyDescent="0.25">
      <c r="A182" s="1" t="s">
        <v>411</v>
      </c>
      <c r="B182" s="3">
        <v>7363</v>
      </c>
      <c r="C182" s="1" t="s">
        <v>81</v>
      </c>
      <c r="D182" s="63" t="s">
        <v>390</v>
      </c>
      <c r="E182" s="2">
        <f t="shared" si="74"/>
        <v>0</v>
      </c>
      <c r="F182" s="2"/>
      <c r="G182" s="2"/>
      <c r="H182" s="2"/>
      <c r="I182" s="2"/>
      <c r="J182" s="2">
        <f t="shared" si="76"/>
        <v>0</v>
      </c>
      <c r="K182" s="2"/>
      <c r="L182" s="2"/>
      <c r="M182" s="2"/>
      <c r="N182" s="2"/>
      <c r="O182" s="2"/>
      <c r="P182" s="2">
        <f t="shared" si="75"/>
        <v>0</v>
      </c>
      <c r="Q182" s="198"/>
    </row>
    <row r="183" spans="1:17" s="125" customFormat="1" ht="47.25" hidden="1" customHeight="1" x14ac:dyDescent="0.25">
      <c r="A183" s="1"/>
      <c r="B183" s="3"/>
      <c r="C183" s="3"/>
      <c r="D183" s="64" t="s">
        <v>382</v>
      </c>
      <c r="E183" s="16">
        <f t="shared" si="74"/>
        <v>0</v>
      </c>
      <c r="F183" s="16"/>
      <c r="G183" s="16"/>
      <c r="H183" s="16"/>
      <c r="I183" s="16"/>
      <c r="J183" s="16">
        <f t="shared" si="76"/>
        <v>0</v>
      </c>
      <c r="K183" s="16"/>
      <c r="L183" s="16"/>
      <c r="M183" s="16"/>
      <c r="N183" s="16"/>
      <c r="O183" s="16"/>
      <c r="P183" s="16">
        <f t="shared" si="75"/>
        <v>0</v>
      </c>
      <c r="Q183" s="198"/>
    </row>
    <row r="184" spans="1:17" s="125" customFormat="1" ht="23.25" customHeight="1" x14ac:dyDescent="0.25">
      <c r="A184" s="1" t="s">
        <v>170</v>
      </c>
      <c r="B184" s="3" t="str">
        <f>'дод 7'!A236</f>
        <v>7640</v>
      </c>
      <c r="C184" s="3" t="str">
        <f>'дод 7'!B236</f>
        <v>0470</v>
      </c>
      <c r="D184" s="63" t="s">
        <v>410</v>
      </c>
      <c r="E184" s="2">
        <f t="shared" si="74"/>
        <v>324600</v>
      </c>
      <c r="F184" s="2">
        <v>324600</v>
      </c>
      <c r="G184" s="2"/>
      <c r="H184" s="2"/>
      <c r="I184" s="2"/>
      <c r="J184" s="2">
        <f t="shared" si="76"/>
        <v>14350000</v>
      </c>
      <c r="K184" s="2">
        <f>5000000+9350000</f>
        <v>14350000</v>
      </c>
      <c r="L184" s="2"/>
      <c r="M184" s="2"/>
      <c r="N184" s="2"/>
      <c r="O184" s="2">
        <f>5000000+9350000</f>
        <v>14350000</v>
      </c>
      <c r="P184" s="2">
        <f t="shared" si="75"/>
        <v>14674600</v>
      </c>
      <c r="Q184" s="198"/>
    </row>
    <row r="185" spans="1:17" s="5" customFormat="1" ht="15" hidden="1" customHeight="1" x14ac:dyDescent="0.25">
      <c r="A185" s="66"/>
      <c r="B185" s="53"/>
      <c r="C185" s="53"/>
      <c r="D185" s="64" t="s">
        <v>407</v>
      </c>
      <c r="E185" s="16">
        <f t="shared" si="74"/>
        <v>0</v>
      </c>
      <c r="F185" s="16"/>
      <c r="G185" s="16"/>
      <c r="H185" s="16"/>
      <c r="I185" s="16"/>
      <c r="J185" s="16">
        <f t="shared" si="76"/>
        <v>0</v>
      </c>
      <c r="K185" s="16"/>
      <c r="L185" s="16"/>
      <c r="M185" s="16"/>
      <c r="N185" s="16"/>
      <c r="O185" s="16"/>
      <c r="P185" s="16">
        <f t="shared" si="75"/>
        <v>0</v>
      </c>
      <c r="Q185" s="198"/>
    </row>
    <row r="186" spans="1:17" s="125" customFormat="1" ht="78" hidden="1" customHeight="1" x14ac:dyDescent="0.25">
      <c r="A186" s="1" t="s">
        <v>355</v>
      </c>
      <c r="B186" s="3">
        <v>7700</v>
      </c>
      <c r="C186" s="1" t="s">
        <v>92</v>
      </c>
      <c r="D186" s="63" t="str">
        <f>'дод 7'!C247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6" s="2">
        <f t="shared" si="74"/>
        <v>0</v>
      </c>
      <c r="F186" s="2"/>
      <c r="G186" s="2"/>
      <c r="H186" s="2"/>
      <c r="I186" s="2"/>
      <c r="J186" s="2">
        <f t="shared" si="76"/>
        <v>0</v>
      </c>
      <c r="K186" s="2"/>
      <c r="L186" s="2"/>
      <c r="M186" s="2"/>
      <c r="N186" s="2"/>
      <c r="O186" s="2"/>
      <c r="P186" s="2">
        <f t="shared" si="75"/>
        <v>0</v>
      </c>
      <c r="Q186" s="198"/>
    </row>
    <row r="187" spans="1:17" s="5" customFormat="1" ht="22.5" hidden="1" customHeight="1" x14ac:dyDescent="0.25">
      <c r="A187" s="66"/>
      <c r="B187" s="53"/>
      <c r="C187" s="66"/>
      <c r="D187" s="64" t="s">
        <v>654</v>
      </c>
      <c r="E187" s="16">
        <f t="shared" ref="E187" si="79">F187+I187</f>
        <v>0</v>
      </c>
      <c r="F187" s="16"/>
      <c r="G187" s="16"/>
      <c r="H187" s="16"/>
      <c r="I187" s="16"/>
      <c r="J187" s="16">
        <f t="shared" ref="J187" si="80">L187+O187</f>
        <v>0</v>
      </c>
      <c r="K187" s="16"/>
      <c r="L187" s="16"/>
      <c r="M187" s="16"/>
      <c r="N187" s="16"/>
      <c r="O187" s="16"/>
      <c r="P187" s="16">
        <f t="shared" ref="P187" si="81">E187+J187</f>
        <v>0</v>
      </c>
      <c r="Q187" s="198"/>
    </row>
    <row r="188" spans="1:17" s="125" customFormat="1" ht="15.75" hidden="1" customHeight="1" x14ac:dyDescent="0.25">
      <c r="A188" s="1" t="s">
        <v>416</v>
      </c>
      <c r="B188" s="3">
        <v>9770</v>
      </c>
      <c r="C188" s="1" t="s">
        <v>44</v>
      </c>
      <c r="D188" s="63" t="s">
        <v>417</v>
      </c>
      <c r="E188" s="2">
        <f t="shared" si="74"/>
        <v>0</v>
      </c>
      <c r="F188" s="2"/>
      <c r="G188" s="2"/>
      <c r="H188" s="2"/>
      <c r="I188" s="2"/>
      <c r="J188" s="2">
        <f t="shared" si="76"/>
        <v>0</v>
      </c>
      <c r="K188" s="2"/>
      <c r="L188" s="2"/>
      <c r="M188" s="2"/>
      <c r="N188" s="2"/>
      <c r="O188" s="2"/>
      <c r="P188" s="2">
        <f t="shared" si="75"/>
        <v>0</v>
      </c>
      <c r="Q188" s="198"/>
    </row>
    <row r="189" spans="1:17" s="125" customFormat="1" ht="38.25" hidden="1" customHeight="1" x14ac:dyDescent="0.25">
      <c r="A189" s="1" t="s">
        <v>582</v>
      </c>
      <c r="B189" s="3">
        <v>8775</v>
      </c>
      <c r="C189" s="1" t="s">
        <v>92</v>
      </c>
      <c r="D189" s="63" t="s">
        <v>581</v>
      </c>
      <c r="E189" s="2">
        <f>F189</f>
        <v>0</v>
      </c>
      <c r="F189" s="2"/>
      <c r="G189" s="2"/>
      <c r="H189" s="2"/>
      <c r="I189" s="2"/>
      <c r="J189" s="2">
        <f t="shared" si="76"/>
        <v>0</v>
      </c>
      <c r="K189" s="2"/>
      <c r="L189" s="2"/>
      <c r="M189" s="2"/>
      <c r="N189" s="2"/>
      <c r="O189" s="2"/>
      <c r="P189" s="2">
        <f t="shared" si="75"/>
        <v>0</v>
      </c>
      <c r="Q189" s="198"/>
    </row>
    <row r="190" spans="1:17" s="124" customFormat="1" ht="36" customHeight="1" x14ac:dyDescent="0.25">
      <c r="A190" s="94" t="s">
        <v>175</v>
      </c>
      <c r="B190" s="58"/>
      <c r="C190" s="58"/>
      <c r="D190" s="91" t="s">
        <v>37</v>
      </c>
      <c r="E190" s="15">
        <f>E191</f>
        <v>346338029</v>
      </c>
      <c r="F190" s="15">
        <f t="shared" ref="F190:P190" si="82">F191</f>
        <v>346338029</v>
      </c>
      <c r="G190" s="15">
        <f t="shared" si="82"/>
        <v>68229100</v>
      </c>
      <c r="H190" s="15">
        <f t="shared" si="82"/>
        <v>3524300</v>
      </c>
      <c r="I190" s="15">
        <f t="shared" si="82"/>
        <v>0</v>
      </c>
      <c r="J190" s="15">
        <f t="shared" si="82"/>
        <v>68600</v>
      </c>
      <c r="K190" s="15">
        <f t="shared" si="82"/>
        <v>0</v>
      </c>
      <c r="L190" s="15">
        <f t="shared" si="82"/>
        <v>68600</v>
      </c>
      <c r="M190" s="15">
        <f t="shared" si="82"/>
        <v>56100</v>
      </c>
      <c r="N190" s="15">
        <f t="shared" si="82"/>
        <v>0</v>
      </c>
      <c r="O190" s="15">
        <f t="shared" si="82"/>
        <v>0</v>
      </c>
      <c r="P190" s="15">
        <f t="shared" si="82"/>
        <v>346406629</v>
      </c>
      <c r="Q190" s="198"/>
    </row>
    <row r="191" spans="1:17" s="11" customFormat="1" ht="32.25" customHeight="1" x14ac:dyDescent="0.25">
      <c r="A191" s="7" t="s">
        <v>176</v>
      </c>
      <c r="B191" s="8"/>
      <c r="C191" s="8"/>
      <c r="D191" s="9" t="s">
        <v>657</v>
      </c>
      <c r="E191" s="10">
        <f>E197+E198+E199+E200+E201+E203+E204+E205+E207+E209+E211+E213+E215+E217+E218+E219+E220+E221+E222+E224+E226+E228+E229+E231+E235+E210+E232+E234+E233</f>
        <v>346338029</v>
      </c>
      <c r="F191" s="10">
        <f t="shared" ref="F191:P191" si="83">F197+F198+F199+F200+F201+F203+F204+F205+F207+F209+F211+F213+F215+F217+F218+F219+F220+F221+F222+F224+F226+F228+F229+F231+F235+F210+F232+F234+F233</f>
        <v>346338029</v>
      </c>
      <c r="G191" s="10">
        <f t="shared" si="83"/>
        <v>68229100</v>
      </c>
      <c r="H191" s="10">
        <f t="shared" si="83"/>
        <v>3524300</v>
      </c>
      <c r="I191" s="10">
        <f t="shared" si="83"/>
        <v>0</v>
      </c>
      <c r="J191" s="10">
        <f t="shared" si="83"/>
        <v>68600</v>
      </c>
      <c r="K191" s="10">
        <f t="shared" si="83"/>
        <v>0</v>
      </c>
      <c r="L191" s="10">
        <f t="shared" si="83"/>
        <v>68600</v>
      </c>
      <c r="M191" s="10">
        <f t="shared" si="83"/>
        <v>56100</v>
      </c>
      <c r="N191" s="10">
        <f t="shared" si="83"/>
        <v>0</v>
      </c>
      <c r="O191" s="10">
        <f t="shared" si="83"/>
        <v>0</v>
      </c>
      <c r="P191" s="10">
        <f t="shared" si="83"/>
        <v>346406629</v>
      </c>
      <c r="Q191" s="198"/>
    </row>
    <row r="192" spans="1:17" s="11" customFormat="1" ht="324.75" hidden="1" customHeight="1" x14ac:dyDescent="0.25">
      <c r="A192" s="7"/>
      <c r="B192" s="8"/>
      <c r="C192" s="8"/>
      <c r="D192" s="9" t="s">
        <v>698</v>
      </c>
      <c r="E192" s="10">
        <f t="shared" ref="E192:P192" si="84">E223</f>
        <v>0</v>
      </c>
      <c r="F192" s="10">
        <f t="shared" si="84"/>
        <v>0</v>
      </c>
      <c r="G192" s="10">
        <f t="shared" si="84"/>
        <v>0</v>
      </c>
      <c r="H192" s="10">
        <f t="shared" si="84"/>
        <v>0</v>
      </c>
      <c r="I192" s="10">
        <f t="shared" si="84"/>
        <v>0</v>
      </c>
      <c r="J192" s="10">
        <f t="shared" si="84"/>
        <v>0</v>
      </c>
      <c r="K192" s="10">
        <f t="shared" si="84"/>
        <v>0</v>
      </c>
      <c r="L192" s="10">
        <f t="shared" si="84"/>
        <v>0</v>
      </c>
      <c r="M192" s="10">
        <f t="shared" si="84"/>
        <v>0</v>
      </c>
      <c r="N192" s="10">
        <f t="shared" si="84"/>
        <v>0</v>
      </c>
      <c r="O192" s="10">
        <f t="shared" si="84"/>
        <v>0</v>
      </c>
      <c r="P192" s="10">
        <f t="shared" si="84"/>
        <v>0</v>
      </c>
      <c r="Q192" s="198"/>
    </row>
    <row r="193" spans="1:17" s="11" customFormat="1" ht="315" hidden="1" customHeight="1" x14ac:dyDescent="0.25">
      <c r="A193" s="7"/>
      <c r="B193" s="8"/>
      <c r="C193" s="8"/>
      <c r="D193" s="9" t="s">
        <v>700</v>
      </c>
      <c r="E193" s="10">
        <f>E227</f>
        <v>0</v>
      </c>
      <c r="F193" s="10">
        <f t="shared" ref="F193:I193" si="85">F227</f>
        <v>0</v>
      </c>
      <c r="G193" s="10">
        <f t="shared" si="85"/>
        <v>0</v>
      </c>
      <c r="H193" s="10">
        <f t="shared" si="85"/>
        <v>0</v>
      </c>
      <c r="I193" s="10">
        <f t="shared" si="85"/>
        <v>0</v>
      </c>
      <c r="J193" s="10">
        <f>J225</f>
        <v>0</v>
      </c>
      <c r="K193" s="10">
        <f t="shared" ref="K193:P193" si="86">K225</f>
        <v>0</v>
      </c>
      <c r="L193" s="10">
        <f t="shared" si="86"/>
        <v>0</v>
      </c>
      <c r="M193" s="10">
        <f t="shared" si="86"/>
        <v>0</v>
      </c>
      <c r="N193" s="10">
        <f t="shared" si="86"/>
        <v>0</v>
      </c>
      <c r="O193" s="10">
        <f t="shared" si="86"/>
        <v>0</v>
      </c>
      <c r="P193" s="10">
        <f t="shared" si="86"/>
        <v>0</v>
      </c>
      <c r="Q193" s="198"/>
    </row>
    <row r="194" spans="1:17" s="11" customFormat="1" ht="21" customHeight="1" x14ac:dyDescent="0.25">
      <c r="A194" s="7"/>
      <c r="B194" s="8"/>
      <c r="C194" s="8"/>
      <c r="D194" s="9" t="s">
        <v>388</v>
      </c>
      <c r="E194" s="10">
        <f>E202+E206+E208+E214+E216+E230</f>
        <v>1546729</v>
      </c>
      <c r="F194" s="10">
        <f t="shared" ref="F194:P194" si="87">F202+F206+F208+F214+F216+F230</f>
        <v>1546729</v>
      </c>
      <c r="G194" s="10">
        <f t="shared" si="87"/>
        <v>0</v>
      </c>
      <c r="H194" s="10">
        <f t="shared" si="87"/>
        <v>0</v>
      </c>
      <c r="I194" s="10">
        <f t="shared" si="87"/>
        <v>0</v>
      </c>
      <c r="J194" s="10">
        <f>J202+J206+J208+J214+J216+J230</f>
        <v>0</v>
      </c>
      <c r="K194" s="10">
        <f t="shared" si="87"/>
        <v>0</v>
      </c>
      <c r="L194" s="10">
        <f t="shared" si="87"/>
        <v>0</v>
      </c>
      <c r="M194" s="10">
        <f t="shared" si="87"/>
        <v>0</v>
      </c>
      <c r="N194" s="10">
        <f t="shared" si="87"/>
        <v>0</v>
      </c>
      <c r="O194" s="10">
        <f t="shared" si="87"/>
        <v>0</v>
      </c>
      <c r="P194" s="10">
        <f t="shared" si="87"/>
        <v>1546729</v>
      </c>
      <c r="Q194" s="198"/>
    </row>
    <row r="195" spans="1:17" s="11" customFormat="1" ht="101.25" customHeight="1" x14ac:dyDescent="0.25">
      <c r="A195" s="7"/>
      <c r="B195" s="8"/>
      <c r="C195" s="8"/>
      <c r="D195" s="9" t="s">
        <v>736</v>
      </c>
      <c r="E195" s="10">
        <f>E212</f>
        <v>1495257</v>
      </c>
      <c r="F195" s="10">
        <f t="shared" ref="F195:P195" si="88">F212</f>
        <v>1495257</v>
      </c>
      <c r="G195" s="10">
        <f t="shared" si="88"/>
        <v>0</v>
      </c>
      <c r="H195" s="10">
        <f t="shared" si="88"/>
        <v>0</v>
      </c>
      <c r="I195" s="10">
        <f t="shared" si="88"/>
        <v>0</v>
      </c>
      <c r="J195" s="10">
        <f t="shared" si="88"/>
        <v>0</v>
      </c>
      <c r="K195" s="10">
        <f t="shared" si="88"/>
        <v>0</v>
      </c>
      <c r="L195" s="10">
        <f t="shared" si="88"/>
        <v>0</v>
      </c>
      <c r="M195" s="10">
        <f t="shared" si="88"/>
        <v>0</v>
      </c>
      <c r="N195" s="10">
        <f t="shared" si="88"/>
        <v>0</v>
      </c>
      <c r="O195" s="10">
        <f t="shared" si="88"/>
        <v>0</v>
      </c>
      <c r="P195" s="10">
        <f t="shared" si="88"/>
        <v>1495257</v>
      </c>
      <c r="Q195" s="198"/>
    </row>
    <row r="196" spans="1:17" s="11" customFormat="1" ht="224.25" hidden="1" customHeight="1" x14ac:dyDescent="0.25">
      <c r="A196" s="7"/>
      <c r="B196" s="8"/>
      <c r="C196" s="8"/>
      <c r="D196" s="9" t="s">
        <v>699</v>
      </c>
      <c r="E196" s="10">
        <f>E226</f>
        <v>0</v>
      </c>
      <c r="F196" s="10">
        <f t="shared" ref="F196:P196" si="89">F226</f>
        <v>0</v>
      </c>
      <c r="G196" s="10">
        <f t="shared" si="89"/>
        <v>0</v>
      </c>
      <c r="H196" s="10">
        <f t="shared" si="89"/>
        <v>0</v>
      </c>
      <c r="I196" s="10">
        <f t="shared" si="89"/>
        <v>0</v>
      </c>
      <c r="J196" s="10">
        <f t="shared" si="89"/>
        <v>0</v>
      </c>
      <c r="K196" s="10">
        <f t="shared" si="89"/>
        <v>0</v>
      </c>
      <c r="L196" s="10">
        <f t="shared" si="89"/>
        <v>0</v>
      </c>
      <c r="M196" s="10">
        <f t="shared" si="89"/>
        <v>0</v>
      </c>
      <c r="N196" s="10">
        <f t="shared" si="89"/>
        <v>0</v>
      </c>
      <c r="O196" s="10">
        <f t="shared" si="89"/>
        <v>0</v>
      </c>
      <c r="P196" s="10">
        <f t="shared" si="89"/>
        <v>0</v>
      </c>
      <c r="Q196" s="198"/>
    </row>
    <row r="197" spans="1:17" s="125" customFormat="1" ht="50.25" customHeight="1" x14ac:dyDescent="0.25">
      <c r="A197" s="1" t="s">
        <v>177</v>
      </c>
      <c r="B197" s="3" t="str">
        <f>'дод 7'!A17</f>
        <v>0160</v>
      </c>
      <c r="C197" s="3" t="str">
        <f>'дод 7'!B17</f>
        <v>0111</v>
      </c>
      <c r="D197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197" s="2">
        <f t="shared" ref="E197:E235" si="90">F197+I197</f>
        <v>58927500</v>
      </c>
      <c r="F197" s="2">
        <v>58927500</v>
      </c>
      <c r="G197" s="2">
        <v>45101400</v>
      </c>
      <c r="H197" s="2">
        <v>1900500</v>
      </c>
      <c r="I197" s="2"/>
      <c r="J197" s="2">
        <f>L197+O197</f>
        <v>0</v>
      </c>
      <c r="K197" s="2"/>
      <c r="L197" s="2"/>
      <c r="M197" s="2"/>
      <c r="N197" s="2"/>
      <c r="O197" s="2"/>
      <c r="P197" s="2">
        <f t="shared" ref="P197:P235" si="91">E197+J197</f>
        <v>58927500</v>
      </c>
      <c r="Q197" s="198"/>
    </row>
    <row r="198" spans="1:17" s="125" customFormat="1" ht="23.25" hidden="1" customHeight="1" x14ac:dyDescent="0.25">
      <c r="A198" s="1" t="s">
        <v>496</v>
      </c>
      <c r="B198" s="1" t="s">
        <v>44</v>
      </c>
      <c r="C198" s="1" t="s">
        <v>92</v>
      </c>
      <c r="D198" s="63" t="str">
        <f>'дод 7'!C19</f>
        <v>Інша діяльність у сфері державного управління</v>
      </c>
      <c r="E198" s="2">
        <f t="shared" si="90"/>
        <v>0</v>
      </c>
      <c r="F198" s="2"/>
      <c r="G198" s="2"/>
      <c r="H198" s="2"/>
      <c r="I198" s="2"/>
      <c r="J198" s="2">
        <f>L198+O198</f>
        <v>0</v>
      </c>
      <c r="K198" s="2"/>
      <c r="L198" s="2"/>
      <c r="M198" s="2"/>
      <c r="N198" s="2"/>
      <c r="O198" s="2"/>
      <c r="P198" s="2">
        <f t="shared" si="91"/>
        <v>0</v>
      </c>
      <c r="Q198" s="198"/>
    </row>
    <row r="199" spans="1:17" s="125" customFormat="1" ht="36" customHeight="1" x14ac:dyDescent="0.25">
      <c r="A199" s="1" t="s">
        <v>178</v>
      </c>
      <c r="B199" s="3" t="str">
        <f>'дод 7'!A117</f>
        <v>3031</v>
      </c>
      <c r="C199" s="3" t="str">
        <f>'дод 7'!B117</f>
        <v>1030</v>
      </c>
      <c r="D199" s="63" t="str">
        <f>'дод 7'!C117</f>
        <v>Надання інших пільг окремим категоріям громадян відповідно до законодавства</v>
      </c>
      <c r="E199" s="2">
        <f t="shared" si="90"/>
        <v>466000</v>
      </c>
      <c r="F199" s="2">
        <v>466000</v>
      </c>
      <c r="G199" s="2"/>
      <c r="H199" s="2"/>
      <c r="I199" s="2"/>
      <c r="J199" s="2">
        <f t="shared" ref="J199:J227" si="92">L199+O199</f>
        <v>0</v>
      </c>
      <c r="K199" s="2"/>
      <c r="L199" s="2"/>
      <c r="M199" s="2"/>
      <c r="N199" s="2"/>
      <c r="O199" s="2"/>
      <c r="P199" s="2">
        <f t="shared" si="91"/>
        <v>466000</v>
      </c>
      <c r="Q199" s="198"/>
    </row>
    <row r="200" spans="1:17" s="125" customFormat="1" ht="33" customHeight="1" x14ac:dyDescent="0.25">
      <c r="A200" s="1" t="s">
        <v>179</v>
      </c>
      <c r="B200" s="3" t="str">
        <f>'дод 7'!A118</f>
        <v>3032</v>
      </c>
      <c r="C200" s="3" t="str">
        <f>'дод 7'!B118</f>
        <v>1070</v>
      </c>
      <c r="D200" s="63" t="str">
        <f>'дод 7'!C118</f>
        <v>Надання пільг окремим категоріям громадян з оплати послуг зв'язку</v>
      </c>
      <c r="E200" s="2">
        <f t="shared" si="90"/>
        <v>830000</v>
      </c>
      <c r="F200" s="2">
        <v>830000</v>
      </c>
      <c r="G200" s="2"/>
      <c r="H200" s="2"/>
      <c r="I200" s="2"/>
      <c r="J200" s="2">
        <f t="shared" si="92"/>
        <v>0</v>
      </c>
      <c r="K200" s="2"/>
      <c r="L200" s="2"/>
      <c r="M200" s="2"/>
      <c r="N200" s="2"/>
      <c r="O200" s="2"/>
      <c r="P200" s="2">
        <f t="shared" si="91"/>
        <v>830000</v>
      </c>
      <c r="Q200" s="198"/>
    </row>
    <row r="201" spans="1:17" s="125" customFormat="1" ht="48.75" customHeight="1" x14ac:dyDescent="0.25">
      <c r="A201" s="1" t="s">
        <v>346</v>
      </c>
      <c r="B201" s="3" t="str">
        <f>'дод 7'!A119</f>
        <v>3033</v>
      </c>
      <c r="C201" s="3" t="str">
        <f>'дод 7'!B119</f>
        <v>1070</v>
      </c>
      <c r="D201" s="63" t="s">
        <v>399</v>
      </c>
      <c r="E201" s="2">
        <f t="shared" si="90"/>
        <v>18480000</v>
      </c>
      <c r="F201" s="2">
        <f>19330000-850000</f>
        <v>18480000</v>
      </c>
      <c r="G201" s="2"/>
      <c r="H201" s="2"/>
      <c r="I201" s="2"/>
      <c r="J201" s="2">
        <f t="shared" si="92"/>
        <v>0</v>
      </c>
      <c r="K201" s="2"/>
      <c r="L201" s="2"/>
      <c r="M201" s="2"/>
      <c r="N201" s="2"/>
      <c r="O201" s="2"/>
      <c r="P201" s="2">
        <f t="shared" si="91"/>
        <v>18480000</v>
      </c>
      <c r="Q201" s="198"/>
    </row>
    <row r="202" spans="1:17" s="5" customFormat="1" ht="18.75" hidden="1" customHeight="1" x14ac:dyDescent="0.25">
      <c r="A202" s="66"/>
      <c r="B202" s="53"/>
      <c r="C202" s="53"/>
      <c r="D202" s="64" t="s">
        <v>387</v>
      </c>
      <c r="E202" s="16">
        <f t="shared" si="90"/>
        <v>0</v>
      </c>
      <c r="F202" s="16"/>
      <c r="G202" s="16"/>
      <c r="H202" s="16"/>
      <c r="I202" s="16"/>
      <c r="J202" s="16">
        <f t="shared" si="92"/>
        <v>0</v>
      </c>
      <c r="K202" s="16"/>
      <c r="L202" s="16"/>
      <c r="M202" s="16"/>
      <c r="N202" s="16"/>
      <c r="O202" s="16"/>
      <c r="P202" s="16">
        <f t="shared" si="91"/>
        <v>0</v>
      </c>
      <c r="Q202" s="198"/>
    </row>
    <row r="203" spans="1:17" s="125" customFormat="1" ht="51" customHeight="1" x14ac:dyDescent="0.25">
      <c r="A203" s="1" t="s">
        <v>318</v>
      </c>
      <c r="B203" s="3" t="str">
        <f>'дод 7'!A121</f>
        <v>3035</v>
      </c>
      <c r="C203" s="3" t="str">
        <f>'дод 7'!B121</f>
        <v>1070</v>
      </c>
      <c r="D203" s="63" t="str">
        <f>'дод 7'!C121</f>
        <v>Компенсаційні виплати за пільговий проїзд окремих категорій громадян на залізничному транспорті</v>
      </c>
      <c r="E203" s="2">
        <f t="shared" si="90"/>
        <v>1000000</v>
      </c>
      <c r="F203" s="2">
        <f>2400000-1400000</f>
        <v>1000000</v>
      </c>
      <c r="G203" s="2"/>
      <c r="H203" s="2"/>
      <c r="I203" s="2"/>
      <c r="J203" s="2">
        <f t="shared" si="92"/>
        <v>0</v>
      </c>
      <c r="K203" s="2"/>
      <c r="L203" s="2"/>
      <c r="M203" s="2"/>
      <c r="N203" s="2"/>
      <c r="O203" s="2"/>
      <c r="P203" s="2">
        <f t="shared" si="91"/>
        <v>1000000</v>
      </c>
      <c r="Q203" s="198"/>
    </row>
    <row r="204" spans="1:17" s="125" customFormat="1" ht="52.5" customHeight="1" x14ac:dyDescent="0.25">
      <c r="A204" s="1" t="s">
        <v>180</v>
      </c>
      <c r="B204" s="3" t="str">
        <f>'дод 7'!A122</f>
        <v>3036</v>
      </c>
      <c r="C204" s="3" t="str">
        <f>'дод 7'!B122</f>
        <v>1070</v>
      </c>
      <c r="D204" s="63" t="str">
        <f>'дод 7'!C122</f>
        <v>Компенсаційні виплати на пільговий проїзд електротранспортом окремим категоріям громадян</v>
      </c>
      <c r="E204" s="2">
        <f t="shared" si="90"/>
        <v>44688000</v>
      </c>
      <c r="F204" s="2">
        <f>47688000-3000000</f>
        <v>44688000</v>
      </c>
      <c r="G204" s="2"/>
      <c r="H204" s="2"/>
      <c r="I204" s="2"/>
      <c r="J204" s="2">
        <f t="shared" si="92"/>
        <v>0</v>
      </c>
      <c r="K204" s="2"/>
      <c r="L204" s="2"/>
      <c r="M204" s="2"/>
      <c r="N204" s="2"/>
      <c r="O204" s="2"/>
      <c r="P204" s="2">
        <f t="shared" si="91"/>
        <v>44688000</v>
      </c>
      <c r="Q204" s="198"/>
    </row>
    <row r="205" spans="1:17" s="125" customFormat="1" ht="49.5" customHeight="1" x14ac:dyDescent="0.25">
      <c r="A205" s="1" t="s">
        <v>344</v>
      </c>
      <c r="B205" s="3" t="str">
        <f>'дод 7'!A123</f>
        <v>3050</v>
      </c>
      <c r="C205" s="3" t="str">
        <f>'дод 7'!B123</f>
        <v>1070</v>
      </c>
      <c r="D205" s="63" t="str">
        <f>'дод 7'!C123</f>
        <v>Пільгове медичне обслуговування осіб, які постраждали внаслідок Чорнобильської катастрофи, у т.ч. за рахунок:</v>
      </c>
      <c r="E205" s="2">
        <f t="shared" si="90"/>
        <v>782300</v>
      </c>
      <c r="F205" s="2">
        <v>782300</v>
      </c>
      <c r="G205" s="2"/>
      <c r="H205" s="2"/>
      <c r="I205" s="2"/>
      <c r="J205" s="2">
        <f t="shared" si="92"/>
        <v>0</v>
      </c>
      <c r="K205" s="2"/>
      <c r="L205" s="2"/>
      <c r="M205" s="2"/>
      <c r="N205" s="2"/>
      <c r="O205" s="2"/>
      <c r="P205" s="2">
        <f t="shared" si="91"/>
        <v>782300</v>
      </c>
      <c r="Q205" s="198"/>
    </row>
    <row r="206" spans="1:17" s="5" customFormat="1" ht="15.75" x14ac:dyDescent="0.25">
      <c r="A206" s="66"/>
      <c r="B206" s="53"/>
      <c r="C206" s="53"/>
      <c r="D206" s="64" t="s">
        <v>387</v>
      </c>
      <c r="E206" s="16">
        <f t="shared" si="90"/>
        <v>782300</v>
      </c>
      <c r="F206" s="16">
        <v>782300</v>
      </c>
      <c r="G206" s="16"/>
      <c r="H206" s="16"/>
      <c r="I206" s="16"/>
      <c r="J206" s="16">
        <f t="shared" si="92"/>
        <v>0</v>
      </c>
      <c r="K206" s="16"/>
      <c r="L206" s="16"/>
      <c r="M206" s="16"/>
      <c r="N206" s="16"/>
      <c r="O206" s="16"/>
      <c r="P206" s="16">
        <f t="shared" si="91"/>
        <v>782300</v>
      </c>
      <c r="Q206" s="198"/>
    </row>
    <row r="207" spans="1:17" s="125" customFormat="1" ht="51" customHeight="1" x14ac:dyDescent="0.25">
      <c r="A207" s="1" t="s">
        <v>345</v>
      </c>
      <c r="B207" s="3" t="str">
        <f>'дод 7'!A125</f>
        <v>3090</v>
      </c>
      <c r="C207" s="3" t="str">
        <f>'дод 7'!B125</f>
        <v>1030</v>
      </c>
      <c r="D207" s="63" t="str">
        <f>'дод 7'!C125</f>
        <v>Видатки на поховання учасників бойових дій та осіб з інвалідністю внаслідок війни, у т.ч. за рахунок:</v>
      </c>
      <c r="E207" s="2">
        <f t="shared" si="90"/>
        <v>287700</v>
      </c>
      <c r="F207" s="2">
        <v>287700</v>
      </c>
      <c r="G207" s="2"/>
      <c r="H207" s="2"/>
      <c r="I207" s="2"/>
      <c r="J207" s="2">
        <f t="shared" si="92"/>
        <v>0</v>
      </c>
      <c r="K207" s="2"/>
      <c r="L207" s="2"/>
      <c r="M207" s="2"/>
      <c r="N207" s="2"/>
      <c r="O207" s="2"/>
      <c r="P207" s="2">
        <f t="shared" si="91"/>
        <v>287700</v>
      </c>
      <c r="Q207" s="198"/>
    </row>
    <row r="208" spans="1:17" s="5" customFormat="1" ht="15.75" customHeight="1" x14ac:dyDescent="0.25">
      <c r="A208" s="66"/>
      <c r="B208" s="53"/>
      <c r="C208" s="53"/>
      <c r="D208" s="64" t="s">
        <v>387</v>
      </c>
      <c r="E208" s="16">
        <f t="shared" si="90"/>
        <v>287700</v>
      </c>
      <c r="F208" s="16">
        <v>287700</v>
      </c>
      <c r="G208" s="16"/>
      <c r="H208" s="16"/>
      <c r="I208" s="16"/>
      <c r="J208" s="16">
        <f t="shared" si="92"/>
        <v>0</v>
      </c>
      <c r="K208" s="16"/>
      <c r="L208" s="16"/>
      <c r="M208" s="16"/>
      <c r="N208" s="16"/>
      <c r="O208" s="16"/>
      <c r="P208" s="16">
        <f t="shared" si="91"/>
        <v>287700</v>
      </c>
      <c r="Q208" s="198"/>
    </row>
    <row r="209" spans="1:17" s="125" customFormat="1" ht="64.5" customHeight="1" x14ac:dyDescent="0.25">
      <c r="A209" s="1" t="s">
        <v>181</v>
      </c>
      <c r="B209" s="3" t="str">
        <f>'дод 7'!A127</f>
        <v>3104</v>
      </c>
      <c r="C209" s="3" t="str">
        <f>'дод 7'!B127</f>
        <v>1020</v>
      </c>
      <c r="D209" s="63" t="str">
        <f>'дод 7'!C127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9" s="2">
        <f>F209+I209</f>
        <v>26125300</v>
      </c>
      <c r="F209" s="2">
        <v>26125300</v>
      </c>
      <c r="G209" s="2">
        <v>19405100</v>
      </c>
      <c r="H209" s="2">
        <v>1117300</v>
      </c>
      <c r="I209" s="2"/>
      <c r="J209" s="2">
        <f t="shared" si="92"/>
        <v>68600</v>
      </c>
      <c r="K209" s="2"/>
      <c r="L209" s="2">
        <v>68600</v>
      </c>
      <c r="M209" s="2">
        <v>56100</v>
      </c>
      <c r="N209" s="2"/>
      <c r="O209" s="2"/>
      <c r="P209" s="2">
        <f t="shared" si="91"/>
        <v>26193900</v>
      </c>
      <c r="Q209" s="198"/>
    </row>
    <row r="210" spans="1:17" s="125" customFormat="1" ht="64.5" hidden="1" customHeight="1" x14ac:dyDescent="0.25">
      <c r="A210" s="1" t="s">
        <v>550</v>
      </c>
      <c r="B210" s="3">
        <v>3140</v>
      </c>
      <c r="C210" s="49" t="s">
        <v>99</v>
      </c>
      <c r="D210" s="4" t="str">
        <f>'дод 7'!C133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0" s="2">
        <f t="shared" si="90"/>
        <v>0</v>
      </c>
      <c r="F210" s="2">
        <f>5000000-5000000</f>
        <v>0</v>
      </c>
      <c r="G210" s="2"/>
      <c r="H210" s="2"/>
      <c r="I210" s="2"/>
      <c r="J210" s="2">
        <f t="shared" si="92"/>
        <v>0</v>
      </c>
      <c r="K210" s="2"/>
      <c r="L210" s="2"/>
      <c r="M210" s="2"/>
      <c r="N210" s="2"/>
      <c r="O210" s="2"/>
      <c r="P210" s="2">
        <f t="shared" si="91"/>
        <v>0</v>
      </c>
      <c r="Q210" s="198"/>
    </row>
    <row r="211" spans="1:17" s="125" customFormat="1" ht="96.75" customHeight="1" x14ac:dyDescent="0.25">
      <c r="A211" s="1" t="s">
        <v>182</v>
      </c>
      <c r="B211" s="3" t="str">
        <f>'дод 7'!A134</f>
        <v>3160</v>
      </c>
      <c r="C211" s="3">
        <f>'дод 7'!B134</f>
        <v>1010</v>
      </c>
      <c r="D211" s="63" t="str">
        <f>'дод 7'!C134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v>
      </c>
      <c r="E211" s="2">
        <f t="shared" si="90"/>
        <v>9953900</v>
      </c>
      <c r="F211" s="2">
        <f>16781400-12581400+753900+3504743+1495257</f>
        <v>9953900</v>
      </c>
      <c r="G211" s="2"/>
      <c r="H211" s="2"/>
      <c r="I211" s="2"/>
      <c r="J211" s="2">
        <f t="shared" si="92"/>
        <v>0</v>
      </c>
      <c r="K211" s="2"/>
      <c r="L211" s="2"/>
      <c r="M211" s="2"/>
      <c r="N211" s="2"/>
      <c r="O211" s="2"/>
      <c r="P211" s="2">
        <f t="shared" si="91"/>
        <v>9953900</v>
      </c>
      <c r="Q211" s="198"/>
    </row>
    <row r="212" spans="1:17" s="5" customFormat="1" ht="114.4" customHeight="1" x14ac:dyDescent="0.25">
      <c r="A212" s="66"/>
      <c r="B212" s="53"/>
      <c r="C212" s="53"/>
      <c r="D212" s="64" t="s">
        <v>736</v>
      </c>
      <c r="E212" s="16">
        <f t="shared" ref="E212" si="93">F212+I212</f>
        <v>1495257</v>
      </c>
      <c r="F212" s="16">
        <v>1495257</v>
      </c>
      <c r="G212" s="16"/>
      <c r="H212" s="16"/>
      <c r="I212" s="16"/>
      <c r="J212" s="16">
        <f t="shared" ref="J212" si="94">L212+O212</f>
        <v>0</v>
      </c>
      <c r="K212" s="16"/>
      <c r="L212" s="16"/>
      <c r="M212" s="16"/>
      <c r="N212" s="16"/>
      <c r="O212" s="16"/>
      <c r="P212" s="16">
        <f t="shared" ref="P212" si="95">E212+J212</f>
        <v>1495257</v>
      </c>
      <c r="Q212" s="198"/>
    </row>
    <row r="213" spans="1:17" s="125" customFormat="1" ht="63" customHeight="1" x14ac:dyDescent="0.25">
      <c r="A213" s="1" t="s">
        <v>347</v>
      </c>
      <c r="B213" s="3" t="str">
        <f>'дод 7'!A136</f>
        <v>3171</v>
      </c>
      <c r="C213" s="3">
        <f>'дод 7'!B136</f>
        <v>1010</v>
      </c>
      <c r="D213" s="63" t="s">
        <v>394</v>
      </c>
      <c r="E213" s="2">
        <f t="shared" si="90"/>
        <v>215129</v>
      </c>
      <c r="F213" s="2">
        <v>215129</v>
      </c>
      <c r="G213" s="2"/>
      <c r="H213" s="2"/>
      <c r="I213" s="2"/>
      <c r="J213" s="2">
        <f t="shared" si="92"/>
        <v>0</v>
      </c>
      <c r="K213" s="2"/>
      <c r="L213" s="2"/>
      <c r="M213" s="2"/>
      <c r="N213" s="2"/>
      <c r="O213" s="2"/>
      <c r="P213" s="2">
        <f t="shared" si="91"/>
        <v>215129</v>
      </c>
      <c r="Q213" s="198"/>
    </row>
    <row r="214" spans="1:17" s="5" customFormat="1" ht="18" customHeight="1" x14ac:dyDescent="0.25">
      <c r="A214" s="66"/>
      <c r="B214" s="53"/>
      <c r="C214" s="53"/>
      <c r="D214" s="64" t="s">
        <v>387</v>
      </c>
      <c r="E214" s="16">
        <f t="shared" si="90"/>
        <v>215129</v>
      </c>
      <c r="F214" s="16">
        <v>215129</v>
      </c>
      <c r="G214" s="16"/>
      <c r="H214" s="16"/>
      <c r="I214" s="16"/>
      <c r="J214" s="16">
        <f t="shared" si="92"/>
        <v>0</v>
      </c>
      <c r="K214" s="16"/>
      <c r="L214" s="16"/>
      <c r="M214" s="16"/>
      <c r="N214" s="16"/>
      <c r="O214" s="16"/>
      <c r="P214" s="16">
        <f t="shared" si="91"/>
        <v>215129</v>
      </c>
      <c r="Q214" s="198"/>
    </row>
    <row r="215" spans="1:17" s="125" customFormat="1" ht="31.5" hidden="1" customHeight="1" x14ac:dyDescent="0.25">
      <c r="A215" s="1" t="s">
        <v>348</v>
      </c>
      <c r="B215" s="3" t="str">
        <f>'дод 7'!A138</f>
        <v>3172</v>
      </c>
      <c r="C215" s="3">
        <f>'дод 7'!B138</f>
        <v>1010</v>
      </c>
      <c r="D215" s="63" t="str">
        <f>'дод 7'!C138</f>
        <v>Встановлення телефонів особам з інвалідністю I і II груп, у т.ч. за рахунок:</v>
      </c>
      <c r="E215" s="2">
        <f t="shared" si="90"/>
        <v>0</v>
      </c>
      <c r="F215" s="2"/>
      <c r="G215" s="2"/>
      <c r="H215" s="2"/>
      <c r="I215" s="2"/>
      <c r="J215" s="2">
        <f t="shared" si="92"/>
        <v>0</v>
      </c>
      <c r="K215" s="2"/>
      <c r="L215" s="2"/>
      <c r="M215" s="2"/>
      <c r="N215" s="2"/>
      <c r="O215" s="2"/>
      <c r="P215" s="2">
        <f t="shared" si="91"/>
        <v>0</v>
      </c>
      <c r="Q215" s="198"/>
    </row>
    <row r="216" spans="1:17" s="5" customFormat="1" ht="15.75" hidden="1" customHeight="1" x14ac:dyDescent="0.25">
      <c r="A216" s="66"/>
      <c r="B216" s="53"/>
      <c r="C216" s="53"/>
      <c r="D216" s="64" t="s">
        <v>387</v>
      </c>
      <c r="E216" s="16">
        <f t="shared" si="90"/>
        <v>0</v>
      </c>
      <c r="F216" s="16"/>
      <c r="G216" s="16"/>
      <c r="H216" s="16"/>
      <c r="I216" s="16"/>
      <c r="J216" s="16">
        <f t="shared" si="92"/>
        <v>0</v>
      </c>
      <c r="K216" s="16"/>
      <c r="L216" s="16"/>
      <c r="M216" s="16"/>
      <c r="N216" s="16"/>
      <c r="O216" s="16"/>
      <c r="P216" s="16">
        <f t="shared" si="91"/>
        <v>0</v>
      </c>
      <c r="Q216" s="198"/>
    </row>
    <row r="217" spans="1:17" s="125" customFormat="1" ht="78.75" hidden="1" customHeight="1" x14ac:dyDescent="0.25">
      <c r="A217" s="1" t="s">
        <v>183</v>
      </c>
      <c r="B217" s="3" t="str">
        <f>'дод 7'!A140</f>
        <v>3180</v>
      </c>
      <c r="C217" s="3" t="str">
        <f>'дод 7'!B140</f>
        <v>1060</v>
      </c>
      <c r="D217" s="63" t="str">
        <f>'дод 7'!C140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7" s="2">
        <f t="shared" si="90"/>
        <v>0</v>
      </c>
      <c r="F217" s="2"/>
      <c r="G217" s="2"/>
      <c r="H217" s="2"/>
      <c r="I217" s="2"/>
      <c r="J217" s="2">
        <f t="shared" si="92"/>
        <v>0</v>
      </c>
      <c r="K217" s="2"/>
      <c r="L217" s="2"/>
      <c r="M217" s="2"/>
      <c r="N217" s="2"/>
      <c r="O217" s="2"/>
      <c r="P217" s="2">
        <f t="shared" si="91"/>
        <v>0</v>
      </c>
      <c r="Q217" s="198"/>
    </row>
    <row r="218" spans="1:17" s="125" customFormat="1" ht="40.5" customHeight="1" x14ac:dyDescent="0.25">
      <c r="A218" s="1" t="s">
        <v>302</v>
      </c>
      <c r="B218" s="3" t="str">
        <f>'дод 7'!A141</f>
        <v>3191</v>
      </c>
      <c r="C218" s="3" t="str">
        <f>'дод 7'!B141</f>
        <v>1030</v>
      </c>
      <c r="D218" s="63" t="str">
        <f>'дод 7'!C141</f>
        <v>Інші видатки на соціальний захист ветеранів війни та праці</v>
      </c>
      <c r="E218" s="2">
        <f t="shared" si="90"/>
        <v>6861100</v>
      </c>
      <c r="F218" s="2">
        <v>6861100</v>
      </c>
      <c r="G218" s="2"/>
      <c r="H218" s="2"/>
      <c r="I218" s="2"/>
      <c r="J218" s="2">
        <f t="shared" si="92"/>
        <v>0</v>
      </c>
      <c r="K218" s="2"/>
      <c r="L218" s="2"/>
      <c r="M218" s="2"/>
      <c r="N218" s="2"/>
      <c r="O218" s="2"/>
      <c r="P218" s="2">
        <f t="shared" si="91"/>
        <v>6861100</v>
      </c>
      <c r="Q218" s="198"/>
    </row>
    <row r="219" spans="1:17" s="125" customFormat="1" ht="54" customHeight="1" x14ac:dyDescent="0.25">
      <c r="A219" s="1" t="s">
        <v>303</v>
      </c>
      <c r="B219" s="3" t="str">
        <f>'дод 7'!A142</f>
        <v>3192</v>
      </c>
      <c r="C219" s="3" t="str">
        <f>'дод 7'!B142</f>
        <v>1030</v>
      </c>
      <c r="D219" s="63" t="str">
        <f>'дод 7'!C142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9" s="2">
        <f t="shared" si="90"/>
        <v>2072000</v>
      </c>
      <c r="F219" s="2">
        <v>2072000</v>
      </c>
      <c r="G219" s="2"/>
      <c r="H219" s="2"/>
      <c r="I219" s="2"/>
      <c r="J219" s="2">
        <f t="shared" si="92"/>
        <v>0</v>
      </c>
      <c r="K219" s="2"/>
      <c r="L219" s="2"/>
      <c r="M219" s="2"/>
      <c r="N219" s="2"/>
      <c r="O219" s="2"/>
      <c r="P219" s="2">
        <f t="shared" si="91"/>
        <v>2072000</v>
      </c>
      <c r="Q219" s="198"/>
    </row>
    <row r="220" spans="1:17" s="125" customFormat="1" ht="34.5" customHeight="1" x14ac:dyDescent="0.25">
      <c r="A220" s="1" t="s">
        <v>184</v>
      </c>
      <c r="B220" s="3" t="str">
        <f>'дод 7'!A143</f>
        <v>3200</v>
      </c>
      <c r="C220" s="3" t="str">
        <f>'дод 7'!B143</f>
        <v>1090</v>
      </c>
      <c r="D220" s="63" t="str">
        <f>'дод 7'!C143</f>
        <v>Забезпечення обробки інформації з нарахування та виплати допомог і компенсацій</v>
      </c>
      <c r="E220" s="2">
        <f t="shared" si="90"/>
        <v>107000</v>
      </c>
      <c r="F220" s="2">
        <v>107000</v>
      </c>
      <c r="G220" s="2"/>
      <c r="H220" s="2"/>
      <c r="I220" s="2"/>
      <c r="J220" s="2">
        <f t="shared" si="92"/>
        <v>0</v>
      </c>
      <c r="K220" s="2"/>
      <c r="L220" s="2"/>
      <c r="M220" s="2"/>
      <c r="N220" s="2"/>
      <c r="O220" s="2"/>
      <c r="P220" s="2">
        <f t="shared" si="91"/>
        <v>107000</v>
      </c>
      <c r="Q220" s="198"/>
    </row>
    <row r="221" spans="1:17" s="125" customFormat="1" ht="15.75" hidden="1" customHeight="1" x14ac:dyDescent="0.25">
      <c r="A221" s="1" t="s">
        <v>304</v>
      </c>
      <c r="B221" s="3" t="str">
        <f>'дод 7'!A144</f>
        <v>3210</v>
      </c>
      <c r="C221" s="3" t="str">
        <f>'дод 7'!B144</f>
        <v>1050</v>
      </c>
      <c r="D221" s="63" t="str">
        <f>'дод 7'!C144</f>
        <v>Організація та проведення громадських робіт</v>
      </c>
      <c r="E221" s="2">
        <f t="shared" si="90"/>
        <v>0</v>
      </c>
      <c r="F221" s="2"/>
      <c r="G221" s="2"/>
      <c r="H221" s="2"/>
      <c r="I221" s="2"/>
      <c r="J221" s="2">
        <f t="shared" si="92"/>
        <v>0</v>
      </c>
      <c r="K221" s="2"/>
      <c r="L221" s="2"/>
      <c r="M221" s="2"/>
      <c r="N221" s="2"/>
      <c r="O221" s="2"/>
      <c r="P221" s="2">
        <f t="shared" si="91"/>
        <v>0</v>
      </c>
      <c r="Q221" s="198"/>
    </row>
    <row r="222" spans="1:17" s="125" customFormat="1" ht="299.25" hidden="1" customHeight="1" x14ac:dyDescent="0.25">
      <c r="A222" s="1" t="s">
        <v>425</v>
      </c>
      <c r="B222" s="3">
        <v>3221</v>
      </c>
      <c r="C222" s="1" t="s">
        <v>52</v>
      </c>
      <c r="D222" s="63" t="str">
        <f>'дод 7'!C145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2" s="2">
        <f t="shared" si="90"/>
        <v>0</v>
      </c>
      <c r="F222" s="134"/>
      <c r="G222" s="2"/>
      <c r="H222" s="2"/>
      <c r="I222" s="2"/>
      <c r="J222" s="135">
        <f t="shared" si="92"/>
        <v>0</v>
      </c>
      <c r="K222" s="135"/>
      <c r="L222" s="135"/>
      <c r="M222" s="135"/>
      <c r="N222" s="135"/>
      <c r="O222" s="135"/>
      <c r="P222" s="135">
        <f t="shared" si="91"/>
        <v>0</v>
      </c>
      <c r="Q222" s="198"/>
    </row>
    <row r="223" spans="1:17" s="5" customFormat="1" ht="315" hidden="1" customHeight="1" x14ac:dyDescent="0.25">
      <c r="A223" s="66"/>
      <c r="B223" s="53"/>
      <c r="C223" s="66"/>
      <c r="D223" s="64" t="s">
        <v>698</v>
      </c>
      <c r="E223" s="2">
        <f t="shared" si="90"/>
        <v>0</v>
      </c>
      <c r="F223" s="136"/>
      <c r="G223" s="16"/>
      <c r="H223" s="16"/>
      <c r="I223" s="16"/>
      <c r="J223" s="137">
        <f t="shared" si="92"/>
        <v>0</v>
      </c>
      <c r="K223" s="137"/>
      <c r="L223" s="137"/>
      <c r="M223" s="137"/>
      <c r="N223" s="137"/>
      <c r="O223" s="137"/>
      <c r="P223" s="137">
        <f t="shared" si="91"/>
        <v>0</v>
      </c>
      <c r="Q223" s="198"/>
    </row>
    <row r="224" spans="1:17" s="125" customFormat="1" ht="296.25" hidden="1" customHeight="1" x14ac:dyDescent="0.25">
      <c r="A224" s="1" t="s">
        <v>521</v>
      </c>
      <c r="B224" s="3">
        <v>3222</v>
      </c>
      <c r="C224" s="1" t="s">
        <v>52</v>
      </c>
      <c r="D224" s="63" t="str">
        <f>'дод 7'!C147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4" s="2">
        <f t="shared" ref="E224:E225" si="96">F224+I224</f>
        <v>0</v>
      </c>
      <c r="F224" s="134"/>
      <c r="G224" s="2"/>
      <c r="H224" s="2"/>
      <c r="I224" s="2"/>
      <c r="J224" s="135">
        <f t="shared" ref="J224:J225" si="97">L224+O224</f>
        <v>0</v>
      </c>
      <c r="K224" s="135"/>
      <c r="L224" s="135"/>
      <c r="M224" s="135"/>
      <c r="N224" s="135"/>
      <c r="O224" s="135"/>
      <c r="P224" s="135">
        <f t="shared" si="91"/>
        <v>0</v>
      </c>
      <c r="Q224" s="198"/>
    </row>
    <row r="225" spans="1:17" s="5" customFormat="1" ht="318" hidden="1" customHeight="1" x14ac:dyDescent="0.25">
      <c r="A225" s="66"/>
      <c r="B225" s="53"/>
      <c r="C225" s="66"/>
      <c r="D225" s="64" t="s">
        <v>700</v>
      </c>
      <c r="E225" s="16">
        <f t="shared" si="96"/>
        <v>0</v>
      </c>
      <c r="F225" s="136"/>
      <c r="G225" s="16"/>
      <c r="H225" s="16"/>
      <c r="I225" s="16"/>
      <c r="J225" s="137">
        <f t="shared" si="97"/>
        <v>0</v>
      </c>
      <c r="K225" s="137"/>
      <c r="L225" s="137"/>
      <c r="M225" s="137"/>
      <c r="N225" s="137"/>
      <c r="O225" s="137"/>
      <c r="P225" s="137">
        <f t="shared" si="91"/>
        <v>0</v>
      </c>
      <c r="Q225" s="198"/>
    </row>
    <row r="226" spans="1:17" s="125" customFormat="1" ht="182.25" hidden="1" customHeight="1" x14ac:dyDescent="0.25">
      <c r="A226" s="1" t="s">
        <v>424</v>
      </c>
      <c r="B226" s="3">
        <v>3223</v>
      </c>
      <c r="C226" s="1" t="s">
        <v>52</v>
      </c>
      <c r="D226" s="63" t="str">
        <f>'дод 7'!C149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6" s="2">
        <f t="shared" si="90"/>
        <v>0</v>
      </c>
      <c r="F226" s="2"/>
      <c r="G226" s="2"/>
      <c r="H226" s="2"/>
      <c r="I226" s="2"/>
      <c r="J226" s="135">
        <f t="shared" si="92"/>
        <v>0</v>
      </c>
      <c r="K226" s="135"/>
      <c r="L226" s="135"/>
      <c r="M226" s="135"/>
      <c r="N226" s="135"/>
      <c r="O226" s="135"/>
      <c r="P226" s="135">
        <f t="shared" si="91"/>
        <v>0</v>
      </c>
      <c r="Q226" s="198"/>
    </row>
    <row r="227" spans="1:17" s="5" customFormat="1" ht="213" hidden="1" customHeight="1" x14ac:dyDescent="0.25">
      <c r="A227" s="66"/>
      <c r="B227" s="53"/>
      <c r="C227" s="66"/>
      <c r="D227" s="64" t="s">
        <v>699</v>
      </c>
      <c r="E227" s="16">
        <f t="shared" si="90"/>
        <v>0</v>
      </c>
      <c r="F227" s="16"/>
      <c r="G227" s="16"/>
      <c r="H227" s="16"/>
      <c r="I227" s="16"/>
      <c r="J227" s="137">
        <f t="shared" si="92"/>
        <v>0</v>
      </c>
      <c r="K227" s="137"/>
      <c r="L227" s="137"/>
      <c r="M227" s="137"/>
      <c r="N227" s="137"/>
      <c r="O227" s="137"/>
      <c r="P227" s="137">
        <f t="shared" si="91"/>
        <v>0</v>
      </c>
      <c r="Q227" s="198"/>
    </row>
    <row r="228" spans="1:17" s="125" customFormat="1" ht="37.5" customHeight="1" x14ac:dyDescent="0.25">
      <c r="A228" s="1" t="s">
        <v>301</v>
      </c>
      <c r="B228" s="3" t="str">
        <f>'дод 7'!A151</f>
        <v>3241</v>
      </c>
      <c r="C228" s="3" t="str">
        <f>'дод 7'!B151</f>
        <v>1090</v>
      </c>
      <c r="D228" s="63" t="str">
        <f>'дод 7'!C151</f>
        <v>Забезпечення діяльності інших закладів у сфері соціального захисту і соціального забезпечення</v>
      </c>
      <c r="E228" s="2">
        <f t="shared" si="90"/>
        <v>6840400</v>
      </c>
      <c r="F228" s="2">
        <f>6618300+222100</f>
        <v>6840400</v>
      </c>
      <c r="G228" s="2">
        <f>3540500+182100</f>
        <v>3722600</v>
      </c>
      <c r="H228" s="2">
        <f>506500</f>
        <v>506500</v>
      </c>
      <c r="I228" s="2"/>
      <c r="J228" s="2">
        <f t="shared" ref="J228:J235" si="98">L228+O228</f>
        <v>0</v>
      </c>
      <c r="K228" s="2"/>
      <c r="L228" s="2"/>
      <c r="M228" s="2"/>
      <c r="N228" s="2"/>
      <c r="O228" s="2"/>
      <c r="P228" s="2">
        <f t="shared" si="91"/>
        <v>6840400</v>
      </c>
      <c r="Q228" s="198"/>
    </row>
    <row r="229" spans="1:17" s="125" customFormat="1" ht="33" customHeight="1" x14ac:dyDescent="0.25">
      <c r="A229" s="1" t="s">
        <v>349</v>
      </c>
      <c r="B229" s="3" t="str">
        <f>'дод 7'!A152</f>
        <v>3242</v>
      </c>
      <c r="C229" s="3" t="str">
        <f>'дод 7'!B152</f>
        <v>1090</v>
      </c>
      <c r="D229" s="63" t="s">
        <v>658</v>
      </c>
      <c r="E229" s="2">
        <f t="shared" si="90"/>
        <v>168701700</v>
      </c>
      <c r="F229" s="2">
        <f>283053500-186471500+261600+100000+440000+100000+71218100</f>
        <v>168701700</v>
      </c>
      <c r="G229" s="2"/>
      <c r="H229" s="2"/>
      <c r="I229" s="2"/>
      <c r="J229" s="2">
        <f t="shared" si="98"/>
        <v>0</v>
      </c>
      <c r="K229" s="2"/>
      <c r="L229" s="2"/>
      <c r="M229" s="2"/>
      <c r="N229" s="2"/>
      <c r="O229" s="2"/>
      <c r="P229" s="2">
        <f t="shared" si="91"/>
        <v>168701700</v>
      </c>
      <c r="Q229" s="198"/>
    </row>
    <row r="230" spans="1:17" s="5" customFormat="1" ht="25.5" customHeight="1" x14ac:dyDescent="0.25">
      <c r="A230" s="66"/>
      <c r="B230" s="53"/>
      <c r="C230" s="53"/>
      <c r="D230" s="64" t="s">
        <v>387</v>
      </c>
      <c r="E230" s="16">
        <f t="shared" si="90"/>
        <v>261600</v>
      </c>
      <c r="F230" s="16">
        <v>261600</v>
      </c>
      <c r="G230" s="16"/>
      <c r="H230" s="16"/>
      <c r="I230" s="16"/>
      <c r="J230" s="16">
        <f t="shared" si="98"/>
        <v>0</v>
      </c>
      <c r="K230" s="16"/>
      <c r="L230" s="16"/>
      <c r="M230" s="16"/>
      <c r="N230" s="16"/>
      <c r="O230" s="16"/>
      <c r="P230" s="16">
        <f t="shared" si="91"/>
        <v>261600</v>
      </c>
      <c r="Q230" s="198"/>
    </row>
    <row r="231" spans="1:17" s="125" customFormat="1" ht="31.5" hidden="1" customHeight="1" x14ac:dyDescent="0.25">
      <c r="A231" s="1" t="s">
        <v>405</v>
      </c>
      <c r="B231" s="3">
        <v>7323</v>
      </c>
      <c r="C231" s="1" t="s">
        <v>110</v>
      </c>
      <c r="D231" s="4" t="str">
        <f>'дод 7'!C200</f>
        <v>Будівництво1 установ та закладів соціальної сфери</v>
      </c>
      <c r="E231" s="2">
        <f t="shared" si="90"/>
        <v>0</v>
      </c>
      <c r="F231" s="2"/>
      <c r="G231" s="2"/>
      <c r="H231" s="2"/>
      <c r="I231" s="2"/>
      <c r="J231" s="2">
        <f t="shared" si="98"/>
        <v>0</v>
      </c>
      <c r="K231" s="2"/>
      <c r="L231" s="2"/>
      <c r="M231" s="2"/>
      <c r="N231" s="2"/>
      <c r="O231" s="2"/>
      <c r="P231" s="2">
        <f t="shared" si="91"/>
        <v>0</v>
      </c>
      <c r="Q231" s="198"/>
    </row>
    <row r="232" spans="1:17" s="125" customFormat="1" ht="15.75" hidden="1" x14ac:dyDescent="0.25">
      <c r="A232" s="1" t="s">
        <v>551</v>
      </c>
      <c r="B232" s="3">
        <v>7640</v>
      </c>
      <c r="C232" s="49" t="s">
        <v>85</v>
      </c>
      <c r="D232" s="65" t="s">
        <v>410</v>
      </c>
      <c r="E232" s="2">
        <f t="shared" si="90"/>
        <v>0</v>
      </c>
      <c r="F232" s="2"/>
      <c r="G232" s="2"/>
      <c r="H232" s="2"/>
      <c r="I232" s="2"/>
      <c r="J232" s="2">
        <f t="shared" si="98"/>
        <v>0</v>
      </c>
      <c r="K232" s="2"/>
      <c r="L232" s="2"/>
      <c r="M232" s="2"/>
      <c r="N232" s="2"/>
      <c r="O232" s="2"/>
      <c r="P232" s="2">
        <f t="shared" si="91"/>
        <v>0</v>
      </c>
      <c r="Q232" s="198"/>
    </row>
    <row r="233" spans="1:17" s="125" customFormat="1" ht="66" hidden="1" customHeight="1" x14ac:dyDescent="0.25">
      <c r="A233" s="1" t="s">
        <v>590</v>
      </c>
      <c r="B233" s="3">
        <f>'дод 7'!A270</f>
        <v>8751</v>
      </c>
      <c r="C233" s="3">
        <f>'дод 7'!B270</f>
        <v>1070</v>
      </c>
      <c r="D233" s="90" t="str">
        <f>'дод 7'!C270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33" s="2">
        <f>F233</f>
        <v>0</v>
      </c>
      <c r="F233" s="2"/>
      <c r="G233" s="2"/>
      <c r="H233" s="2"/>
      <c r="I233" s="2"/>
      <c r="J233" s="2">
        <f t="shared" ref="J233" si="99">L233+O233</f>
        <v>0</v>
      </c>
      <c r="K233" s="2"/>
      <c r="L233" s="2"/>
      <c r="M233" s="2"/>
      <c r="N233" s="2"/>
      <c r="O233" s="2"/>
      <c r="P233" s="2">
        <f t="shared" ref="P233" si="100">E233+J233</f>
        <v>0</v>
      </c>
      <c r="Q233" s="198"/>
    </row>
    <row r="234" spans="1:17" s="125" customFormat="1" ht="38.25" hidden="1" customHeight="1" x14ac:dyDescent="0.25">
      <c r="A234" s="1" t="s">
        <v>584</v>
      </c>
      <c r="B234" s="3">
        <v>8775</v>
      </c>
      <c r="C234" s="1" t="s">
        <v>92</v>
      </c>
      <c r="D234" s="63" t="s">
        <v>581</v>
      </c>
      <c r="E234" s="2">
        <f>F234</f>
        <v>0</v>
      </c>
      <c r="F234" s="2"/>
      <c r="G234" s="2"/>
      <c r="H234" s="2"/>
      <c r="I234" s="2"/>
      <c r="J234" s="2">
        <f t="shared" si="98"/>
        <v>0</v>
      </c>
      <c r="K234" s="2"/>
      <c r="L234" s="2"/>
      <c r="M234" s="2"/>
      <c r="N234" s="2"/>
      <c r="O234" s="2"/>
      <c r="P234" s="2">
        <f t="shared" si="91"/>
        <v>0</v>
      </c>
      <c r="Q234" s="198"/>
    </row>
    <row r="235" spans="1:17" s="125" customFormat="1" ht="22.5" hidden="1" customHeight="1" x14ac:dyDescent="0.25">
      <c r="A235" s="1" t="s">
        <v>262</v>
      </c>
      <c r="B235" s="3" t="str">
        <f>'дод 7'!A283</f>
        <v>9770</v>
      </c>
      <c r="C235" s="3" t="str">
        <f>'дод 7'!B283</f>
        <v>0180</v>
      </c>
      <c r="D235" s="63" t="str">
        <f>'дод 7'!C283</f>
        <v>Інші субвенції з місцевого бюджету</v>
      </c>
      <c r="E235" s="2">
        <f t="shared" si="90"/>
        <v>0</v>
      </c>
      <c r="F235" s="2"/>
      <c r="G235" s="2"/>
      <c r="H235" s="2"/>
      <c r="I235" s="2"/>
      <c r="J235" s="2">
        <f t="shared" si="98"/>
        <v>0</v>
      </c>
      <c r="K235" s="2"/>
      <c r="L235" s="2"/>
      <c r="M235" s="2"/>
      <c r="N235" s="2"/>
      <c r="O235" s="2"/>
      <c r="P235" s="2">
        <f t="shared" si="91"/>
        <v>0</v>
      </c>
      <c r="Q235" s="198"/>
    </row>
    <row r="236" spans="1:17" s="124" customFormat="1" ht="31.5" x14ac:dyDescent="0.25">
      <c r="A236" s="94" t="s">
        <v>185</v>
      </c>
      <c r="B236" s="58"/>
      <c r="C236" s="58"/>
      <c r="D236" s="91" t="s">
        <v>357</v>
      </c>
      <c r="E236" s="15">
        <f>E237</f>
        <v>7267700</v>
      </c>
      <c r="F236" s="15">
        <f t="shared" ref="F236:J236" si="101">F237</f>
        <v>7267700</v>
      </c>
      <c r="G236" s="15">
        <f t="shared" si="101"/>
        <v>5371700</v>
      </c>
      <c r="H236" s="15">
        <f t="shared" si="101"/>
        <v>138600</v>
      </c>
      <c r="I236" s="15">
        <f t="shared" si="101"/>
        <v>0</v>
      </c>
      <c r="J236" s="15">
        <f t="shared" si="101"/>
        <v>0</v>
      </c>
      <c r="K236" s="15">
        <f t="shared" ref="K236" si="102">K237</f>
        <v>0</v>
      </c>
      <c r="L236" s="15">
        <f t="shared" ref="L236" si="103">L237</f>
        <v>0</v>
      </c>
      <c r="M236" s="15">
        <f t="shared" ref="M236" si="104">M237</f>
        <v>0</v>
      </c>
      <c r="N236" s="15">
        <f t="shared" ref="N236" si="105">N237</f>
        <v>0</v>
      </c>
      <c r="O236" s="15">
        <f t="shared" ref="O236:P236" si="106">O237</f>
        <v>0</v>
      </c>
      <c r="P236" s="15">
        <f t="shared" si="106"/>
        <v>7267700</v>
      </c>
      <c r="Q236" s="198"/>
    </row>
    <row r="237" spans="1:17" s="11" customFormat="1" ht="31.5" x14ac:dyDescent="0.25">
      <c r="A237" s="7" t="s">
        <v>186</v>
      </c>
      <c r="B237" s="8"/>
      <c r="C237" s="8"/>
      <c r="D237" s="9" t="s">
        <v>357</v>
      </c>
      <c r="E237" s="10">
        <f>E239+E240+E241+E243+E242</f>
        <v>7267700</v>
      </c>
      <c r="F237" s="10">
        <f t="shared" ref="F237:P237" si="107">F239+F240+F241+F243+F242</f>
        <v>7267700</v>
      </c>
      <c r="G237" s="10">
        <f t="shared" si="107"/>
        <v>5371700</v>
      </c>
      <c r="H237" s="10">
        <f t="shared" si="107"/>
        <v>138600</v>
      </c>
      <c r="I237" s="10">
        <f t="shared" si="107"/>
        <v>0</v>
      </c>
      <c r="J237" s="10">
        <f t="shared" si="107"/>
        <v>0</v>
      </c>
      <c r="K237" s="10">
        <f t="shared" si="107"/>
        <v>0</v>
      </c>
      <c r="L237" s="10">
        <f t="shared" si="107"/>
        <v>0</v>
      </c>
      <c r="M237" s="10">
        <f t="shared" si="107"/>
        <v>0</v>
      </c>
      <c r="N237" s="10">
        <f t="shared" si="107"/>
        <v>0</v>
      </c>
      <c r="O237" s="10">
        <f t="shared" si="107"/>
        <v>0</v>
      </c>
      <c r="P237" s="10">
        <f t="shared" si="107"/>
        <v>7267700</v>
      </c>
      <c r="Q237" s="198"/>
    </row>
    <row r="238" spans="1:17" s="11" customFormat="1" ht="141.75" hidden="1" customHeight="1" x14ac:dyDescent="0.25">
      <c r="A238" s="7"/>
      <c r="B238" s="8"/>
      <c r="C238" s="8"/>
      <c r="D238" s="81" t="s">
        <v>545</v>
      </c>
      <c r="E238" s="10">
        <f>E244</f>
        <v>0</v>
      </c>
      <c r="F238" s="10">
        <f t="shared" ref="F238:P238" si="108">F244</f>
        <v>0</v>
      </c>
      <c r="G238" s="10">
        <f t="shared" si="108"/>
        <v>0</v>
      </c>
      <c r="H238" s="10">
        <f t="shared" si="108"/>
        <v>0</v>
      </c>
      <c r="I238" s="10">
        <f t="shared" si="108"/>
        <v>0</v>
      </c>
      <c r="J238" s="10">
        <f t="shared" si="108"/>
        <v>0</v>
      </c>
      <c r="K238" s="10">
        <f t="shared" si="108"/>
        <v>0</v>
      </c>
      <c r="L238" s="10">
        <f t="shared" si="108"/>
        <v>0</v>
      </c>
      <c r="M238" s="10">
        <f t="shared" si="108"/>
        <v>0</v>
      </c>
      <c r="N238" s="10">
        <f t="shared" si="108"/>
        <v>0</v>
      </c>
      <c r="O238" s="10">
        <f t="shared" si="108"/>
        <v>0</v>
      </c>
      <c r="P238" s="10">
        <f t="shared" si="108"/>
        <v>0</v>
      </c>
      <c r="Q238" s="198"/>
    </row>
    <row r="239" spans="1:17" s="125" customFormat="1" ht="47.25" x14ac:dyDescent="0.25">
      <c r="A239" s="1" t="s">
        <v>187</v>
      </c>
      <c r="B239" s="3" t="str">
        <f>'дод 7'!A17</f>
        <v>0160</v>
      </c>
      <c r="C239" s="3" t="str">
        <f>'дод 7'!B17</f>
        <v>0111</v>
      </c>
      <c r="D239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239" s="2">
        <f t="shared" ref="E239:E244" si="109">F239+I239</f>
        <v>6981400</v>
      </c>
      <c r="F239" s="2">
        <v>6981400</v>
      </c>
      <c r="G239" s="2">
        <v>5371700</v>
      </c>
      <c r="H239" s="2">
        <v>138600</v>
      </c>
      <c r="I239" s="2"/>
      <c r="J239" s="2">
        <f>L239+O239</f>
        <v>0</v>
      </c>
      <c r="K239" s="2">
        <f>12000-12000</f>
        <v>0</v>
      </c>
      <c r="L239" s="2"/>
      <c r="M239" s="2"/>
      <c r="N239" s="2"/>
      <c r="O239" s="2">
        <f>12000-12000</f>
        <v>0</v>
      </c>
      <c r="P239" s="2">
        <f t="shared" ref="P239:P244" si="110">E239+J239</f>
        <v>6981400</v>
      </c>
      <c r="Q239" s="198"/>
    </row>
    <row r="240" spans="1:17" s="125" customFormat="1" ht="84.75" customHeight="1" x14ac:dyDescent="0.25">
      <c r="A240" s="1" t="s">
        <v>328</v>
      </c>
      <c r="B240" s="3">
        <v>3111</v>
      </c>
      <c r="C240" s="3">
        <v>1040</v>
      </c>
      <c r="D240" s="63" t="str">
        <f>'дод 7'!C128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40" s="2">
        <f t="shared" si="109"/>
        <v>116300</v>
      </c>
      <c r="F240" s="2">
        <v>116300</v>
      </c>
      <c r="G240" s="2"/>
      <c r="H240" s="2"/>
      <c r="I240" s="2"/>
      <c r="J240" s="2">
        <f t="shared" ref="J240:J244" si="111">L240+O240</f>
        <v>0</v>
      </c>
      <c r="K240" s="2">
        <f>21140-21140</f>
        <v>0</v>
      </c>
      <c r="L240" s="2"/>
      <c r="M240" s="2"/>
      <c r="N240" s="2"/>
      <c r="O240" s="2">
        <f>21140-21140</f>
        <v>0</v>
      </c>
      <c r="P240" s="2">
        <f t="shared" si="110"/>
        <v>116300</v>
      </c>
      <c r="Q240" s="6"/>
    </row>
    <row r="241" spans="1:17" s="125" customFormat="1" ht="31.5" customHeight="1" x14ac:dyDescent="0.25">
      <c r="A241" s="1" t="s">
        <v>188</v>
      </c>
      <c r="B241" s="3" t="str">
        <f>'дод 7'!A129</f>
        <v>3112</v>
      </c>
      <c r="C241" s="3" t="str">
        <f>'дод 7'!B129</f>
        <v>1040</v>
      </c>
      <c r="D241" s="63" t="str">
        <f>'дод 7'!C129</f>
        <v>Заходи державної політики з питань дітей та їх соціального захисту</v>
      </c>
      <c r="E241" s="2">
        <f t="shared" si="109"/>
        <v>170000</v>
      </c>
      <c r="F241" s="2">
        <f>141200+28800</f>
        <v>170000</v>
      </c>
      <c r="G241" s="2"/>
      <c r="H241" s="2"/>
      <c r="I241" s="2"/>
      <c r="J241" s="2">
        <f t="shared" si="111"/>
        <v>0</v>
      </c>
      <c r="K241" s="2"/>
      <c r="L241" s="2"/>
      <c r="M241" s="2"/>
      <c r="N241" s="2"/>
      <c r="O241" s="2"/>
      <c r="P241" s="2">
        <f t="shared" si="110"/>
        <v>170000</v>
      </c>
      <c r="Q241" s="6"/>
    </row>
    <row r="242" spans="1:17" s="125" customFormat="1" ht="31.5" hidden="1" customHeight="1" x14ac:dyDescent="0.25">
      <c r="A242" s="1" t="s">
        <v>555</v>
      </c>
      <c r="B242" s="3">
        <v>3242</v>
      </c>
      <c r="C242" s="49" t="s">
        <v>55</v>
      </c>
      <c r="D242" s="65" t="s">
        <v>400</v>
      </c>
      <c r="E242" s="2">
        <f t="shared" si="109"/>
        <v>0</v>
      </c>
      <c r="F242" s="2"/>
      <c r="G242" s="2"/>
      <c r="H242" s="2"/>
      <c r="I242" s="2"/>
      <c r="J242" s="2">
        <f t="shared" si="111"/>
        <v>0</v>
      </c>
      <c r="K242" s="2"/>
      <c r="L242" s="2"/>
      <c r="M242" s="2"/>
      <c r="N242" s="2"/>
      <c r="O242" s="2"/>
      <c r="P242" s="2">
        <f t="shared" si="110"/>
        <v>0</v>
      </c>
      <c r="Q242" s="6"/>
    </row>
    <row r="243" spans="1:17" s="125" customFormat="1" ht="94.5" hidden="1" customHeight="1" x14ac:dyDescent="0.25">
      <c r="A243" s="1" t="s">
        <v>421</v>
      </c>
      <c r="B243" s="3">
        <v>6083</v>
      </c>
      <c r="C243" s="1" t="s">
        <v>67</v>
      </c>
      <c r="D243" s="67" t="s">
        <v>422</v>
      </c>
      <c r="E243" s="2">
        <f t="shared" si="109"/>
        <v>0</v>
      </c>
      <c r="F243" s="2"/>
      <c r="G243" s="2"/>
      <c r="H243" s="2"/>
      <c r="I243" s="2"/>
      <c r="J243" s="2">
        <f t="shared" si="111"/>
        <v>0</v>
      </c>
      <c r="K243" s="2"/>
      <c r="L243" s="2"/>
      <c r="M243" s="2"/>
      <c r="N243" s="2"/>
      <c r="O243" s="2"/>
      <c r="P243" s="2">
        <f t="shared" si="110"/>
        <v>0</v>
      </c>
      <c r="Q243" s="6"/>
    </row>
    <row r="244" spans="1:17" s="5" customFormat="1" ht="138.75" hidden="1" customHeight="1" x14ac:dyDescent="0.25">
      <c r="A244" s="66"/>
      <c r="B244" s="53"/>
      <c r="C244" s="66"/>
      <c r="D244" s="82" t="s">
        <v>545</v>
      </c>
      <c r="E244" s="2">
        <f t="shared" si="109"/>
        <v>0</v>
      </c>
      <c r="F244" s="16"/>
      <c r="G244" s="16"/>
      <c r="H244" s="16"/>
      <c r="I244" s="16"/>
      <c r="J244" s="2">
        <f t="shared" si="111"/>
        <v>0</v>
      </c>
      <c r="K244" s="16"/>
      <c r="L244" s="16"/>
      <c r="M244" s="16"/>
      <c r="N244" s="16"/>
      <c r="O244" s="16"/>
      <c r="P244" s="2">
        <f t="shared" si="110"/>
        <v>0</v>
      </c>
      <c r="Q244" s="6"/>
    </row>
    <row r="245" spans="1:17" s="124" customFormat="1" ht="22.5" customHeight="1" x14ac:dyDescent="0.25">
      <c r="A245" s="94" t="s">
        <v>25</v>
      </c>
      <c r="B245" s="58"/>
      <c r="C245" s="58"/>
      <c r="D245" s="91" t="s">
        <v>329</v>
      </c>
      <c r="E245" s="15">
        <f>E246</f>
        <v>103266600</v>
      </c>
      <c r="F245" s="15">
        <f t="shared" ref="F245:J245" si="112">F246</f>
        <v>103266600</v>
      </c>
      <c r="G245" s="15">
        <f t="shared" si="112"/>
        <v>77530000</v>
      </c>
      <c r="H245" s="15">
        <f t="shared" si="112"/>
        <v>4802700</v>
      </c>
      <c r="I245" s="15">
        <f t="shared" si="112"/>
        <v>0</v>
      </c>
      <c r="J245" s="15">
        <f t="shared" si="112"/>
        <v>8570035</v>
      </c>
      <c r="K245" s="15">
        <f t="shared" ref="K245" si="113">K246</f>
        <v>4860300</v>
      </c>
      <c r="L245" s="15">
        <f t="shared" ref="L245" si="114">L246</f>
        <v>3707535</v>
      </c>
      <c r="M245" s="15">
        <f t="shared" ref="M245" si="115">M246</f>
        <v>3020273</v>
      </c>
      <c r="N245" s="15">
        <f t="shared" ref="N245" si="116">N246</f>
        <v>0</v>
      </c>
      <c r="O245" s="15">
        <f t="shared" ref="O245:P245" si="117">O246</f>
        <v>4862500</v>
      </c>
      <c r="P245" s="15">
        <f t="shared" si="117"/>
        <v>111836635</v>
      </c>
      <c r="Q245" s="6"/>
    </row>
    <row r="246" spans="1:17" s="11" customFormat="1" ht="21.75" customHeight="1" x14ac:dyDescent="0.25">
      <c r="A246" s="7" t="s">
        <v>189</v>
      </c>
      <c r="B246" s="8"/>
      <c r="C246" s="8"/>
      <c r="D246" s="9" t="s">
        <v>329</v>
      </c>
      <c r="E246" s="10">
        <f>E247+E248+E249+E251+E252++E254+E250+E253+E255</f>
        <v>103266600</v>
      </c>
      <c r="F246" s="10">
        <f t="shared" ref="F246:P246" si="118">F247+F248+F249+F251+F252++F254+F250+F253+F255</f>
        <v>103266600</v>
      </c>
      <c r="G246" s="10">
        <f t="shared" si="118"/>
        <v>77530000</v>
      </c>
      <c r="H246" s="10">
        <f t="shared" si="118"/>
        <v>4802700</v>
      </c>
      <c r="I246" s="10">
        <f t="shared" si="118"/>
        <v>0</v>
      </c>
      <c r="J246" s="10">
        <f t="shared" si="118"/>
        <v>8570035</v>
      </c>
      <c r="K246" s="10">
        <f t="shared" si="118"/>
        <v>4860300</v>
      </c>
      <c r="L246" s="10">
        <f t="shared" si="118"/>
        <v>3707535</v>
      </c>
      <c r="M246" s="10">
        <f t="shared" si="118"/>
        <v>3020273</v>
      </c>
      <c r="N246" s="10">
        <f t="shared" si="118"/>
        <v>0</v>
      </c>
      <c r="O246" s="10">
        <f t="shared" si="118"/>
        <v>4862500</v>
      </c>
      <c r="P246" s="10">
        <f t="shared" si="118"/>
        <v>111836635</v>
      </c>
      <c r="Q246" s="6"/>
    </row>
    <row r="247" spans="1:17" s="125" customFormat="1" ht="47.25" x14ac:dyDescent="0.25">
      <c r="A247" s="1" t="s">
        <v>136</v>
      </c>
      <c r="B247" s="3" t="str">
        <f>'дод 7'!A17</f>
        <v>0160</v>
      </c>
      <c r="C247" s="3" t="str">
        <f>'дод 7'!B17</f>
        <v>0111</v>
      </c>
      <c r="D247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247" s="2">
        <f t="shared" ref="E247:E255" si="119">F247+I247</f>
        <v>2410900</v>
      </c>
      <c r="F247" s="2">
        <v>2410900</v>
      </c>
      <c r="G247" s="2">
        <v>1884400</v>
      </c>
      <c r="H247" s="2">
        <v>50600</v>
      </c>
      <c r="I247" s="2"/>
      <c r="J247" s="2">
        <f>L247+O247</f>
        <v>0</v>
      </c>
      <c r="K247" s="2"/>
      <c r="L247" s="2"/>
      <c r="M247" s="2"/>
      <c r="N247" s="2"/>
      <c r="O247" s="2"/>
      <c r="P247" s="2">
        <f t="shared" ref="P247:P255" si="120">E247+J247</f>
        <v>2410900</v>
      </c>
      <c r="Q247" s="6"/>
    </row>
    <row r="248" spans="1:17" s="125" customFormat="1" ht="33" customHeight="1" x14ac:dyDescent="0.25">
      <c r="A248" s="1" t="s">
        <v>480</v>
      </c>
      <c r="B248" s="3">
        <v>1080</v>
      </c>
      <c r="C248" s="1" t="s">
        <v>56</v>
      </c>
      <c r="D248" s="63" t="str">
        <f>'дод 7'!C62</f>
        <v>Надання спеціалізованої освіти мистецькими школами</v>
      </c>
      <c r="E248" s="2">
        <f t="shared" si="119"/>
        <v>63714300</v>
      </c>
      <c r="F248" s="2">
        <f>63414300+500000-200000</f>
        <v>63714300</v>
      </c>
      <c r="G248" s="2">
        <v>49963100</v>
      </c>
      <c r="H248" s="2">
        <v>1633100</v>
      </c>
      <c r="I248" s="2"/>
      <c r="J248" s="2">
        <f>L248+O248</f>
        <v>3692735</v>
      </c>
      <c r="K248" s="2"/>
      <c r="L248" s="2">
        <v>3690535</v>
      </c>
      <c r="M248" s="2">
        <v>3020273</v>
      </c>
      <c r="N248" s="2"/>
      <c r="O248" s="2">
        <v>2200</v>
      </c>
      <c r="P248" s="2">
        <f t="shared" si="120"/>
        <v>67407035</v>
      </c>
      <c r="Q248" s="6"/>
    </row>
    <row r="249" spans="1:17" s="125" customFormat="1" ht="21" customHeight="1" x14ac:dyDescent="0.25">
      <c r="A249" s="1" t="s">
        <v>190</v>
      </c>
      <c r="B249" s="3" t="str">
        <f>'дод 7'!A155</f>
        <v>4030</v>
      </c>
      <c r="C249" s="3" t="str">
        <f>'дод 7'!B155</f>
        <v>0824</v>
      </c>
      <c r="D249" s="63" t="str">
        <f>'дод 7'!C155</f>
        <v>Забезпечення діяльності бібліотек</v>
      </c>
      <c r="E249" s="2">
        <f t="shared" si="119"/>
        <v>27722400</v>
      </c>
      <c r="F249" s="2">
        <v>27722400</v>
      </c>
      <c r="G249" s="2">
        <v>19660500</v>
      </c>
      <c r="H249" s="2">
        <v>2672200</v>
      </c>
      <c r="I249" s="2"/>
      <c r="J249" s="2">
        <f t="shared" ref="J249:J255" si="121">L249+O249</f>
        <v>4865300</v>
      </c>
      <c r="K249" s="2">
        <v>4860300</v>
      </c>
      <c r="L249" s="2">
        <v>5000</v>
      </c>
      <c r="M249" s="2"/>
      <c r="N249" s="2"/>
      <c r="O249" s="2">
        <v>4860300</v>
      </c>
      <c r="P249" s="2">
        <f t="shared" si="120"/>
        <v>32587700</v>
      </c>
      <c r="Q249" s="6"/>
    </row>
    <row r="250" spans="1:17" s="125" customFormat="1" ht="54.75" customHeight="1" x14ac:dyDescent="0.25">
      <c r="A250" s="1">
        <v>1014060</v>
      </c>
      <c r="B250" s="3" t="str">
        <f>'дод 7'!A156</f>
        <v>4060</v>
      </c>
      <c r="C250" s="3" t="str">
        <f>'дод 7'!B156</f>
        <v>0828</v>
      </c>
      <c r="D250" s="63" t="str">
        <f>'дод 7'!C156</f>
        <v>Забезпечення діяльності палаців i будинків культури, клубів, центрів дозвілля та iнших клубних закладів</v>
      </c>
      <c r="E250" s="2">
        <f t="shared" si="119"/>
        <v>6066500</v>
      </c>
      <c r="F250" s="2">
        <f>5349200+173500+243800+300000</f>
        <v>6066500</v>
      </c>
      <c r="G250" s="2">
        <f>3530000+142200+199800</f>
        <v>3872000</v>
      </c>
      <c r="H250" s="2">
        <v>370000</v>
      </c>
      <c r="I250" s="2"/>
      <c r="J250" s="2">
        <f t="shared" si="121"/>
        <v>0</v>
      </c>
      <c r="K250" s="2">
        <f>246000-246000</f>
        <v>0</v>
      </c>
      <c r="L250" s="2"/>
      <c r="M250" s="2"/>
      <c r="N250" s="2"/>
      <c r="O250" s="2">
        <f>246000-246000</f>
        <v>0</v>
      </c>
      <c r="P250" s="2">
        <f t="shared" si="120"/>
        <v>6066500</v>
      </c>
      <c r="Q250" s="6"/>
    </row>
    <row r="251" spans="1:17" s="5" customFormat="1" ht="33.75" customHeight="1" x14ac:dyDescent="0.25">
      <c r="A251" s="1">
        <v>1014081</v>
      </c>
      <c r="B251" s="3" t="str">
        <f>'дод 7'!A157</f>
        <v>4081</v>
      </c>
      <c r="C251" s="3" t="str">
        <f>'дод 7'!B157</f>
        <v>0829</v>
      </c>
      <c r="D251" s="63" t="str">
        <f>'дод 7'!C157</f>
        <v>Забезпечення діяльності інших закладів в галузі культури і мистецтва</v>
      </c>
      <c r="E251" s="2">
        <f t="shared" si="119"/>
        <v>2852500</v>
      </c>
      <c r="F251" s="2">
        <v>2852500</v>
      </c>
      <c r="G251" s="2">
        <v>2150000</v>
      </c>
      <c r="H251" s="2">
        <v>76800</v>
      </c>
      <c r="I251" s="2"/>
      <c r="J251" s="2">
        <f t="shared" si="121"/>
        <v>0</v>
      </c>
      <c r="K251" s="2"/>
      <c r="L251" s="2"/>
      <c r="M251" s="2"/>
      <c r="N251" s="2"/>
      <c r="O251" s="2"/>
      <c r="P251" s="2">
        <f t="shared" si="120"/>
        <v>2852500</v>
      </c>
      <c r="Q251" s="6"/>
    </row>
    <row r="252" spans="1:17" s="5" customFormat="1" ht="25.5" customHeight="1" x14ac:dyDescent="0.25">
      <c r="A252" s="1">
        <v>1014082</v>
      </c>
      <c r="B252" s="3" t="str">
        <f>'дод 7'!A158</f>
        <v>4082</v>
      </c>
      <c r="C252" s="3" t="str">
        <f>'дод 7'!B158</f>
        <v>0829</v>
      </c>
      <c r="D252" s="63" t="str">
        <f>'дод 7'!C158</f>
        <v>Інші заходи в галузі культури і мистецтва</v>
      </c>
      <c r="E252" s="2">
        <f t="shared" si="119"/>
        <v>500000</v>
      </c>
      <c r="F252" s="2">
        <f>1200000-700000</f>
        <v>500000</v>
      </c>
      <c r="G252" s="2"/>
      <c r="H252" s="2"/>
      <c r="I252" s="2"/>
      <c r="J252" s="2">
        <f t="shared" si="121"/>
        <v>0</v>
      </c>
      <c r="K252" s="2"/>
      <c r="L252" s="2"/>
      <c r="M252" s="2"/>
      <c r="N252" s="2"/>
      <c r="O252" s="2"/>
      <c r="P252" s="2">
        <f t="shared" si="120"/>
        <v>500000</v>
      </c>
      <c r="Q252" s="6"/>
    </row>
    <row r="253" spans="1:17" s="5" customFormat="1" ht="21.75" hidden="1" customHeight="1" x14ac:dyDescent="0.25">
      <c r="A253" s="1" t="s">
        <v>434</v>
      </c>
      <c r="B253" s="1" t="s">
        <v>435</v>
      </c>
      <c r="C253" s="1" t="s">
        <v>110</v>
      </c>
      <c r="D253" s="4" t="str">
        <f>'дод 7'!C201</f>
        <v>Будівництво1 установ та закладів культури</v>
      </c>
      <c r="E253" s="2">
        <f t="shared" si="119"/>
        <v>0</v>
      </c>
      <c r="F253" s="2"/>
      <c r="G253" s="2"/>
      <c r="H253" s="2"/>
      <c r="I253" s="2"/>
      <c r="J253" s="2">
        <f t="shared" si="121"/>
        <v>0</v>
      </c>
      <c r="K253" s="2"/>
      <c r="L253" s="2"/>
      <c r="M253" s="2"/>
      <c r="N253" s="2"/>
      <c r="O253" s="2"/>
      <c r="P253" s="2">
        <f t="shared" si="120"/>
        <v>0</v>
      </c>
      <c r="Q253" s="6"/>
    </row>
    <row r="254" spans="1:17" s="125" customFormat="1" ht="22.5" hidden="1" customHeight="1" x14ac:dyDescent="0.25">
      <c r="A254" s="1" t="s">
        <v>142</v>
      </c>
      <c r="B254" s="3" t="str">
        <f>'дод 7'!A236</f>
        <v>7640</v>
      </c>
      <c r="C254" s="3" t="str">
        <f>'дод 7'!B236</f>
        <v>0470</v>
      </c>
      <c r="D254" s="63" t="s">
        <v>410</v>
      </c>
      <c r="E254" s="2">
        <f t="shared" si="119"/>
        <v>0</v>
      </c>
      <c r="F254" s="2"/>
      <c r="G254" s="2"/>
      <c r="H254" s="2"/>
      <c r="I254" s="2"/>
      <c r="J254" s="2">
        <f t="shared" si="121"/>
        <v>0</v>
      </c>
      <c r="K254" s="2"/>
      <c r="L254" s="2"/>
      <c r="M254" s="2"/>
      <c r="N254" s="2"/>
      <c r="O254" s="2"/>
      <c r="P254" s="2">
        <f t="shared" si="120"/>
        <v>0</v>
      </c>
      <c r="Q254" s="6"/>
    </row>
    <row r="255" spans="1:17" s="125" customFormat="1" ht="27" customHeight="1" x14ac:dyDescent="0.25">
      <c r="A255" s="1">
        <v>1018340</v>
      </c>
      <c r="B255" s="3" t="str">
        <f>'дод 7'!A262</f>
        <v>8340</v>
      </c>
      <c r="C255" s="3" t="str">
        <f>'дод 7'!B262</f>
        <v>0540</v>
      </c>
      <c r="D255" s="90" t="str">
        <f>'дод 7'!C262</f>
        <v>Природоохоронні заходи за рахунок цільових фондів</v>
      </c>
      <c r="E255" s="2">
        <f t="shared" si="119"/>
        <v>0</v>
      </c>
      <c r="F255" s="2"/>
      <c r="G255" s="2"/>
      <c r="H255" s="2"/>
      <c r="I255" s="2"/>
      <c r="J255" s="2">
        <f t="shared" si="121"/>
        <v>12000</v>
      </c>
      <c r="K255" s="2"/>
      <c r="L255" s="2">
        <v>12000</v>
      </c>
      <c r="M255" s="2"/>
      <c r="N255" s="2"/>
      <c r="O255" s="2"/>
      <c r="P255" s="2">
        <f t="shared" si="120"/>
        <v>12000</v>
      </c>
      <c r="Q255" s="6"/>
    </row>
    <row r="256" spans="1:17" s="124" customFormat="1" ht="34.5" customHeight="1" x14ac:dyDescent="0.25">
      <c r="A256" s="94" t="s">
        <v>191</v>
      </c>
      <c r="B256" s="58"/>
      <c r="C256" s="58"/>
      <c r="D256" s="91" t="s">
        <v>31</v>
      </c>
      <c r="E256" s="15">
        <f>E257</f>
        <v>323665820</v>
      </c>
      <c r="F256" s="15">
        <f t="shared" ref="F256:H256" si="122">F257</f>
        <v>288875820</v>
      </c>
      <c r="G256" s="15">
        <f t="shared" si="122"/>
        <v>13887400</v>
      </c>
      <c r="H256" s="15">
        <f t="shared" si="122"/>
        <v>43838500</v>
      </c>
      <c r="I256" s="15">
        <f>I257</f>
        <v>34790000</v>
      </c>
      <c r="J256" s="15">
        <f>J257</f>
        <v>52346674</v>
      </c>
      <c r="K256" s="15">
        <f t="shared" ref="K256:P256" si="123">K257</f>
        <v>35489300</v>
      </c>
      <c r="L256" s="15">
        <f t="shared" si="123"/>
        <v>784400</v>
      </c>
      <c r="M256" s="15">
        <f t="shared" si="123"/>
        <v>0</v>
      </c>
      <c r="N256" s="15">
        <f t="shared" ca="1" si="123"/>
        <v>0</v>
      </c>
      <c r="O256" s="15">
        <f t="shared" si="123"/>
        <v>51562274</v>
      </c>
      <c r="P256" s="15">
        <f t="shared" si="123"/>
        <v>376012494</v>
      </c>
      <c r="Q256" s="6"/>
    </row>
    <row r="257" spans="1:17" s="11" customFormat="1" ht="31.5" x14ac:dyDescent="0.25">
      <c r="A257" s="7" t="s">
        <v>192</v>
      </c>
      <c r="B257" s="8"/>
      <c r="C257" s="8"/>
      <c r="D257" s="9" t="s">
        <v>727</v>
      </c>
      <c r="E257" s="10">
        <f>E267+E268+E269+E270+E271+E273+E274+E275+E276+E280+E281+E283+E285+E284+E287+E289+E293+E295+E297+E304+E305+E307+E312+E316+E318+E286+E300+E309+E308+E277+E279+E317+E315+E272+E314+E319+E313+E310+E311+E299+E296+E302</f>
        <v>323665820</v>
      </c>
      <c r="F257" s="10">
        <f t="shared" ref="F257:P257" si="124">F267+F268+F269+F270+F271+F273+F274+F275+F276+F280+F281+F283+F285+F284+F287+F289+F293+F295+F297+F304+F305+F307+F312+F316+F318+F286+F300+F309+F308+F277+F279+F317+F315+F272+F314+F319+F313+F310+F311+F299+F296+F302</f>
        <v>288875820</v>
      </c>
      <c r="G257" s="10">
        <f t="shared" si="124"/>
        <v>13887400</v>
      </c>
      <c r="H257" s="10">
        <f t="shared" si="124"/>
        <v>43838500</v>
      </c>
      <c r="I257" s="10">
        <f t="shared" si="124"/>
        <v>34790000</v>
      </c>
      <c r="J257" s="10">
        <f t="shared" si="124"/>
        <v>52346674</v>
      </c>
      <c r="K257" s="10">
        <f t="shared" si="124"/>
        <v>35489300</v>
      </c>
      <c r="L257" s="10">
        <f t="shared" si="124"/>
        <v>784400</v>
      </c>
      <c r="M257" s="10">
        <f t="shared" si="124"/>
        <v>0</v>
      </c>
      <c r="N257" s="10">
        <f t="shared" ca="1" si="124"/>
        <v>0</v>
      </c>
      <c r="O257" s="10">
        <f t="shared" si="124"/>
        <v>51562274</v>
      </c>
      <c r="P257" s="10">
        <f t="shared" si="124"/>
        <v>376012494</v>
      </c>
      <c r="Q257" s="6"/>
    </row>
    <row r="258" spans="1:17" s="11" customFormat="1" ht="117.75" hidden="1" customHeight="1" x14ac:dyDescent="0.25">
      <c r="A258" s="7"/>
      <c r="B258" s="8"/>
      <c r="C258" s="8"/>
      <c r="D258" s="9" t="s">
        <v>389</v>
      </c>
      <c r="E258" s="10">
        <f>E301</f>
        <v>0</v>
      </c>
      <c r="F258" s="10">
        <f t="shared" ref="F258:P258" si="125">F301</f>
        <v>0</v>
      </c>
      <c r="G258" s="10">
        <f t="shared" si="125"/>
        <v>0</v>
      </c>
      <c r="H258" s="10">
        <f t="shared" si="125"/>
        <v>0</v>
      </c>
      <c r="I258" s="10">
        <f t="shared" si="125"/>
        <v>0</v>
      </c>
      <c r="J258" s="10">
        <f t="shared" si="125"/>
        <v>0</v>
      </c>
      <c r="K258" s="10">
        <f t="shared" si="125"/>
        <v>0</v>
      </c>
      <c r="L258" s="10">
        <f t="shared" si="125"/>
        <v>0</v>
      </c>
      <c r="M258" s="10">
        <f t="shared" si="125"/>
        <v>0</v>
      </c>
      <c r="N258" s="10">
        <f t="shared" si="125"/>
        <v>0</v>
      </c>
      <c r="O258" s="10">
        <f t="shared" si="125"/>
        <v>0</v>
      </c>
      <c r="P258" s="10">
        <f t="shared" si="125"/>
        <v>0</v>
      </c>
      <c r="Q258" s="6"/>
    </row>
    <row r="259" spans="1:17" s="11" customFormat="1" ht="84" hidden="1" customHeight="1" x14ac:dyDescent="0.25">
      <c r="A259" s="7"/>
      <c r="B259" s="8"/>
      <c r="C259" s="8"/>
      <c r="D259" s="9" t="s">
        <v>501</v>
      </c>
      <c r="E259" s="10">
        <f>E292</f>
        <v>0</v>
      </c>
      <c r="F259" s="10">
        <f t="shared" ref="F259:P259" si="126">F292</f>
        <v>0</v>
      </c>
      <c r="G259" s="10">
        <f t="shared" si="126"/>
        <v>0</v>
      </c>
      <c r="H259" s="10">
        <f t="shared" si="126"/>
        <v>0</v>
      </c>
      <c r="I259" s="10">
        <f t="shared" si="126"/>
        <v>0</v>
      </c>
      <c r="J259" s="10">
        <f t="shared" si="126"/>
        <v>0</v>
      </c>
      <c r="K259" s="10">
        <f t="shared" si="126"/>
        <v>0</v>
      </c>
      <c r="L259" s="10">
        <f t="shared" si="126"/>
        <v>0</v>
      </c>
      <c r="M259" s="10">
        <f t="shared" si="126"/>
        <v>0</v>
      </c>
      <c r="N259" s="10">
        <f t="shared" si="126"/>
        <v>0</v>
      </c>
      <c r="O259" s="10">
        <f t="shared" si="126"/>
        <v>0</v>
      </c>
      <c r="P259" s="10">
        <f t="shared" si="126"/>
        <v>0</v>
      </c>
      <c r="Q259" s="6"/>
    </row>
    <row r="260" spans="1:17" s="11" customFormat="1" ht="61.5" hidden="1" customHeight="1" x14ac:dyDescent="0.25">
      <c r="A260" s="7"/>
      <c r="B260" s="8"/>
      <c r="C260" s="8"/>
      <c r="D260" s="9" t="s">
        <v>382</v>
      </c>
      <c r="E260" s="10">
        <f>E288</f>
        <v>0</v>
      </c>
      <c r="F260" s="10">
        <f t="shared" ref="F260:P260" si="127">F288</f>
        <v>0</v>
      </c>
      <c r="G260" s="10">
        <f t="shared" si="127"/>
        <v>0</v>
      </c>
      <c r="H260" s="10">
        <f t="shared" si="127"/>
        <v>0</v>
      </c>
      <c r="I260" s="10">
        <f t="shared" si="127"/>
        <v>0</v>
      </c>
      <c r="J260" s="10">
        <f t="shared" si="127"/>
        <v>0</v>
      </c>
      <c r="K260" s="10">
        <f t="shared" si="127"/>
        <v>0</v>
      </c>
      <c r="L260" s="10">
        <f t="shared" si="127"/>
        <v>0</v>
      </c>
      <c r="M260" s="10">
        <f t="shared" si="127"/>
        <v>0</v>
      </c>
      <c r="N260" s="10">
        <f t="shared" si="127"/>
        <v>0</v>
      </c>
      <c r="O260" s="10">
        <f t="shared" si="127"/>
        <v>0</v>
      </c>
      <c r="P260" s="10">
        <f t="shared" si="127"/>
        <v>0</v>
      </c>
      <c r="Q260" s="6"/>
    </row>
    <row r="261" spans="1:17" s="11" customFormat="1" ht="141.75" hidden="1" customHeight="1" x14ac:dyDescent="0.25">
      <c r="A261" s="7"/>
      <c r="B261" s="8"/>
      <c r="C261" s="8"/>
      <c r="D261" s="81" t="s">
        <v>545</v>
      </c>
      <c r="E261" s="10">
        <f>E277</f>
        <v>0</v>
      </c>
      <c r="F261" s="10">
        <f t="shared" ref="F261:P261" si="128">F277</f>
        <v>0</v>
      </c>
      <c r="G261" s="10">
        <f t="shared" si="128"/>
        <v>0</v>
      </c>
      <c r="H261" s="10">
        <f t="shared" si="128"/>
        <v>0</v>
      </c>
      <c r="I261" s="10">
        <f t="shared" si="128"/>
        <v>0</v>
      </c>
      <c r="J261" s="10">
        <f t="shared" si="128"/>
        <v>0</v>
      </c>
      <c r="K261" s="10">
        <f t="shared" si="128"/>
        <v>0</v>
      </c>
      <c r="L261" s="10">
        <f t="shared" si="128"/>
        <v>0</v>
      </c>
      <c r="M261" s="10">
        <f t="shared" si="128"/>
        <v>0</v>
      </c>
      <c r="N261" s="10">
        <f t="shared" si="128"/>
        <v>0</v>
      </c>
      <c r="O261" s="10">
        <f t="shared" si="128"/>
        <v>0</v>
      </c>
      <c r="P261" s="10">
        <f t="shared" si="128"/>
        <v>0</v>
      </c>
      <c r="Q261" s="6"/>
    </row>
    <row r="262" spans="1:17" s="11" customFormat="1" ht="15.75" hidden="1" customHeight="1" x14ac:dyDescent="0.25">
      <c r="A262" s="7"/>
      <c r="B262" s="8"/>
      <c r="C262" s="8"/>
      <c r="D262" s="9" t="s">
        <v>387</v>
      </c>
      <c r="E262" s="10">
        <f t="shared" ref="E262:P262" si="129">E290+E294</f>
        <v>0</v>
      </c>
      <c r="F262" s="10">
        <f t="shared" si="129"/>
        <v>0</v>
      </c>
      <c r="G262" s="10">
        <f t="shared" si="129"/>
        <v>0</v>
      </c>
      <c r="H262" s="10">
        <f t="shared" si="129"/>
        <v>0</v>
      </c>
      <c r="I262" s="10">
        <f t="shared" si="129"/>
        <v>0</v>
      </c>
      <c r="J262" s="10">
        <f t="shared" si="129"/>
        <v>0</v>
      </c>
      <c r="K262" s="10">
        <f t="shared" si="129"/>
        <v>0</v>
      </c>
      <c r="L262" s="10">
        <f t="shared" si="129"/>
        <v>0</v>
      </c>
      <c r="M262" s="10">
        <f t="shared" si="129"/>
        <v>0</v>
      </c>
      <c r="N262" s="10">
        <f t="shared" si="129"/>
        <v>0</v>
      </c>
      <c r="O262" s="10">
        <f t="shared" si="129"/>
        <v>0</v>
      </c>
      <c r="P262" s="10">
        <f t="shared" si="129"/>
        <v>0</v>
      </c>
      <c r="Q262" s="6"/>
    </row>
    <row r="263" spans="1:17" s="11" customFormat="1" ht="15.75" hidden="1" customHeight="1" x14ac:dyDescent="0.25">
      <c r="A263" s="7"/>
      <c r="B263" s="8"/>
      <c r="C263" s="8"/>
      <c r="D263" s="9" t="s">
        <v>407</v>
      </c>
      <c r="E263" s="10">
        <f>E306</f>
        <v>0</v>
      </c>
      <c r="F263" s="10">
        <f t="shared" ref="F263:P263" si="130">F306</f>
        <v>0</v>
      </c>
      <c r="G263" s="10">
        <f t="shared" si="130"/>
        <v>0</v>
      </c>
      <c r="H263" s="10">
        <f t="shared" si="130"/>
        <v>0</v>
      </c>
      <c r="I263" s="10">
        <f t="shared" si="130"/>
        <v>0</v>
      </c>
      <c r="J263" s="10">
        <f t="shared" si="130"/>
        <v>0</v>
      </c>
      <c r="K263" s="10">
        <f t="shared" si="130"/>
        <v>0</v>
      </c>
      <c r="L263" s="10">
        <f t="shared" si="130"/>
        <v>0</v>
      </c>
      <c r="M263" s="10">
        <f t="shared" si="130"/>
        <v>0</v>
      </c>
      <c r="N263" s="10">
        <f t="shared" si="130"/>
        <v>0</v>
      </c>
      <c r="O263" s="10">
        <f t="shared" si="130"/>
        <v>0</v>
      </c>
      <c r="P263" s="10">
        <f t="shared" si="130"/>
        <v>0</v>
      </c>
      <c r="Q263" s="6"/>
    </row>
    <row r="264" spans="1:17" s="11" customFormat="1" ht="111.75" hidden="1" customHeight="1" x14ac:dyDescent="0.25">
      <c r="A264" s="7"/>
      <c r="B264" s="8"/>
      <c r="C264" s="8"/>
      <c r="D264" s="9" t="s">
        <v>678</v>
      </c>
      <c r="E264" s="10">
        <f>E282</f>
        <v>0</v>
      </c>
      <c r="F264" s="10">
        <f t="shared" ref="F264:P264" si="131">F282</f>
        <v>0</v>
      </c>
      <c r="G264" s="10">
        <f t="shared" si="131"/>
        <v>0</v>
      </c>
      <c r="H264" s="10">
        <f t="shared" si="131"/>
        <v>0</v>
      </c>
      <c r="I264" s="10">
        <f t="shared" si="131"/>
        <v>0</v>
      </c>
      <c r="J264" s="10">
        <f t="shared" si="131"/>
        <v>0</v>
      </c>
      <c r="K264" s="10">
        <f t="shared" si="131"/>
        <v>0</v>
      </c>
      <c r="L264" s="10">
        <f t="shared" si="131"/>
        <v>0</v>
      </c>
      <c r="M264" s="10">
        <f t="shared" si="131"/>
        <v>0</v>
      </c>
      <c r="N264" s="10">
        <f t="shared" si="131"/>
        <v>0</v>
      </c>
      <c r="O264" s="10">
        <f t="shared" si="131"/>
        <v>0</v>
      </c>
      <c r="P264" s="10">
        <f t="shared" si="131"/>
        <v>0</v>
      </c>
      <c r="Q264" s="6"/>
    </row>
    <row r="265" spans="1:17" s="11" customFormat="1" ht="63" hidden="1" customHeight="1" x14ac:dyDescent="0.25">
      <c r="A265" s="7"/>
      <c r="B265" s="8"/>
      <c r="C265" s="8"/>
      <c r="D265" s="9" t="str">
        <f>D298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65" s="10">
        <f>E297</f>
        <v>0</v>
      </c>
      <c r="F265" s="10">
        <f t="shared" ref="F265:P265" si="132">F297</f>
        <v>0</v>
      </c>
      <c r="G265" s="10">
        <f t="shared" si="132"/>
        <v>0</v>
      </c>
      <c r="H265" s="10">
        <f t="shared" si="132"/>
        <v>0</v>
      </c>
      <c r="I265" s="10">
        <f t="shared" si="132"/>
        <v>0</v>
      </c>
      <c r="J265" s="10">
        <f t="shared" si="132"/>
        <v>0</v>
      </c>
      <c r="K265" s="10">
        <f t="shared" si="132"/>
        <v>0</v>
      </c>
      <c r="L265" s="10">
        <f t="shared" si="132"/>
        <v>0</v>
      </c>
      <c r="M265" s="10">
        <f t="shared" si="132"/>
        <v>0</v>
      </c>
      <c r="N265" s="10">
        <f t="shared" si="132"/>
        <v>0</v>
      </c>
      <c r="O265" s="10">
        <f t="shared" si="132"/>
        <v>0</v>
      </c>
      <c r="P265" s="10">
        <f t="shared" si="132"/>
        <v>0</v>
      </c>
      <c r="Q265" s="6"/>
    </row>
    <row r="266" spans="1:17" s="11" customFormat="1" ht="118.5" customHeight="1" x14ac:dyDescent="0.25">
      <c r="A266" s="7"/>
      <c r="B266" s="8"/>
      <c r="C266" s="8"/>
      <c r="D266" s="9" t="s">
        <v>730</v>
      </c>
      <c r="E266" s="10">
        <f>E303</f>
        <v>0</v>
      </c>
      <c r="F266" s="10">
        <f t="shared" ref="F266:P266" si="133">F303</f>
        <v>0</v>
      </c>
      <c r="G266" s="10">
        <f t="shared" si="133"/>
        <v>0</v>
      </c>
      <c r="H266" s="10">
        <f t="shared" si="133"/>
        <v>0</v>
      </c>
      <c r="I266" s="10">
        <f t="shared" si="133"/>
        <v>0</v>
      </c>
      <c r="J266" s="10">
        <f t="shared" si="133"/>
        <v>15622974</v>
      </c>
      <c r="K266" s="10">
        <f t="shared" si="133"/>
        <v>0</v>
      </c>
      <c r="L266" s="10">
        <f t="shared" si="133"/>
        <v>0</v>
      </c>
      <c r="M266" s="10">
        <f t="shared" si="133"/>
        <v>0</v>
      </c>
      <c r="N266" s="10">
        <f t="shared" si="133"/>
        <v>0</v>
      </c>
      <c r="O266" s="10">
        <f t="shared" si="133"/>
        <v>15622974</v>
      </c>
      <c r="P266" s="10">
        <f t="shared" si="133"/>
        <v>15622974</v>
      </c>
      <c r="Q266" s="6"/>
    </row>
    <row r="267" spans="1:17" s="125" customFormat="1" ht="47.25" x14ac:dyDescent="0.25">
      <c r="A267" s="1" t="s">
        <v>193</v>
      </c>
      <c r="B267" s="1" t="str">
        <f>'дод 7'!A17</f>
        <v>0160</v>
      </c>
      <c r="C267" s="1" t="str">
        <f>'дод 7'!B17</f>
        <v>0111</v>
      </c>
      <c r="D267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267" s="2">
        <f t="shared" ref="E267:E318" si="134">F267+I267</f>
        <v>18028900</v>
      </c>
      <c r="F267" s="2">
        <v>18028900</v>
      </c>
      <c r="G267" s="2">
        <v>13887400</v>
      </c>
      <c r="H267" s="2">
        <v>453500</v>
      </c>
      <c r="I267" s="2"/>
      <c r="J267" s="2">
        <f>L267+O267</f>
        <v>0</v>
      </c>
      <c r="K267" s="2"/>
      <c r="L267" s="2"/>
      <c r="M267" s="2"/>
      <c r="N267" s="2"/>
      <c r="O267" s="2"/>
      <c r="P267" s="2">
        <f t="shared" ref="P267:P319" si="135">E267+J267</f>
        <v>18028900</v>
      </c>
      <c r="Q267" s="6"/>
    </row>
    <row r="268" spans="1:17" s="125" customFormat="1" ht="23.25" hidden="1" customHeight="1" x14ac:dyDescent="0.25">
      <c r="A268" s="1" t="s">
        <v>504</v>
      </c>
      <c r="B268" s="1" t="s">
        <v>44</v>
      </c>
      <c r="C268" s="1" t="s">
        <v>92</v>
      </c>
      <c r="D268" s="67" t="s">
        <v>239</v>
      </c>
      <c r="E268" s="2">
        <f t="shared" si="134"/>
        <v>0</v>
      </c>
      <c r="F268" s="2"/>
      <c r="G268" s="2"/>
      <c r="H268" s="2"/>
      <c r="I268" s="2"/>
      <c r="J268" s="2">
        <f>L268+O268</f>
        <v>0</v>
      </c>
      <c r="K268" s="2"/>
      <c r="L268" s="2"/>
      <c r="M268" s="2"/>
      <c r="N268" s="2"/>
      <c r="O268" s="2"/>
      <c r="P268" s="2">
        <f t="shared" si="135"/>
        <v>0</v>
      </c>
      <c r="Q268" s="6"/>
    </row>
    <row r="269" spans="1:17" s="125" customFormat="1" ht="19.5" customHeight="1" x14ac:dyDescent="0.25">
      <c r="A269" s="1" t="s">
        <v>296</v>
      </c>
      <c r="B269" s="3" t="str">
        <f>'дод 7'!A144</f>
        <v>3210</v>
      </c>
      <c r="C269" s="3" t="str">
        <f>'дод 7'!B144</f>
        <v>1050</v>
      </c>
      <c r="D269" s="63" t="str">
        <f>'дод 7'!C144</f>
        <v>Організація та проведення громадських робіт</v>
      </c>
      <c r="E269" s="2">
        <f t="shared" si="134"/>
        <v>100000</v>
      </c>
      <c r="F269" s="2">
        <v>100000</v>
      </c>
      <c r="G269" s="2"/>
      <c r="H269" s="2"/>
      <c r="I269" s="2"/>
      <c r="J269" s="2">
        <f t="shared" ref="J269:J319" si="136">L269+O269</f>
        <v>0</v>
      </c>
      <c r="K269" s="2"/>
      <c r="L269" s="2"/>
      <c r="M269" s="2"/>
      <c r="N269" s="2"/>
      <c r="O269" s="2"/>
      <c r="P269" s="2">
        <f t="shared" si="135"/>
        <v>100000</v>
      </c>
      <c r="Q269" s="6"/>
    </row>
    <row r="270" spans="1:17" s="125" customFormat="1" ht="33.75" hidden="1" customHeight="1" x14ac:dyDescent="0.25">
      <c r="A270" s="1" t="s">
        <v>194</v>
      </c>
      <c r="B270" s="3" t="str">
        <f>'дод 7'!A170</f>
        <v>6011</v>
      </c>
      <c r="C270" s="3" t="str">
        <f>'дод 7'!B170</f>
        <v>0610</v>
      </c>
      <c r="D270" s="63" t="str">
        <f>'дод 7'!C170</f>
        <v>Експлуатація та технічне обслуговування житлового фонду</v>
      </c>
      <c r="E270" s="2">
        <f t="shared" si="134"/>
        <v>0</v>
      </c>
      <c r="F270" s="2"/>
      <c r="G270" s="2"/>
      <c r="H270" s="2"/>
      <c r="I270" s="2"/>
      <c r="J270" s="2">
        <f t="shared" si="136"/>
        <v>0</v>
      </c>
      <c r="K270" s="2"/>
      <c r="L270" s="2"/>
      <c r="M270" s="2"/>
      <c r="N270" s="2"/>
      <c r="O270" s="2"/>
      <c r="P270" s="2">
        <f t="shared" si="135"/>
        <v>0</v>
      </c>
      <c r="Q270" s="6"/>
    </row>
    <row r="271" spans="1:17" s="125" customFormat="1" ht="31.5" x14ac:dyDescent="0.25">
      <c r="A271" s="1" t="s">
        <v>195</v>
      </c>
      <c r="B271" s="3" t="str">
        <f>'дод 7'!A171</f>
        <v>6013</v>
      </c>
      <c r="C271" s="3" t="str">
        <f>'дод 7'!B171</f>
        <v>0620</v>
      </c>
      <c r="D271" s="63" t="str">
        <f>'дод 7'!C171</f>
        <v>Забезпечення діяльності водопровідно-каналізаційного господарства</v>
      </c>
      <c r="E271" s="2">
        <f t="shared" si="134"/>
        <v>30685000</v>
      </c>
      <c r="F271" s="2">
        <v>685000</v>
      </c>
      <c r="G271" s="2"/>
      <c r="H271" s="2"/>
      <c r="I271" s="2">
        <v>30000000</v>
      </c>
      <c r="J271" s="2">
        <f t="shared" si="136"/>
        <v>0</v>
      </c>
      <c r="K271" s="2"/>
      <c r="L271" s="2"/>
      <c r="M271" s="2"/>
      <c r="N271" s="2"/>
      <c r="O271" s="2"/>
      <c r="P271" s="2">
        <f t="shared" si="135"/>
        <v>30685000</v>
      </c>
      <c r="Q271" s="6"/>
    </row>
    <row r="272" spans="1:17" s="125" customFormat="1" ht="22.5" hidden="1" customHeight="1" x14ac:dyDescent="0.25">
      <c r="A272" s="1" t="s">
        <v>588</v>
      </c>
      <c r="B272" s="3">
        <f>'дод 7'!A172</f>
        <v>6014</v>
      </c>
      <c r="C272" s="3" t="str">
        <f>'дод 7'!B172</f>
        <v>0620</v>
      </c>
      <c r="D272" s="90" t="str">
        <f>'дод 7'!C172</f>
        <v>Забезпечення збору та вивезення сміття і відходів</v>
      </c>
      <c r="E272" s="2">
        <f t="shared" ref="E272" si="137">F272+I272</f>
        <v>0</v>
      </c>
      <c r="F272" s="2"/>
      <c r="G272" s="2"/>
      <c r="H272" s="2"/>
      <c r="I272" s="2"/>
      <c r="J272" s="2">
        <f t="shared" si="136"/>
        <v>0</v>
      </c>
      <c r="K272" s="2"/>
      <c r="L272" s="2"/>
      <c r="M272" s="2"/>
      <c r="N272" s="2"/>
      <c r="O272" s="2"/>
      <c r="P272" s="2">
        <f t="shared" ref="P272" si="138">E272+J272</f>
        <v>0</v>
      </c>
      <c r="Q272" s="6"/>
    </row>
    <row r="273" spans="1:17" s="125" customFormat="1" ht="33" hidden="1" customHeight="1" x14ac:dyDescent="0.25">
      <c r="A273" s="1" t="s">
        <v>256</v>
      </c>
      <c r="B273" s="3" t="str">
        <f>'дод 7'!A173</f>
        <v>6015</v>
      </c>
      <c r="C273" s="3" t="str">
        <f>'дод 7'!B173</f>
        <v>0620</v>
      </c>
      <c r="D273" s="63" t="str">
        <f>'дод 7'!C173</f>
        <v>Забезпечення надійної та безперебійної експлуатації ліфтів</v>
      </c>
      <c r="E273" s="2">
        <f t="shared" si="134"/>
        <v>0</v>
      </c>
      <c r="F273" s="2"/>
      <c r="G273" s="2"/>
      <c r="H273" s="2"/>
      <c r="I273" s="2"/>
      <c r="J273" s="2">
        <f t="shared" si="136"/>
        <v>0</v>
      </c>
      <c r="K273" s="2"/>
      <c r="L273" s="2"/>
      <c r="M273" s="2"/>
      <c r="N273" s="2"/>
      <c r="O273" s="138"/>
      <c r="P273" s="2">
        <f t="shared" si="135"/>
        <v>0</v>
      </c>
      <c r="Q273" s="6"/>
    </row>
    <row r="274" spans="1:17" s="125" customFormat="1" ht="32.25" customHeight="1" x14ac:dyDescent="0.25">
      <c r="A274" s="1" t="s">
        <v>259</v>
      </c>
      <c r="B274" s="3" t="str">
        <f>'дод 7'!A174</f>
        <v>6017</v>
      </c>
      <c r="C274" s="3" t="str">
        <f>'дод 7'!B174</f>
        <v>0620</v>
      </c>
      <c r="D274" s="63" t="str">
        <f>'дод 7'!C174</f>
        <v>Інша діяльність, пов’язана з експлуатацією об’єктів житлово-комунального господарства</v>
      </c>
      <c r="E274" s="2">
        <f t="shared" si="134"/>
        <v>400000</v>
      </c>
      <c r="F274" s="2">
        <v>400000</v>
      </c>
      <c r="G274" s="2"/>
      <c r="H274" s="2"/>
      <c r="I274" s="2"/>
      <c r="J274" s="2">
        <f t="shared" si="136"/>
        <v>0</v>
      </c>
      <c r="K274" s="2"/>
      <c r="L274" s="2"/>
      <c r="M274" s="2"/>
      <c r="N274" s="2"/>
      <c r="O274" s="2"/>
      <c r="P274" s="2">
        <f t="shared" si="135"/>
        <v>400000</v>
      </c>
      <c r="Q274" s="6"/>
    </row>
    <row r="275" spans="1:17" s="125" customFormat="1" ht="63.75" customHeight="1" x14ac:dyDescent="0.25">
      <c r="A275" s="1" t="s">
        <v>196</v>
      </c>
      <c r="B275" s="3" t="str">
        <f>'дод 7'!A175</f>
        <v>6020</v>
      </c>
      <c r="C275" s="3" t="str">
        <f>'дод 7'!B175</f>
        <v>0620</v>
      </c>
      <c r="D275" s="63" t="str">
        <f>'дод 7'!C175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5" s="2">
        <f t="shared" si="134"/>
        <v>600000</v>
      </c>
      <c r="G275" s="2"/>
      <c r="H275" s="2"/>
      <c r="I275" s="2">
        <f>400000+200000</f>
        <v>600000</v>
      </c>
      <c r="J275" s="2">
        <f t="shared" si="136"/>
        <v>0</v>
      </c>
      <c r="K275" s="2"/>
      <c r="L275" s="2"/>
      <c r="M275" s="2"/>
      <c r="N275" s="2"/>
      <c r="O275" s="2"/>
      <c r="P275" s="2">
        <f t="shared" si="135"/>
        <v>600000</v>
      </c>
      <c r="Q275" s="6"/>
    </row>
    <row r="276" spans="1:17" s="125" customFormat="1" ht="24.75" customHeight="1" x14ac:dyDescent="0.25">
      <c r="A276" s="1" t="s">
        <v>197</v>
      </c>
      <c r="B276" s="3" t="str">
        <f>'дод 7'!A176</f>
        <v>6030</v>
      </c>
      <c r="C276" s="3" t="str">
        <f>'дод 7'!B176</f>
        <v>0620</v>
      </c>
      <c r="D276" s="63" t="str">
        <f>'дод 7'!C176</f>
        <v>Організація благоустрою населених пунктів</v>
      </c>
      <c r="E276" s="2">
        <f t="shared" si="134"/>
        <v>243225000</v>
      </c>
      <c r="F276" s="2">
        <f>261435000-500000-1000000+3100000-20000000-14715000+5000000-200000-870000+10000000-95000</f>
        <v>242155000</v>
      </c>
      <c r="G276" s="2"/>
      <c r="H276" s="2">
        <f>43000000+380000</f>
        <v>43380000</v>
      </c>
      <c r="I276" s="2">
        <f>200000+870000</f>
        <v>1070000</v>
      </c>
      <c r="J276" s="2">
        <f t="shared" si="136"/>
        <v>0</v>
      </c>
      <c r="K276" s="2"/>
      <c r="L276" s="2"/>
      <c r="M276" s="2"/>
      <c r="N276" s="2"/>
      <c r="O276" s="2"/>
      <c r="P276" s="2">
        <f t="shared" si="135"/>
        <v>243225000</v>
      </c>
      <c r="Q276" s="6"/>
    </row>
    <row r="277" spans="1:17" s="125" customFormat="1" ht="99.75" hidden="1" customHeight="1" x14ac:dyDescent="0.25">
      <c r="A277" s="1" t="s">
        <v>542</v>
      </c>
      <c r="B277" s="3">
        <v>6083</v>
      </c>
      <c r="C277" s="1" t="s">
        <v>67</v>
      </c>
      <c r="D277" s="67" t="s">
        <v>422</v>
      </c>
      <c r="E277" s="2">
        <f t="shared" si="134"/>
        <v>0</v>
      </c>
      <c r="F277" s="2"/>
      <c r="G277" s="2"/>
      <c r="H277" s="2"/>
      <c r="I277" s="2"/>
      <c r="J277" s="2">
        <f t="shared" si="136"/>
        <v>0</v>
      </c>
      <c r="K277" s="2"/>
      <c r="L277" s="2"/>
      <c r="M277" s="2"/>
      <c r="N277" s="2"/>
      <c r="O277" s="2"/>
      <c r="P277" s="2">
        <f t="shared" si="135"/>
        <v>0</v>
      </c>
      <c r="Q277" s="6"/>
    </row>
    <row r="278" spans="1:17" s="125" customFormat="1" ht="141.75" hidden="1" customHeight="1" x14ac:dyDescent="0.25">
      <c r="A278" s="66"/>
      <c r="B278" s="53"/>
      <c r="C278" s="66"/>
      <c r="D278" s="82" t="s">
        <v>545</v>
      </c>
      <c r="E278" s="2">
        <f t="shared" si="134"/>
        <v>0</v>
      </c>
      <c r="F278" s="16"/>
      <c r="G278" s="16"/>
      <c r="H278" s="16"/>
      <c r="I278" s="16"/>
      <c r="J278" s="2">
        <f t="shared" si="136"/>
        <v>0</v>
      </c>
      <c r="K278" s="16"/>
      <c r="L278" s="16"/>
      <c r="M278" s="16"/>
      <c r="N278" s="16"/>
      <c r="O278" s="16"/>
      <c r="P278" s="2">
        <f t="shared" si="135"/>
        <v>0</v>
      </c>
      <c r="Q278" s="6"/>
    </row>
    <row r="279" spans="1:17" s="125" customFormat="1" ht="94.5" hidden="1" customHeight="1" x14ac:dyDescent="0.25">
      <c r="A279" s="1" t="s">
        <v>552</v>
      </c>
      <c r="B279" s="3">
        <v>6071</v>
      </c>
      <c r="C279" s="1" t="s">
        <v>306</v>
      </c>
      <c r="D279" s="63" t="str">
        <f>'дод 7'!C177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9" s="2">
        <f t="shared" si="134"/>
        <v>0</v>
      </c>
      <c r="G279" s="2"/>
      <c r="H279" s="2"/>
      <c r="I279" s="2"/>
      <c r="J279" s="2">
        <f t="shared" si="136"/>
        <v>0</v>
      </c>
      <c r="K279" s="2"/>
      <c r="L279" s="2"/>
      <c r="M279" s="2"/>
      <c r="N279" s="2"/>
      <c r="O279" s="2"/>
      <c r="P279" s="2">
        <f t="shared" si="135"/>
        <v>0</v>
      </c>
      <c r="Q279" s="6"/>
    </row>
    <row r="280" spans="1:17" s="125" customFormat="1" ht="30" customHeight="1" x14ac:dyDescent="0.25">
      <c r="A280" s="1" t="s">
        <v>249</v>
      </c>
      <c r="B280" s="3" t="str">
        <f>'дод 7'!A181</f>
        <v>6090</v>
      </c>
      <c r="C280" s="3" t="str">
        <f>'дод 7'!B181</f>
        <v>0640</v>
      </c>
      <c r="D280" s="63" t="str">
        <f>'дод 7'!C181</f>
        <v>Інша діяльність у сфері житлово-комунального господарства</v>
      </c>
      <c r="E280" s="2">
        <f t="shared" si="134"/>
        <v>8300120</v>
      </c>
      <c r="F280" s="2">
        <f>8549120-200000-920000-49000</f>
        <v>7380120</v>
      </c>
      <c r="G280" s="2"/>
      <c r="H280" s="2">
        <v>5000</v>
      </c>
      <c r="I280" s="2">
        <v>920000</v>
      </c>
      <c r="J280" s="2">
        <f t="shared" ref="J280" si="139">L280+O280</f>
        <v>0</v>
      </c>
      <c r="K280" s="2"/>
      <c r="L280" s="2"/>
      <c r="M280" s="2"/>
      <c r="N280" s="2"/>
      <c r="O280" s="2"/>
      <c r="P280" s="2">
        <f t="shared" si="135"/>
        <v>8300120</v>
      </c>
      <c r="Q280" s="6"/>
    </row>
    <row r="281" spans="1:17" s="125" customFormat="1" ht="31.5" x14ac:dyDescent="0.25">
      <c r="A281" s="1" t="s">
        <v>268</v>
      </c>
      <c r="B281" s="3" t="str">
        <f>'дод 7'!A195</f>
        <v>7310</v>
      </c>
      <c r="C281" s="3" t="str">
        <f>'дод 7'!B195</f>
        <v>0443</v>
      </c>
      <c r="D281" s="4" t="str">
        <f>'дод 7'!C195</f>
        <v>Будівництво1 об'єктів житлово-комунального господарства</v>
      </c>
      <c r="E281" s="2">
        <f t="shared" si="134"/>
        <v>0</v>
      </c>
      <c r="F281" s="2"/>
      <c r="G281" s="2"/>
      <c r="H281" s="2"/>
      <c r="I281" s="2"/>
      <c r="J281" s="2">
        <f t="shared" si="136"/>
        <v>11616100</v>
      </c>
      <c r="K281" s="2">
        <f>21637100-70000-10000000+49000</f>
        <v>11616100</v>
      </c>
      <c r="L281" s="2"/>
      <c r="M281" s="2"/>
      <c r="N281" s="2"/>
      <c r="O281" s="2">
        <f>21637100-70000-10000000+49000</f>
        <v>11616100</v>
      </c>
      <c r="P281" s="2">
        <f t="shared" si="135"/>
        <v>11616100</v>
      </c>
      <c r="Q281" s="6"/>
    </row>
    <row r="282" spans="1:17" s="5" customFormat="1" ht="110.25" hidden="1" x14ac:dyDescent="0.25">
      <c r="A282" s="66"/>
      <c r="B282" s="53"/>
      <c r="C282" s="53"/>
      <c r="D282" s="73" t="s">
        <v>678</v>
      </c>
      <c r="E282" s="16">
        <f t="shared" si="134"/>
        <v>0</v>
      </c>
      <c r="F282" s="16"/>
      <c r="G282" s="16"/>
      <c r="H282" s="16"/>
      <c r="I282" s="16"/>
      <c r="J282" s="16">
        <f t="shared" si="136"/>
        <v>0</v>
      </c>
      <c r="K282" s="16"/>
      <c r="L282" s="16"/>
      <c r="M282" s="16"/>
      <c r="N282" s="16"/>
      <c r="O282" s="16"/>
      <c r="P282" s="16">
        <f t="shared" si="135"/>
        <v>0</v>
      </c>
      <c r="Q282" s="6"/>
    </row>
    <row r="283" spans="1:17" s="125" customFormat="1" ht="30.75" customHeight="1" x14ac:dyDescent="0.25">
      <c r="A283" s="1" t="s">
        <v>270</v>
      </c>
      <c r="B283" s="3" t="str">
        <f>'дод 7'!A203</f>
        <v>7330</v>
      </c>
      <c r="C283" s="3" t="str">
        <f>'дод 7'!B203</f>
        <v>0443</v>
      </c>
      <c r="D283" s="4" t="str">
        <f>'дод 7'!C203</f>
        <v>Будівництво1 інших об'єктів комунальної власності</v>
      </c>
      <c r="E283" s="2">
        <f t="shared" si="134"/>
        <v>0</v>
      </c>
      <c r="F283" s="2"/>
      <c r="G283" s="2"/>
      <c r="H283" s="2"/>
      <c r="I283" s="2"/>
      <c r="J283" s="2">
        <f>L283+O283</f>
        <v>11400000</v>
      </c>
      <c r="K283" s="2">
        <f>10000000+1400000</f>
        <v>11400000</v>
      </c>
      <c r="L283" s="2"/>
      <c r="M283" s="2"/>
      <c r="N283" s="2"/>
      <c r="O283" s="2">
        <f>10000000+1400000</f>
        <v>11400000</v>
      </c>
      <c r="P283" s="2">
        <f t="shared" si="135"/>
        <v>11400000</v>
      </c>
      <c r="Q283" s="6"/>
    </row>
    <row r="284" spans="1:17" s="125" customFormat="1" ht="33" hidden="1" customHeight="1" x14ac:dyDescent="0.25">
      <c r="A284" s="1" t="s">
        <v>198</v>
      </c>
      <c r="B284" s="3">
        <v>7340</v>
      </c>
      <c r="C284" s="3" t="str">
        <f>'дод 7'!B202</f>
        <v>0443</v>
      </c>
      <c r="D284" s="63" t="str">
        <f>'дод 7'!C204</f>
        <v>Проектування, реставрація та охорона пам'яток архітектури</v>
      </c>
      <c r="E284" s="2">
        <f t="shared" ref="E284:E296" si="140">F284+I284</f>
        <v>0</v>
      </c>
      <c r="F284" s="2"/>
      <c r="G284" s="2"/>
      <c r="H284" s="2"/>
      <c r="I284" s="2"/>
      <c r="J284" s="2">
        <f>L284+O284</f>
        <v>0</v>
      </c>
      <c r="K284" s="2"/>
      <c r="L284" s="2"/>
      <c r="M284" s="2"/>
      <c r="N284" s="2"/>
      <c r="O284" s="2"/>
      <c r="P284" s="2">
        <f t="shared" ref="P284:P296" si="141">E284+J284</f>
        <v>0</v>
      </c>
      <c r="Q284" s="6"/>
    </row>
    <row r="285" spans="1:17" s="125" customFormat="1" ht="49.5" hidden="1" customHeight="1" x14ac:dyDescent="0.25">
      <c r="A285" s="1" t="s">
        <v>364</v>
      </c>
      <c r="B285" s="3">
        <f>'дод 7'!A206</f>
        <v>7361</v>
      </c>
      <c r="C285" s="3" t="str">
        <f>'дод 7'!B206</f>
        <v>0490</v>
      </c>
      <c r="D285" s="63" t="str">
        <f>'дод 7'!C206</f>
        <v>Співфінансування інвестиційних проектів, що реалізуються за рахунок коштів державного фонду регіонального розвитку</v>
      </c>
      <c r="E285" s="2">
        <f t="shared" si="140"/>
        <v>0</v>
      </c>
      <c r="F285" s="2"/>
      <c r="G285" s="2"/>
      <c r="H285" s="2"/>
      <c r="I285" s="2"/>
      <c r="J285" s="2">
        <f t="shared" ref="J285:J296" si="142">L285+O285</f>
        <v>0</v>
      </c>
      <c r="K285" s="2"/>
      <c r="L285" s="2"/>
      <c r="M285" s="2"/>
      <c r="N285" s="2"/>
      <c r="O285" s="2"/>
      <c r="P285" s="2">
        <f t="shared" si="141"/>
        <v>0</v>
      </c>
      <c r="Q285" s="6"/>
    </row>
    <row r="286" spans="1:17" s="125" customFormat="1" ht="30" hidden="1" customHeight="1" x14ac:dyDescent="0.25">
      <c r="A286" s="1">
        <v>1217362</v>
      </c>
      <c r="B286" s="3">
        <f>'дод 7'!A207</f>
        <v>7362</v>
      </c>
      <c r="C286" s="3" t="str">
        <f>'дод 7'!B207</f>
        <v>0490</v>
      </c>
      <c r="D286" s="63" t="str">
        <f>'дод 7'!C207</f>
        <v>Виконання інвестиційних проектів в рамках підтримки розвитку об'єднаних територіальних громад</v>
      </c>
      <c r="E286" s="2">
        <f t="shared" si="140"/>
        <v>0</v>
      </c>
      <c r="F286" s="2"/>
      <c r="G286" s="2"/>
      <c r="H286" s="2"/>
      <c r="I286" s="2"/>
      <c r="J286" s="2">
        <f t="shared" si="142"/>
        <v>0</v>
      </c>
      <c r="K286" s="2"/>
      <c r="L286" s="2"/>
      <c r="M286" s="2"/>
      <c r="N286" s="2"/>
      <c r="O286" s="2"/>
      <c r="P286" s="2">
        <f t="shared" si="141"/>
        <v>0</v>
      </c>
      <c r="Q286" s="6"/>
    </row>
    <row r="287" spans="1:17" s="125" customFormat="1" ht="56.25" hidden="1" customHeight="1" x14ac:dyDescent="0.25">
      <c r="A287" s="1" t="s">
        <v>362</v>
      </c>
      <c r="B287" s="3">
        <v>7363</v>
      </c>
      <c r="C287" s="49" t="s">
        <v>81</v>
      </c>
      <c r="D287" s="63" t="s">
        <v>571</v>
      </c>
      <c r="E287" s="2">
        <f t="shared" si="140"/>
        <v>0</v>
      </c>
      <c r="F287" s="2"/>
      <c r="G287" s="2"/>
      <c r="H287" s="2"/>
      <c r="I287" s="2"/>
      <c r="J287" s="2">
        <f t="shared" si="142"/>
        <v>0</v>
      </c>
      <c r="K287" s="2"/>
      <c r="L287" s="2"/>
      <c r="M287" s="2"/>
      <c r="N287" s="2"/>
      <c r="O287" s="2"/>
      <c r="P287" s="2">
        <f t="shared" si="141"/>
        <v>0</v>
      </c>
      <c r="Q287" s="6"/>
    </row>
    <row r="288" spans="1:17" s="5" customFormat="1" ht="50.25" hidden="1" customHeight="1" x14ac:dyDescent="0.25">
      <c r="A288" s="66"/>
      <c r="B288" s="53"/>
      <c r="C288" s="53"/>
      <c r="D288" s="64" t="s">
        <v>382</v>
      </c>
      <c r="E288" s="2">
        <f t="shared" si="140"/>
        <v>0</v>
      </c>
      <c r="F288" s="16"/>
      <c r="G288" s="16"/>
      <c r="H288" s="16"/>
      <c r="I288" s="16"/>
      <c r="J288" s="2">
        <f t="shared" si="142"/>
        <v>0</v>
      </c>
      <c r="K288" s="16"/>
      <c r="L288" s="16"/>
      <c r="M288" s="16"/>
      <c r="N288" s="16"/>
      <c r="O288" s="16"/>
      <c r="P288" s="2">
        <f t="shared" si="141"/>
        <v>0</v>
      </c>
      <c r="Q288" s="6"/>
    </row>
    <row r="289" spans="1:17" s="5" customFormat="1" ht="31.5" hidden="1" customHeight="1" x14ac:dyDescent="0.25">
      <c r="A289" s="1" t="s">
        <v>534</v>
      </c>
      <c r="B289" s="3">
        <v>7368</v>
      </c>
      <c r="C289" s="49" t="s">
        <v>81</v>
      </c>
      <c r="D289" s="63" t="s">
        <v>535</v>
      </c>
      <c r="E289" s="2">
        <f t="shared" si="140"/>
        <v>0</v>
      </c>
      <c r="F289" s="16"/>
      <c r="G289" s="16"/>
      <c r="H289" s="16"/>
      <c r="I289" s="16"/>
      <c r="J289" s="2">
        <f t="shared" si="142"/>
        <v>0</v>
      </c>
      <c r="K289" s="2"/>
      <c r="L289" s="2"/>
      <c r="M289" s="2"/>
      <c r="N289" s="2"/>
      <c r="O289" s="2"/>
      <c r="P289" s="2">
        <f t="shared" si="141"/>
        <v>0</v>
      </c>
      <c r="Q289" s="6"/>
    </row>
    <row r="290" spans="1:17" s="5" customFormat="1" ht="15.75" hidden="1" customHeight="1" x14ac:dyDescent="0.25">
      <c r="A290" s="66"/>
      <c r="B290" s="53"/>
      <c r="C290" s="53"/>
      <c r="D290" s="64" t="s">
        <v>387</v>
      </c>
      <c r="E290" s="2">
        <f t="shared" si="140"/>
        <v>0</v>
      </c>
      <c r="F290" s="16"/>
      <c r="G290" s="16"/>
      <c r="H290" s="16"/>
      <c r="I290" s="16"/>
      <c r="J290" s="2">
        <f t="shared" si="142"/>
        <v>0</v>
      </c>
      <c r="K290" s="16"/>
      <c r="L290" s="16"/>
      <c r="M290" s="16"/>
      <c r="N290" s="16"/>
      <c r="O290" s="16"/>
      <c r="P290" s="2">
        <f t="shared" si="141"/>
        <v>0</v>
      </c>
      <c r="Q290" s="6"/>
    </row>
    <row r="291" spans="1:17" s="5" customFormat="1" ht="110.25" hidden="1" customHeight="1" x14ac:dyDescent="0.25">
      <c r="A291" s="66"/>
      <c r="B291" s="53"/>
      <c r="C291" s="53"/>
      <c r="D291" s="64" t="s">
        <v>389</v>
      </c>
      <c r="E291" s="2">
        <f t="shared" si="140"/>
        <v>0</v>
      </c>
      <c r="F291" s="16"/>
      <c r="G291" s="16"/>
      <c r="H291" s="16"/>
      <c r="I291" s="16"/>
      <c r="J291" s="2">
        <f t="shared" si="142"/>
        <v>0</v>
      </c>
      <c r="K291" s="16"/>
      <c r="L291" s="16"/>
      <c r="M291" s="16"/>
      <c r="N291" s="16"/>
      <c r="O291" s="16"/>
      <c r="P291" s="2">
        <f t="shared" si="141"/>
        <v>0</v>
      </c>
      <c r="Q291" s="6"/>
    </row>
    <row r="292" spans="1:17" s="5" customFormat="1" ht="87" hidden="1" customHeight="1" x14ac:dyDescent="0.25">
      <c r="A292" s="66"/>
      <c r="B292" s="53"/>
      <c r="C292" s="66"/>
      <c r="D292" s="64" t="s">
        <v>501</v>
      </c>
      <c r="E292" s="2">
        <f t="shared" si="140"/>
        <v>0</v>
      </c>
      <c r="F292" s="16"/>
      <c r="G292" s="16"/>
      <c r="H292" s="16"/>
      <c r="I292" s="16"/>
      <c r="J292" s="2">
        <f t="shared" si="142"/>
        <v>0</v>
      </c>
      <c r="K292" s="16"/>
      <c r="L292" s="16"/>
      <c r="M292" s="16"/>
      <c r="N292" s="16"/>
      <c r="O292" s="16"/>
      <c r="P292" s="2">
        <f t="shared" si="141"/>
        <v>0</v>
      </c>
      <c r="Q292" s="6"/>
    </row>
    <row r="293" spans="1:17" s="5" customFormat="1" ht="63.75" hidden="1" customHeight="1" x14ac:dyDescent="0.25">
      <c r="A293" s="1" t="s">
        <v>532</v>
      </c>
      <c r="B293" s="3">
        <v>7463</v>
      </c>
      <c r="C293" s="1" t="s">
        <v>392</v>
      </c>
      <c r="D293" s="90" t="s">
        <v>533</v>
      </c>
      <c r="E293" s="2">
        <f t="shared" si="140"/>
        <v>0</v>
      </c>
      <c r="F293" s="2"/>
      <c r="G293" s="16"/>
      <c r="H293" s="16"/>
      <c r="I293" s="16"/>
      <c r="J293" s="2">
        <f t="shared" si="142"/>
        <v>0</v>
      </c>
      <c r="K293" s="16"/>
      <c r="L293" s="16"/>
      <c r="M293" s="16"/>
      <c r="N293" s="16"/>
      <c r="O293" s="16"/>
      <c r="P293" s="2">
        <f t="shared" si="141"/>
        <v>0</v>
      </c>
      <c r="Q293" s="6"/>
    </row>
    <row r="294" spans="1:17" s="5" customFormat="1" ht="15.75" hidden="1" customHeight="1" x14ac:dyDescent="0.25">
      <c r="A294" s="66"/>
      <c r="B294" s="53"/>
      <c r="C294" s="66"/>
      <c r="D294" s="64" t="s">
        <v>387</v>
      </c>
      <c r="E294" s="2">
        <f t="shared" si="140"/>
        <v>0</v>
      </c>
      <c r="F294" s="16"/>
      <c r="G294" s="16"/>
      <c r="H294" s="16"/>
      <c r="I294" s="16"/>
      <c r="J294" s="2">
        <f t="shared" si="142"/>
        <v>0</v>
      </c>
      <c r="K294" s="16"/>
      <c r="L294" s="16"/>
      <c r="M294" s="16"/>
      <c r="N294" s="16"/>
      <c r="O294" s="16"/>
      <c r="P294" s="2">
        <f t="shared" si="141"/>
        <v>0</v>
      </c>
      <c r="Q294" s="6"/>
    </row>
    <row r="295" spans="1:17" s="5" customFormat="1" ht="31.5" hidden="1" customHeight="1" x14ac:dyDescent="0.25">
      <c r="A295" s="1" t="s">
        <v>413</v>
      </c>
      <c r="B295" s="3">
        <v>7530</v>
      </c>
      <c r="C295" s="1" t="s">
        <v>233</v>
      </c>
      <c r="D295" s="67" t="s">
        <v>231</v>
      </c>
      <c r="E295" s="2">
        <f t="shared" si="140"/>
        <v>0</v>
      </c>
      <c r="F295" s="2"/>
      <c r="G295" s="16"/>
      <c r="H295" s="16"/>
      <c r="I295" s="16"/>
      <c r="J295" s="2">
        <f t="shared" si="142"/>
        <v>0</v>
      </c>
      <c r="K295" s="2"/>
      <c r="L295" s="2"/>
      <c r="M295" s="2"/>
      <c r="N295" s="2"/>
      <c r="O295" s="2"/>
      <c r="P295" s="2">
        <f t="shared" si="141"/>
        <v>0</v>
      </c>
      <c r="Q295" s="6"/>
    </row>
    <row r="296" spans="1:17" s="5" customFormat="1" ht="63" x14ac:dyDescent="0.25">
      <c r="A296" s="1" t="s">
        <v>708</v>
      </c>
      <c r="B296" s="3">
        <v>7375</v>
      </c>
      <c r="C296" s="1" t="s">
        <v>81</v>
      </c>
      <c r="D296" s="67" t="s">
        <v>709</v>
      </c>
      <c r="E296" s="2">
        <f t="shared" si="140"/>
        <v>7000000</v>
      </c>
      <c r="F296" s="2">
        <f>7000000</f>
        <v>7000000</v>
      </c>
      <c r="G296" s="16"/>
      <c r="H296" s="16"/>
      <c r="I296" s="16"/>
      <c r="J296" s="2">
        <f t="shared" si="142"/>
        <v>1500000</v>
      </c>
      <c r="K296" s="2">
        <f>1500000</f>
        <v>1500000</v>
      </c>
      <c r="L296" s="2"/>
      <c r="M296" s="2"/>
      <c r="N296" s="2"/>
      <c r="O296" s="2">
        <f>1500000</f>
        <v>1500000</v>
      </c>
      <c r="P296" s="2">
        <f t="shared" si="141"/>
        <v>8500000</v>
      </c>
      <c r="Q296" s="6"/>
    </row>
    <row r="297" spans="1:17" s="5" customFormat="1" ht="49.5" hidden="1" customHeight="1" x14ac:dyDescent="0.25">
      <c r="A297" s="1" t="s">
        <v>680</v>
      </c>
      <c r="B297" s="3">
        <v>7383</v>
      </c>
      <c r="C297" s="1" t="s">
        <v>81</v>
      </c>
      <c r="D297" s="63" t="str">
        <f>'дод 7'!C214</f>
        <v>Реалізація проектів (об'єктів, заходів) за рахунок коштів фонду ліквідації наслідків збройної агресії, у т. ч. за рахунок:</v>
      </c>
      <c r="E297" s="2">
        <f>F297+I297</f>
        <v>0</v>
      </c>
      <c r="F297" s="2"/>
      <c r="G297" s="16"/>
      <c r="H297" s="16"/>
      <c r="I297" s="16"/>
      <c r="J297" s="2">
        <f t="shared" si="136"/>
        <v>0</v>
      </c>
      <c r="K297" s="2"/>
      <c r="L297" s="2"/>
      <c r="M297" s="2"/>
      <c r="N297" s="2"/>
      <c r="O297" s="2"/>
      <c r="P297" s="2">
        <f t="shared" si="135"/>
        <v>0</v>
      </c>
      <c r="Q297" s="6"/>
    </row>
    <row r="298" spans="1:17" s="5" customFormat="1" ht="65.25" hidden="1" customHeight="1" x14ac:dyDescent="0.25">
      <c r="A298" s="1"/>
      <c r="B298" s="3"/>
      <c r="C298" s="1"/>
      <c r="D298" s="64" t="str">
        <f>'дод 7'!C215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8" s="2">
        <f t="shared" ref="E298:E303" si="143">F298+I298</f>
        <v>0</v>
      </c>
      <c r="F298" s="2"/>
      <c r="G298" s="16"/>
      <c r="H298" s="16"/>
      <c r="I298" s="16"/>
      <c r="J298" s="16">
        <f t="shared" si="136"/>
        <v>0</v>
      </c>
      <c r="K298" s="2"/>
      <c r="L298" s="2"/>
      <c r="M298" s="2"/>
      <c r="N298" s="2"/>
      <c r="O298" s="2"/>
      <c r="P298" s="16">
        <f>E298+J298</f>
        <v>0</v>
      </c>
      <c r="Q298" s="6"/>
    </row>
    <row r="299" spans="1:17" s="5" customFormat="1" ht="65.25" hidden="1" customHeight="1" x14ac:dyDescent="0.25">
      <c r="A299" s="1" t="s">
        <v>702</v>
      </c>
      <c r="B299" s="3" t="str">
        <f>'дод 7'!A228</f>
        <v>7461</v>
      </c>
      <c r="C299" s="3" t="str">
        <f>'дод 7'!B228</f>
        <v>0456</v>
      </c>
      <c r="D299" s="90" t="str">
        <f>'дод 7'!C228</f>
        <v>Утримання та розвиток автомобільних доріг та дорожньої інфраструктури за рахунок коштів місцевого бюджету</v>
      </c>
      <c r="E299" s="2">
        <f t="shared" si="143"/>
        <v>0</v>
      </c>
      <c r="F299" s="2"/>
      <c r="G299" s="16"/>
      <c r="H299" s="16"/>
      <c r="I299" s="16"/>
      <c r="J299" s="16">
        <f t="shared" si="136"/>
        <v>0</v>
      </c>
      <c r="K299" s="2"/>
      <c r="L299" s="2"/>
      <c r="M299" s="2"/>
      <c r="N299" s="2"/>
      <c r="O299" s="2"/>
      <c r="P299" s="2">
        <f>E299+J299</f>
        <v>0</v>
      </c>
      <c r="Q299" s="6"/>
    </row>
    <row r="300" spans="1:17" s="125" customFormat="1" ht="47.25" hidden="1" customHeight="1" x14ac:dyDescent="0.25">
      <c r="A300" s="1" t="s">
        <v>368</v>
      </c>
      <c r="B300" s="3" t="str">
        <f>'дод 7'!A229</f>
        <v>7462</v>
      </c>
      <c r="C300" s="3" t="str">
        <f>'дод 7'!B229</f>
        <v>0456</v>
      </c>
      <c r="D300" s="90" t="str">
        <f>'дод 7'!C229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300" s="2">
        <f t="shared" si="143"/>
        <v>0</v>
      </c>
      <c r="F300" s="2"/>
      <c r="G300" s="2"/>
      <c r="H300" s="2"/>
      <c r="I300" s="2"/>
      <c r="J300" s="2">
        <f>L300+O300</f>
        <v>0</v>
      </c>
      <c r="K300" s="2"/>
      <c r="L300" s="2"/>
      <c r="M300" s="2"/>
      <c r="N300" s="2"/>
      <c r="O300" s="2"/>
      <c r="P300" s="2">
        <f>E300+J300</f>
        <v>0</v>
      </c>
      <c r="Q300" s="6"/>
    </row>
    <row r="301" spans="1:17" s="125" customFormat="1" ht="111" hidden="1" customHeight="1" x14ac:dyDescent="0.25">
      <c r="A301" s="1"/>
      <c r="B301" s="3"/>
      <c r="C301" s="1"/>
      <c r="D301" s="139" t="s">
        <v>705</v>
      </c>
      <c r="E301" s="2">
        <f t="shared" si="143"/>
        <v>0</v>
      </c>
      <c r="F301" s="2"/>
      <c r="G301" s="2"/>
      <c r="H301" s="2"/>
      <c r="I301" s="2"/>
      <c r="J301" s="16">
        <f>L301+O301</f>
        <v>0</v>
      </c>
      <c r="K301" s="16"/>
      <c r="L301" s="16"/>
      <c r="M301" s="16"/>
      <c r="N301" s="16"/>
      <c r="O301" s="16"/>
      <c r="P301" s="16">
        <f>E301+J301</f>
        <v>0</v>
      </c>
      <c r="Q301" s="6"/>
    </row>
    <row r="302" spans="1:17" s="125" customFormat="1" ht="94.15" customHeight="1" x14ac:dyDescent="0.25">
      <c r="A302" s="1" t="s">
        <v>728</v>
      </c>
      <c r="B302" s="3">
        <v>7384</v>
      </c>
      <c r="C302" s="1" t="s">
        <v>81</v>
      </c>
      <c r="D302" s="65" t="s">
        <v>726</v>
      </c>
      <c r="E302" s="2">
        <f t="shared" si="143"/>
        <v>0</v>
      </c>
      <c r="F302" s="2">
        <v>0</v>
      </c>
      <c r="G302" s="2">
        <v>0</v>
      </c>
      <c r="H302" s="2">
        <v>0</v>
      </c>
      <c r="I302" s="2"/>
      <c r="J302" s="2">
        <f t="shared" ref="J302:J303" si="144">L302+O302</f>
        <v>15622974</v>
      </c>
      <c r="K302" s="2"/>
      <c r="L302" s="16"/>
      <c r="M302" s="16"/>
      <c r="N302" s="16"/>
      <c r="O302" s="2">
        <v>15622974</v>
      </c>
      <c r="P302" s="2">
        <f t="shared" ref="P302:P303" si="145">E302+J302</f>
        <v>15622974</v>
      </c>
      <c r="Q302" s="6"/>
    </row>
    <row r="303" spans="1:17" s="125" customFormat="1" ht="111" customHeight="1" x14ac:dyDescent="0.25">
      <c r="A303" s="66"/>
      <c r="B303" s="53"/>
      <c r="C303" s="66"/>
      <c r="D303" s="73" t="s">
        <v>730</v>
      </c>
      <c r="E303" s="16">
        <f t="shared" si="143"/>
        <v>0</v>
      </c>
      <c r="F303" s="16">
        <v>0</v>
      </c>
      <c r="G303" s="16">
        <v>0</v>
      </c>
      <c r="H303" s="16">
        <v>0</v>
      </c>
      <c r="I303" s="16"/>
      <c r="J303" s="16">
        <f t="shared" si="144"/>
        <v>15622974</v>
      </c>
      <c r="K303" s="16"/>
      <c r="L303" s="16"/>
      <c r="M303" s="16"/>
      <c r="N303" s="16"/>
      <c r="O303" s="16">
        <v>15622974</v>
      </c>
      <c r="P303" s="16">
        <f t="shared" si="145"/>
        <v>15622974</v>
      </c>
      <c r="Q303" s="6"/>
    </row>
    <row r="304" spans="1:17" s="125" customFormat="1" ht="20.25" customHeight="1" x14ac:dyDescent="0.25">
      <c r="A304" s="1" t="s">
        <v>199</v>
      </c>
      <c r="B304" s="3" t="str">
        <f>'дод 7'!A236</f>
        <v>7640</v>
      </c>
      <c r="C304" s="1" t="str">
        <f>'дод 7'!B236</f>
        <v>0470</v>
      </c>
      <c r="D304" s="63" t="s">
        <v>410</v>
      </c>
      <c r="E304" s="2">
        <f t="shared" si="134"/>
        <v>2300000</v>
      </c>
      <c r="F304" s="2">
        <v>100000</v>
      </c>
      <c r="G304" s="2"/>
      <c r="H304" s="2"/>
      <c r="I304" s="2">
        <f>2300000-100000</f>
        <v>2200000</v>
      </c>
      <c r="J304" s="2">
        <f t="shared" si="136"/>
        <v>0</v>
      </c>
      <c r="K304" s="2"/>
      <c r="L304" s="2"/>
      <c r="M304" s="2"/>
      <c r="N304" s="2"/>
      <c r="O304" s="2"/>
      <c r="P304" s="2">
        <f t="shared" si="135"/>
        <v>2300000</v>
      </c>
      <c r="Q304" s="6"/>
    </row>
    <row r="305" spans="1:17" s="125" customFormat="1" ht="26.65" hidden="1" customHeight="1" x14ac:dyDescent="0.25">
      <c r="A305" s="1" t="s">
        <v>325</v>
      </c>
      <c r="B305" s="3" t="str">
        <f>'дод 7'!A240</f>
        <v>7670</v>
      </c>
      <c r="C305" s="1" t="str">
        <f>'дод 7'!B240</f>
        <v>0490</v>
      </c>
      <c r="D305" s="63" t="str">
        <f>'дод 7'!C240</f>
        <v>Внески до статутного капіталу суб'єктів господарювання</v>
      </c>
      <c r="E305" s="2">
        <f>F305+I305</f>
        <v>0</v>
      </c>
      <c r="F305" s="2"/>
      <c r="G305" s="2"/>
      <c r="H305" s="2"/>
      <c r="I305" s="2"/>
      <c r="J305" s="2">
        <f>L305+O305</f>
        <v>0</v>
      </c>
      <c r="K305" s="2"/>
      <c r="L305" s="2"/>
      <c r="M305" s="2"/>
      <c r="N305" s="2">
        <f ca="1">+N303:N305:O305</f>
        <v>0</v>
      </c>
      <c r="O305" s="2"/>
      <c r="P305" s="2">
        <f>E305+J305</f>
        <v>0</v>
      </c>
      <c r="Q305" s="6"/>
    </row>
    <row r="306" spans="1:17" s="5" customFormat="1" ht="18.75" hidden="1" customHeight="1" x14ac:dyDescent="0.25">
      <c r="A306" s="66"/>
      <c r="B306" s="53"/>
      <c r="C306" s="53"/>
      <c r="D306" s="64" t="s">
        <v>407</v>
      </c>
      <c r="E306" s="16">
        <f t="shared" si="134"/>
        <v>0</v>
      </c>
      <c r="F306" s="16"/>
      <c r="G306" s="16"/>
      <c r="H306" s="16"/>
      <c r="I306" s="16"/>
      <c r="J306" s="16">
        <f t="shared" si="136"/>
        <v>0</v>
      </c>
      <c r="K306" s="16"/>
      <c r="L306" s="16"/>
      <c r="M306" s="16"/>
      <c r="N306" s="16"/>
      <c r="O306" s="16"/>
      <c r="P306" s="16">
        <f t="shared" si="135"/>
        <v>0</v>
      </c>
      <c r="Q306" s="6"/>
    </row>
    <row r="307" spans="1:17" s="125" customFormat="1" ht="112.5" customHeight="1" x14ac:dyDescent="0.25">
      <c r="A307" s="1" t="s">
        <v>294</v>
      </c>
      <c r="B307" s="3">
        <v>7691</v>
      </c>
      <c r="C307" s="3" t="s">
        <v>81</v>
      </c>
      <c r="D307" s="63" t="str">
        <f>'дод 7'!C243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7" s="2">
        <f t="shared" si="134"/>
        <v>0</v>
      </c>
      <c r="F307" s="2"/>
      <c r="G307" s="2"/>
      <c r="H307" s="2"/>
      <c r="I307" s="2"/>
      <c r="J307" s="2">
        <f t="shared" si="136"/>
        <v>60000</v>
      </c>
      <c r="K307" s="2"/>
      <c r="L307" s="2">
        <v>60000</v>
      </c>
      <c r="M307" s="2"/>
      <c r="N307" s="2"/>
      <c r="O307" s="2"/>
      <c r="P307" s="2">
        <f t="shared" si="135"/>
        <v>60000</v>
      </c>
      <c r="Q307" s="6"/>
    </row>
    <row r="308" spans="1:17" s="125" customFormat="1" ht="39" customHeight="1" x14ac:dyDescent="0.25">
      <c r="A308" s="1" t="s">
        <v>374</v>
      </c>
      <c r="B308" s="3" t="str">
        <f>'дод 7'!A253</f>
        <v>8110</v>
      </c>
      <c r="C308" s="3" t="str">
        <f>'дод 7'!B253</f>
        <v>0320</v>
      </c>
      <c r="D308" s="90" t="str">
        <f>'дод 7'!C253</f>
        <v>Заходи із запобігання та ліквідації надзвичайних ситуацій та наслідків стихійного лиха</v>
      </c>
      <c r="E308" s="2">
        <f t="shared" ref="E308:E317" si="146">F308+I308</f>
        <v>7000000</v>
      </c>
      <c r="F308" s="2">
        <f>7000000</f>
        <v>7000000</v>
      </c>
      <c r="G308" s="2"/>
      <c r="H308" s="2"/>
      <c r="I308" s="2"/>
      <c r="J308" s="2">
        <f>L308+O308</f>
        <v>0</v>
      </c>
      <c r="K308" s="2">
        <f>34707720-4000000-30707720</f>
        <v>0</v>
      </c>
      <c r="L308" s="2"/>
      <c r="M308" s="2"/>
      <c r="N308" s="2"/>
      <c r="O308" s="2">
        <f>34707720-4000000-30707720</f>
        <v>0</v>
      </c>
      <c r="P308" s="2">
        <f t="shared" ref="P308:P311" si="147">E308+J308</f>
        <v>7000000</v>
      </c>
      <c r="Q308" s="6"/>
    </row>
    <row r="309" spans="1:17" s="125" customFormat="1" ht="15.75" hidden="1" customHeight="1" x14ac:dyDescent="0.25">
      <c r="A309" s="1" t="s">
        <v>373</v>
      </c>
      <c r="B309" s="3" t="str">
        <f>'дод 7'!A257</f>
        <v>8230</v>
      </c>
      <c r="C309" s="3" t="str">
        <f>'дод 7'!B257</f>
        <v>0380</v>
      </c>
      <c r="D309" s="90" t="str">
        <f>'дод 7'!C257</f>
        <v>Інші заходи громадського порядку та безпеки</v>
      </c>
      <c r="E309" s="2">
        <f t="shared" si="146"/>
        <v>0</v>
      </c>
      <c r="F309" s="2"/>
      <c r="G309" s="2"/>
      <c r="H309" s="2"/>
      <c r="I309" s="2"/>
      <c r="J309" s="2">
        <f t="shared" ref="J309:J312" si="148">L309+O309</f>
        <v>0</v>
      </c>
      <c r="K309" s="2"/>
      <c r="L309" s="2"/>
      <c r="M309" s="2"/>
      <c r="N309" s="2"/>
      <c r="O309" s="2"/>
      <c r="P309" s="2">
        <f t="shared" si="147"/>
        <v>0</v>
      </c>
      <c r="Q309" s="12"/>
    </row>
    <row r="310" spans="1:17" s="125" customFormat="1" ht="27" customHeight="1" x14ac:dyDescent="0.25">
      <c r="A310" s="1" t="s">
        <v>672</v>
      </c>
      <c r="B310" s="3">
        <v>8240</v>
      </c>
      <c r="C310" s="3" t="str">
        <f>'дод 7'!B258</f>
        <v>0380</v>
      </c>
      <c r="D310" s="90" t="str">
        <f>'дод 7'!C258</f>
        <v>Заходи та роботи з територіальної оборони</v>
      </c>
      <c r="E310" s="2">
        <f>F310+I310</f>
        <v>2000000</v>
      </c>
      <c r="F310" s="2">
        <v>2000000</v>
      </c>
      <c r="G310" s="2"/>
      <c r="H310" s="2"/>
      <c r="I310" s="2"/>
      <c r="J310" s="2">
        <f>L310+O310</f>
        <v>0</v>
      </c>
      <c r="K310" s="2"/>
      <c r="L310" s="2"/>
      <c r="M310" s="2"/>
      <c r="N310" s="2"/>
      <c r="O310" s="2"/>
      <c r="P310" s="2">
        <f t="shared" si="147"/>
        <v>2000000</v>
      </c>
      <c r="Q310" s="12"/>
    </row>
    <row r="311" spans="1:17" s="125" customFormat="1" ht="27" hidden="1" customHeight="1" x14ac:dyDescent="0.25">
      <c r="A311" s="1" t="s">
        <v>673</v>
      </c>
      <c r="B311" s="3">
        <v>8312</v>
      </c>
      <c r="C311" s="1" t="s">
        <v>674</v>
      </c>
      <c r="D311" s="90" t="s">
        <v>675</v>
      </c>
      <c r="E311" s="2">
        <f>F311+I311</f>
        <v>0</v>
      </c>
      <c r="F311" s="2"/>
      <c r="G311" s="2"/>
      <c r="H311" s="2"/>
      <c r="I311" s="2"/>
      <c r="J311" s="2">
        <f>L311+O311</f>
        <v>0</v>
      </c>
      <c r="K311" s="2"/>
      <c r="L311" s="2"/>
      <c r="M311" s="2"/>
      <c r="N311" s="2"/>
      <c r="O311" s="2"/>
      <c r="P311" s="2">
        <f t="shared" si="147"/>
        <v>0</v>
      </c>
      <c r="Q311" s="12"/>
    </row>
    <row r="312" spans="1:17" s="125" customFormat="1" ht="31.5" customHeight="1" x14ac:dyDescent="0.25">
      <c r="A312" s="1" t="s">
        <v>200</v>
      </c>
      <c r="B312" s="3" t="str">
        <f>'дод 7'!A262</f>
        <v>8340</v>
      </c>
      <c r="C312" s="3" t="str">
        <f>'дод 7'!B262</f>
        <v>0540</v>
      </c>
      <c r="D312" s="63" t="str">
        <f>'дод 7'!C262</f>
        <v>Природоохоронні заходи за рахунок цільових фондів</v>
      </c>
      <c r="E312" s="2">
        <f t="shared" si="146"/>
        <v>0</v>
      </c>
      <c r="F312" s="2"/>
      <c r="G312" s="2"/>
      <c r="H312" s="2"/>
      <c r="I312" s="2"/>
      <c r="J312" s="2">
        <f t="shared" si="148"/>
        <v>1174400</v>
      </c>
      <c r="K312" s="2"/>
      <c r="L312" s="2">
        <v>724400</v>
      </c>
      <c r="M312" s="2"/>
      <c r="N312" s="2"/>
      <c r="O312" s="2">
        <v>450000</v>
      </c>
      <c r="P312" s="2">
        <f t="shared" si="135"/>
        <v>1174400</v>
      </c>
      <c r="Q312" s="198"/>
    </row>
    <row r="313" spans="1:17" s="125" customFormat="1" ht="68.25" hidden="1" customHeight="1" x14ac:dyDescent="0.25">
      <c r="A313" s="1" t="s">
        <v>595</v>
      </c>
      <c r="B313" s="49">
        <v>8741</v>
      </c>
      <c r="C313" s="49">
        <v>610</v>
      </c>
      <c r="D313" s="65" t="s">
        <v>596</v>
      </c>
      <c r="E313" s="2">
        <f t="shared" si="146"/>
        <v>0</v>
      </c>
      <c r="F313" s="2"/>
      <c r="G313" s="2"/>
      <c r="H313" s="2"/>
      <c r="I313" s="2"/>
      <c r="J313" s="2">
        <f t="shared" si="136"/>
        <v>0</v>
      </c>
      <c r="K313" s="2"/>
      <c r="L313" s="2"/>
      <c r="M313" s="2"/>
      <c r="N313" s="2"/>
      <c r="O313" s="2"/>
      <c r="P313" s="2">
        <f t="shared" si="135"/>
        <v>0</v>
      </c>
      <c r="Q313" s="198"/>
    </row>
    <row r="314" spans="1:17" s="125" customFormat="1" ht="69" hidden="1" customHeight="1" x14ac:dyDescent="0.25">
      <c r="A314" s="1" t="s">
        <v>591</v>
      </c>
      <c r="B314" s="3">
        <f>'дод 7'!A269</f>
        <v>8746</v>
      </c>
      <c r="C314" s="3">
        <f>'дод 7'!B269</f>
        <v>640</v>
      </c>
      <c r="D314" s="90" t="str">
        <f>'дод 7'!C269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14" s="2">
        <f t="shared" si="146"/>
        <v>0</v>
      </c>
      <c r="F314" s="2"/>
      <c r="G314" s="2"/>
      <c r="H314" s="2"/>
      <c r="I314" s="2"/>
      <c r="J314" s="2">
        <f t="shared" ref="J314" si="149">L314+O314</f>
        <v>0</v>
      </c>
      <c r="K314" s="2"/>
      <c r="L314" s="2"/>
      <c r="M314" s="2"/>
      <c r="N314" s="2"/>
      <c r="O314" s="2"/>
      <c r="P314" s="2">
        <f t="shared" ref="P314" si="150">E314+J314</f>
        <v>0</v>
      </c>
      <c r="Q314" s="198"/>
    </row>
    <row r="315" spans="1:17" s="125" customFormat="1" ht="38.25" hidden="1" customHeight="1" x14ac:dyDescent="0.25">
      <c r="A315" s="1" t="s">
        <v>585</v>
      </c>
      <c r="B315" s="3">
        <v>8775</v>
      </c>
      <c r="C315" s="1" t="s">
        <v>92</v>
      </c>
      <c r="D315" s="63" t="s">
        <v>581</v>
      </c>
      <c r="E315" s="2">
        <f t="shared" si="146"/>
        <v>0</v>
      </c>
      <c r="F315" s="2"/>
      <c r="G315" s="2"/>
      <c r="H315" s="2"/>
      <c r="I315" s="2"/>
      <c r="J315" s="2">
        <f t="shared" si="136"/>
        <v>0</v>
      </c>
      <c r="K315" s="2"/>
      <c r="L315" s="2"/>
      <c r="M315" s="2"/>
      <c r="N315" s="2"/>
      <c r="O315" s="2"/>
      <c r="P315" s="2">
        <f t="shared" si="135"/>
        <v>0</v>
      </c>
      <c r="Q315" s="198"/>
    </row>
    <row r="316" spans="1:17" s="125" customFormat="1" ht="78.75" hidden="1" customHeight="1" x14ac:dyDescent="0.25">
      <c r="A316" s="1" t="s">
        <v>529</v>
      </c>
      <c r="B316" s="3">
        <v>9730</v>
      </c>
      <c r="C316" s="1" t="s">
        <v>44</v>
      </c>
      <c r="D316" s="63" t="s">
        <v>530</v>
      </c>
      <c r="E316" s="2">
        <f t="shared" si="146"/>
        <v>0</v>
      </c>
      <c r="F316" s="2"/>
      <c r="G316" s="2"/>
      <c r="H316" s="2"/>
      <c r="I316" s="2"/>
      <c r="J316" s="2">
        <f t="shared" si="136"/>
        <v>0</v>
      </c>
      <c r="K316" s="2"/>
      <c r="L316" s="2"/>
      <c r="M316" s="2"/>
      <c r="N316" s="2"/>
      <c r="O316" s="2"/>
      <c r="P316" s="2">
        <f t="shared" si="135"/>
        <v>0</v>
      </c>
      <c r="Q316" s="198"/>
    </row>
    <row r="317" spans="1:17" s="125" customFormat="1" ht="36" hidden="1" customHeight="1" x14ac:dyDescent="0.25">
      <c r="A317" s="1" t="s">
        <v>573</v>
      </c>
      <c r="B317" s="3">
        <v>9750</v>
      </c>
      <c r="C317" s="1" t="s">
        <v>44</v>
      </c>
      <c r="D317" s="63" t="s">
        <v>492</v>
      </c>
      <c r="E317" s="2">
        <f t="shared" si="146"/>
        <v>0</v>
      </c>
      <c r="F317" s="2"/>
      <c r="G317" s="2"/>
      <c r="H317" s="2"/>
      <c r="I317" s="2"/>
      <c r="J317" s="2">
        <f t="shared" ref="J317" si="151">L317+O317</f>
        <v>0</v>
      </c>
      <c r="K317" s="2"/>
      <c r="L317" s="2"/>
      <c r="M317" s="2"/>
      <c r="N317" s="2"/>
      <c r="O317" s="2"/>
      <c r="P317" s="2">
        <f t="shared" si="135"/>
        <v>0</v>
      </c>
      <c r="Q317" s="198"/>
    </row>
    <row r="318" spans="1:17" s="125" customFormat="1" ht="26.25" customHeight="1" x14ac:dyDescent="0.25">
      <c r="A318" s="1" t="s">
        <v>201</v>
      </c>
      <c r="B318" s="3" t="str">
        <f>'дод 7'!A283</f>
        <v>9770</v>
      </c>
      <c r="C318" s="3" t="str">
        <f>'дод 7'!B283</f>
        <v>0180</v>
      </c>
      <c r="D318" s="63" t="str">
        <f>'дод 7'!C283</f>
        <v>Інші субвенції з місцевого бюджету</v>
      </c>
      <c r="E318" s="2">
        <f t="shared" si="134"/>
        <v>4026800</v>
      </c>
      <c r="F318" s="2">
        <v>4026800</v>
      </c>
      <c r="G318" s="2"/>
      <c r="H318" s="2"/>
      <c r="I318" s="2"/>
      <c r="J318" s="2">
        <f t="shared" si="136"/>
        <v>10973200</v>
      </c>
      <c r="K318" s="2">
        <v>10973200</v>
      </c>
      <c r="L318" s="2"/>
      <c r="M318" s="2"/>
      <c r="N318" s="2"/>
      <c r="O318" s="2">
        <v>10973200</v>
      </c>
      <c r="P318" s="2">
        <f t="shared" si="135"/>
        <v>15000000</v>
      </c>
      <c r="Q318" s="198"/>
    </row>
    <row r="319" spans="1:17" s="125" customFormat="1" ht="52.5" hidden="1" customHeight="1" x14ac:dyDescent="0.25">
      <c r="A319" s="1" t="s">
        <v>592</v>
      </c>
      <c r="B319" s="3">
        <f>'дод 7'!A284</f>
        <v>9800</v>
      </c>
      <c r="C319" s="3" t="str">
        <f>'дод 7'!B284</f>
        <v>0180</v>
      </c>
      <c r="D319" s="90" t="str">
        <f>'дод 7'!C284</f>
        <v xml:space="preserve">Субвенція з місцевого бюджету державному бюджету на виконання програм соціально-економічного розвитку регіонів </v>
      </c>
      <c r="E319" s="2">
        <f>F319</f>
        <v>0</v>
      </c>
      <c r="F319" s="2"/>
      <c r="G319" s="2"/>
      <c r="H319" s="2"/>
      <c r="I319" s="2"/>
      <c r="J319" s="2">
        <f t="shared" si="136"/>
        <v>0</v>
      </c>
      <c r="K319" s="2"/>
      <c r="L319" s="2"/>
      <c r="M319" s="2"/>
      <c r="N319" s="2"/>
      <c r="O319" s="2"/>
      <c r="P319" s="2">
        <f t="shared" si="135"/>
        <v>0</v>
      </c>
      <c r="Q319" s="198"/>
    </row>
    <row r="320" spans="1:17" s="124" customFormat="1" ht="33.75" hidden="1" customHeight="1" x14ac:dyDescent="0.25">
      <c r="A320" s="94" t="s">
        <v>26</v>
      </c>
      <c r="B320" s="58"/>
      <c r="C320" s="58"/>
      <c r="D320" s="91" t="s">
        <v>33</v>
      </c>
      <c r="E320" s="15">
        <f>E321</f>
        <v>0</v>
      </c>
      <c r="F320" s="15">
        <f t="shared" ref="F320:J323" si="152">F321</f>
        <v>0</v>
      </c>
      <c r="G320" s="15">
        <f t="shared" si="152"/>
        <v>0</v>
      </c>
      <c r="H320" s="15">
        <f t="shared" si="152"/>
        <v>0</v>
      </c>
      <c r="I320" s="15">
        <f t="shared" si="152"/>
        <v>0</v>
      </c>
      <c r="J320" s="15">
        <f t="shared" si="152"/>
        <v>0</v>
      </c>
      <c r="K320" s="15">
        <f t="shared" ref="K320:K323" si="153">K321</f>
        <v>0</v>
      </c>
      <c r="L320" s="15">
        <f t="shared" ref="L320:L323" si="154">L321</f>
        <v>0</v>
      </c>
      <c r="M320" s="15">
        <f t="shared" ref="M320:M323" si="155">M321</f>
        <v>0</v>
      </c>
      <c r="N320" s="15">
        <f t="shared" ref="N320:N323" si="156">N321</f>
        <v>0</v>
      </c>
      <c r="O320" s="15">
        <f t="shared" ref="O320:P323" si="157">O321</f>
        <v>0</v>
      </c>
      <c r="P320" s="15">
        <f t="shared" si="157"/>
        <v>0</v>
      </c>
      <c r="Q320" s="198"/>
    </row>
    <row r="321" spans="1:17" s="11" customFormat="1" ht="36.75" hidden="1" customHeight="1" x14ac:dyDescent="0.25">
      <c r="A321" s="7" t="s">
        <v>116</v>
      </c>
      <c r="B321" s="8"/>
      <c r="C321" s="8"/>
      <c r="D321" s="9" t="s">
        <v>33</v>
      </c>
      <c r="E321" s="10">
        <f>E322</f>
        <v>0</v>
      </c>
      <c r="F321" s="10">
        <f t="shared" si="152"/>
        <v>0</v>
      </c>
      <c r="G321" s="10">
        <f t="shared" si="152"/>
        <v>0</v>
      </c>
      <c r="H321" s="10">
        <f t="shared" si="152"/>
        <v>0</v>
      </c>
      <c r="I321" s="10">
        <f t="shared" si="152"/>
        <v>0</v>
      </c>
      <c r="J321" s="10">
        <f t="shared" si="152"/>
        <v>0</v>
      </c>
      <c r="K321" s="10">
        <f t="shared" si="153"/>
        <v>0</v>
      </c>
      <c r="L321" s="10">
        <f t="shared" si="154"/>
        <v>0</v>
      </c>
      <c r="M321" s="10">
        <f t="shared" si="155"/>
        <v>0</v>
      </c>
      <c r="N321" s="10">
        <f t="shared" si="156"/>
        <v>0</v>
      </c>
      <c r="O321" s="10">
        <f t="shared" si="157"/>
        <v>0</v>
      </c>
      <c r="P321" s="10">
        <f t="shared" si="157"/>
        <v>0</v>
      </c>
      <c r="Q321" s="198"/>
    </row>
    <row r="322" spans="1:17" s="125" customFormat="1" ht="51.75" hidden="1" customHeight="1" x14ac:dyDescent="0.25">
      <c r="A322" s="1" t="s">
        <v>0</v>
      </c>
      <c r="B322" s="3" t="str">
        <f>'дод 7'!A17</f>
        <v>0160</v>
      </c>
      <c r="C322" s="3" t="str">
        <f>'дод 7'!B17</f>
        <v>0111</v>
      </c>
      <c r="D322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22" s="2">
        <f>F322+I322</f>
        <v>0</v>
      </c>
      <c r="F322" s="2"/>
      <c r="G322" s="2"/>
      <c r="H322" s="2"/>
      <c r="I322" s="2"/>
      <c r="J322" s="2">
        <f>L322+O322</f>
        <v>0</v>
      </c>
      <c r="K322" s="2"/>
      <c r="L322" s="2"/>
      <c r="M322" s="2"/>
      <c r="N322" s="2"/>
      <c r="O322" s="2"/>
      <c r="P322" s="2">
        <f>E322+J322</f>
        <v>0</v>
      </c>
      <c r="Q322" s="198"/>
    </row>
    <row r="323" spans="1:17" s="124" customFormat="1" ht="33.75" hidden="1" customHeight="1" x14ac:dyDescent="0.25">
      <c r="A323" s="94" t="s">
        <v>26</v>
      </c>
      <c r="B323" s="58"/>
      <c r="C323" s="58"/>
      <c r="D323" s="91" t="s">
        <v>632</v>
      </c>
      <c r="E323" s="15">
        <f>E324</f>
        <v>0</v>
      </c>
      <c r="F323" s="15">
        <f t="shared" si="152"/>
        <v>0</v>
      </c>
      <c r="G323" s="15">
        <f t="shared" si="152"/>
        <v>0</v>
      </c>
      <c r="H323" s="15">
        <f t="shared" si="152"/>
        <v>0</v>
      </c>
      <c r="I323" s="15">
        <f t="shared" si="152"/>
        <v>0</v>
      </c>
      <c r="J323" s="15">
        <f t="shared" si="152"/>
        <v>0</v>
      </c>
      <c r="K323" s="15">
        <f t="shared" si="153"/>
        <v>0</v>
      </c>
      <c r="L323" s="15">
        <f t="shared" si="154"/>
        <v>0</v>
      </c>
      <c r="M323" s="15">
        <f t="shared" si="155"/>
        <v>0</v>
      </c>
      <c r="N323" s="15">
        <f t="shared" si="156"/>
        <v>0</v>
      </c>
      <c r="O323" s="15">
        <f t="shared" si="157"/>
        <v>0</v>
      </c>
      <c r="P323" s="15">
        <f t="shared" si="157"/>
        <v>0</v>
      </c>
      <c r="Q323" s="198"/>
    </row>
    <row r="324" spans="1:17" s="11" customFormat="1" ht="36.75" hidden="1" customHeight="1" x14ac:dyDescent="0.25">
      <c r="A324" s="7" t="s">
        <v>116</v>
      </c>
      <c r="B324" s="8"/>
      <c r="C324" s="8"/>
      <c r="D324" s="9" t="s">
        <v>632</v>
      </c>
      <c r="E324" s="10">
        <f>E325+E326</f>
        <v>0</v>
      </c>
      <c r="F324" s="10">
        <f t="shared" ref="F324:P324" si="158">F325+F326</f>
        <v>0</v>
      </c>
      <c r="G324" s="10">
        <f t="shared" si="158"/>
        <v>0</v>
      </c>
      <c r="H324" s="10">
        <f t="shared" si="158"/>
        <v>0</v>
      </c>
      <c r="I324" s="10">
        <f t="shared" si="158"/>
        <v>0</v>
      </c>
      <c r="J324" s="10">
        <f t="shared" si="158"/>
        <v>0</v>
      </c>
      <c r="K324" s="10">
        <f t="shared" si="158"/>
        <v>0</v>
      </c>
      <c r="L324" s="10">
        <f t="shared" si="158"/>
        <v>0</v>
      </c>
      <c r="M324" s="10">
        <f t="shared" si="158"/>
        <v>0</v>
      </c>
      <c r="N324" s="10">
        <f t="shared" si="158"/>
        <v>0</v>
      </c>
      <c r="O324" s="10">
        <f t="shared" si="158"/>
        <v>0</v>
      </c>
      <c r="P324" s="10">
        <f t="shared" si="158"/>
        <v>0</v>
      </c>
      <c r="Q324" s="198"/>
    </row>
    <row r="325" spans="1:17" s="125" customFormat="1" ht="51.75" hidden="1" customHeight="1" x14ac:dyDescent="0.25">
      <c r="A325" s="1" t="s">
        <v>0</v>
      </c>
      <c r="B325" s="3" t="str">
        <f>'дод 7'!A17</f>
        <v>0160</v>
      </c>
      <c r="C325" s="3" t="str">
        <f>'дод 7'!B17</f>
        <v>0111</v>
      </c>
      <c r="D325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25" s="2">
        <f>F325+I325</f>
        <v>0</v>
      </c>
      <c r="F325" s="2">
        <f>10047900-10047900</f>
        <v>0</v>
      </c>
      <c r="G325" s="2">
        <f>7966500-7966500</f>
        <v>0</v>
      </c>
      <c r="H325" s="2">
        <f>122300-122300</f>
        <v>0</v>
      </c>
      <c r="I325" s="2"/>
      <c r="J325" s="2">
        <f>L325+O325</f>
        <v>0</v>
      </c>
      <c r="K325" s="2">
        <f>8000-8000</f>
        <v>0</v>
      </c>
      <c r="L325" s="2"/>
      <c r="M325" s="2"/>
      <c r="N325" s="2"/>
      <c r="O325" s="2">
        <f>8000-8000</f>
        <v>0</v>
      </c>
      <c r="P325" s="2">
        <f>E325+J325</f>
        <v>0</v>
      </c>
      <c r="Q325" s="198"/>
    </row>
    <row r="326" spans="1:17" s="125" customFormat="1" ht="40.5" hidden="1" customHeight="1" x14ac:dyDescent="0.25">
      <c r="A326" s="1" t="s">
        <v>649</v>
      </c>
      <c r="B326" s="3" t="str">
        <f>'дод 7'!A235</f>
        <v>7610</v>
      </c>
      <c r="C326" s="3" t="str">
        <f>'дод 7'!B235</f>
        <v>0411</v>
      </c>
      <c r="D326" s="90" t="str">
        <f>'дод 7'!C235</f>
        <v>Сприяння розвитку малого та середнього підприємництва</v>
      </c>
      <c r="E326" s="2">
        <f>F326+I326</f>
        <v>0</v>
      </c>
      <c r="F326" s="2">
        <f>270000-50000-220000</f>
        <v>0</v>
      </c>
      <c r="G326" s="2"/>
      <c r="H326" s="2"/>
      <c r="I326" s="2">
        <f>250000+50000-300000</f>
        <v>0</v>
      </c>
      <c r="J326" s="2">
        <f>L326+O326</f>
        <v>0</v>
      </c>
      <c r="K326" s="2">
        <f>8000-8000</f>
        <v>0</v>
      </c>
      <c r="L326" s="2"/>
      <c r="M326" s="2"/>
      <c r="N326" s="2"/>
      <c r="O326" s="2">
        <f>8000-8000</f>
        <v>0</v>
      </c>
      <c r="P326" s="2">
        <f>E326+J326</f>
        <v>0</v>
      </c>
      <c r="Q326" s="198"/>
    </row>
    <row r="327" spans="1:17" s="124" customFormat="1" ht="47.25" customHeight="1" x14ac:dyDescent="0.25">
      <c r="A327" s="94" t="s">
        <v>27</v>
      </c>
      <c r="B327" s="58"/>
      <c r="C327" s="58"/>
      <c r="D327" s="91" t="s">
        <v>32</v>
      </c>
      <c r="E327" s="15">
        <f>E328</f>
        <v>7067924</v>
      </c>
      <c r="F327" s="15">
        <f t="shared" ref="F327:J327" si="159">F328</f>
        <v>7067924</v>
      </c>
      <c r="G327" s="15">
        <f t="shared" si="159"/>
        <v>4985700</v>
      </c>
      <c r="H327" s="15">
        <f t="shared" si="159"/>
        <v>0</v>
      </c>
      <c r="I327" s="15">
        <f t="shared" si="159"/>
        <v>0</v>
      </c>
      <c r="J327" s="15">
        <f t="shared" si="159"/>
        <v>144690266</v>
      </c>
      <c r="K327" s="15">
        <f t="shared" ref="K327" si="160">K328</f>
        <v>143075724.65000001</v>
      </c>
      <c r="L327" s="15">
        <f t="shared" ref="L327" si="161">L328</f>
        <v>369000</v>
      </c>
      <c r="M327" s="15">
        <f t="shared" ref="M327" si="162">M328</f>
        <v>0</v>
      </c>
      <c r="N327" s="15">
        <f t="shared" ref="N327" si="163">N328</f>
        <v>208200</v>
      </c>
      <c r="O327" s="15">
        <f t="shared" ref="O327:P327" si="164">O328</f>
        <v>144321266</v>
      </c>
      <c r="P327" s="15">
        <f t="shared" si="164"/>
        <v>151758190</v>
      </c>
      <c r="Q327" s="198"/>
    </row>
    <row r="328" spans="1:17" s="11" customFormat="1" ht="47.25" x14ac:dyDescent="0.25">
      <c r="A328" s="7" t="s">
        <v>28</v>
      </c>
      <c r="B328" s="8"/>
      <c r="C328" s="8"/>
      <c r="D328" s="9" t="s">
        <v>408</v>
      </c>
      <c r="E328" s="10">
        <f>SUM(E332+E333+E334+E335+E336+E337+E341+E342+E343+E344+E345+E347+E348+E349+E350+E352+E353+E346+E355+E356+E338+E339)</f>
        <v>7067924</v>
      </c>
      <c r="F328" s="10">
        <f t="shared" ref="F328:P328" si="165">SUM(F332+F333+F334+F335+F336+F337+F341+F342+F343+F344+F345+F347+F348+F349+F350+F352+F353+F346+F355+F356+F338+F339)</f>
        <v>7067924</v>
      </c>
      <c r="G328" s="10">
        <f t="shared" si="165"/>
        <v>4985700</v>
      </c>
      <c r="H328" s="10">
        <f t="shared" si="165"/>
        <v>0</v>
      </c>
      <c r="I328" s="10">
        <f t="shared" si="165"/>
        <v>0</v>
      </c>
      <c r="J328" s="10">
        <f t="shared" si="165"/>
        <v>144690266</v>
      </c>
      <c r="K328" s="10">
        <f t="shared" si="165"/>
        <v>143075724.65000001</v>
      </c>
      <c r="L328" s="10">
        <f t="shared" si="165"/>
        <v>369000</v>
      </c>
      <c r="M328" s="10">
        <f t="shared" si="165"/>
        <v>0</v>
      </c>
      <c r="N328" s="10">
        <f t="shared" si="165"/>
        <v>208200</v>
      </c>
      <c r="O328" s="10">
        <f t="shared" si="165"/>
        <v>144321266</v>
      </c>
      <c r="P328" s="10">
        <f t="shared" si="165"/>
        <v>151758190</v>
      </c>
      <c r="Q328" s="198"/>
    </row>
    <row r="329" spans="1:17" s="11" customFormat="1" ht="63" hidden="1" customHeight="1" x14ac:dyDescent="0.25">
      <c r="A329" s="7"/>
      <c r="B329" s="8"/>
      <c r="C329" s="8"/>
      <c r="D329" s="9" t="s">
        <v>598</v>
      </c>
      <c r="E329" s="10">
        <f>E351</f>
        <v>0</v>
      </c>
      <c r="F329" s="10">
        <f>F351</f>
        <v>0</v>
      </c>
      <c r="G329" s="10">
        <f t="shared" ref="G329:O329" si="166">G351</f>
        <v>0</v>
      </c>
      <c r="H329" s="10">
        <f t="shared" si="166"/>
        <v>0</v>
      </c>
      <c r="I329" s="10">
        <f t="shared" si="166"/>
        <v>0</v>
      </c>
      <c r="J329" s="10">
        <f>J351</f>
        <v>0</v>
      </c>
      <c r="K329" s="10">
        <f t="shared" si="166"/>
        <v>0</v>
      </c>
      <c r="L329" s="10">
        <f t="shared" si="166"/>
        <v>0</v>
      </c>
      <c r="M329" s="10">
        <f t="shared" si="166"/>
        <v>0</v>
      </c>
      <c r="N329" s="10">
        <f t="shared" si="166"/>
        <v>0</v>
      </c>
      <c r="O329" s="10">
        <f t="shared" si="166"/>
        <v>0</v>
      </c>
      <c r="P329" s="10">
        <f>P351</f>
        <v>0</v>
      </c>
      <c r="Q329" s="198"/>
    </row>
    <row r="330" spans="1:17" s="11" customFormat="1" ht="64.5" hidden="1" customHeight="1" x14ac:dyDescent="0.25">
      <c r="A330" s="7"/>
      <c r="B330" s="8"/>
      <c r="C330" s="8"/>
      <c r="D330" s="9" t="s">
        <v>688</v>
      </c>
      <c r="E330" s="10">
        <f>E340</f>
        <v>0</v>
      </c>
      <c r="F330" s="10">
        <f t="shared" ref="F330:P330" si="167">F340</f>
        <v>0</v>
      </c>
      <c r="G330" s="10">
        <f t="shared" si="167"/>
        <v>0</v>
      </c>
      <c r="H330" s="10">
        <f t="shared" si="167"/>
        <v>0</v>
      </c>
      <c r="I330" s="10">
        <f t="shared" si="167"/>
        <v>0</v>
      </c>
      <c r="J330" s="10">
        <f t="shared" si="167"/>
        <v>0</v>
      </c>
      <c r="K330" s="10">
        <f t="shared" si="167"/>
        <v>0</v>
      </c>
      <c r="L330" s="10">
        <f t="shared" si="167"/>
        <v>0</v>
      </c>
      <c r="M330" s="10">
        <f t="shared" si="167"/>
        <v>0</v>
      </c>
      <c r="N330" s="10">
        <f t="shared" si="167"/>
        <v>0</v>
      </c>
      <c r="O330" s="10">
        <f t="shared" si="167"/>
        <v>0</v>
      </c>
      <c r="P330" s="10">
        <f t="shared" si="167"/>
        <v>0</v>
      </c>
      <c r="Q330" s="198"/>
    </row>
    <row r="331" spans="1:17" s="11" customFormat="1" ht="27" customHeight="1" x14ac:dyDescent="0.25">
      <c r="A331" s="7"/>
      <c r="B331" s="8"/>
      <c r="C331" s="8"/>
      <c r="D331" s="9" t="s">
        <v>407</v>
      </c>
      <c r="E331" s="10">
        <f>E354</f>
        <v>0</v>
      </c>
      <c r="F331" s="10">
        <f t="shared" ref="F331:P331" si="168">F354</f>
        <v>0</v>
      </c>
      <c r="G331" s="10">
        <f t="shared" si="168"/>
        <v>0</v>
      </c>
      <c r="H331" s="10">
        <f t="shared" si="168"/>
        <v>0</v>
      </c>
      <c r="I331" s="10">
        <f t="shared" si="168"/>
        <v>0</v>
      </c>
      <c r="J331" s="10">
        <f>J354</f>
        <v>61868709</v>
      </c>
      <c r="K331" s="10">
        <f t="shared" si="168"/>
        <v>61868709</v>
      </c>
      <c r="L331" s="10">
        <f t="shared" si="168"/>
        <v>0</v>
      </c>
      <c r="M331" s="10">
        <f t="shared" si="168"/>
        <v>0</v>
      </c>
      <c r="N331" s="10">
        <f t="shared" si="168"/>
        <v>0</v>
      </c>
      <c r="O331" s="10">
        <f t="shared" si="168"/>
        <v>61868709</v>
      </c>
      <c r="P331" s="10">
        <f t="shared" si="168"/>
        <v>61868709</v>
      </c>
      <c r="Q331" s="198"/>
    </row>
    <row r="332" spans="1:17" s="125" customFormat="1" ht="47.25" x14ac:dyDescent="0.25">
      <c r="A332" s="1" t="s">
        <v>137</v>
      </c>
      <c r="B332" s="3" t="str">
        <f>'дод 7'!A17</f>
        <v>0160</v>
      </c>
      <c r="C332" s="3" t="str">
        <f>'дод 7'!B17</f>
        <v>0111</v>
      </c>
      <c r="D332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32" s="2">
        <f t="shared" ref="E332:E355" si="169">F332+I332</f>
        <v>6082600</v>
      </c>
      <c r="F332" s="2">
        <f>7067600-985000</f>
        <v>6082600</v>
      </c>
      <c r="G332" s="2">
        <f>5793100-807400</f>
        <v>4985700</v>
      </c>
      <c r="H332" s="2"/>
      <c r="I332" s="2"/>
      <c r="J332" s="2">
        <f>L332+O332</f>
        <v>369000</v>
      </c>
      <c r="K332" s="2"/>
      <c r="L332" s="2">
        <v>369000</v>
      </c>
      <c r="M332" s="2"/>
      <c r="N332" s="2">
        <v>208200</v>
      </c>
      <c r="O332" s="2"/>
      <c r="P332" s="2">
        <f t="shared" ref="P332:P355" si="170">E332+J332</f>
        <v>6451600</v>
      </c>
      <c r="Q332" s="198"/>
    </row>
    <row r="333" spans="1:17" s="125" customFormat="1" ht="15.75" x14ac:dyDescent="0.25">
      <c r="A333" s="1" t="s">
        <v>572</v>
      </c>
      <c r="B333" s="3">
        <v>1010</v>
      </c>
      <c r="C333" s="1" t="s">
        <v>48</v>
      </c>
      <c r="D333" s="63" t="s">
        <v>477</v>
      </c>
      <c r="E333" s="2">
        <f t="shared" si="169"/>
        <v>0</v>
      </c>
      <c r="F333" s="2"/>
      <c r="G333" s="2"/>
      <c r="H333" s="2"/>
      <c r="I333" s="2"/>
      <c r="J333" s="2">
        <f>L333+O333</f>
        <v>26500055</v>
      </c>
      <c r="K333" s="2">
        <f>3155700+1954092+20556921.65</f>
        <v>25666713.649999999</v>
      </c>
      <c r="L333" s="2"/>
      <c r="M333" s="2"/>
      <c r="N333" s="2"/>
      <c r="O333" s="2">
        <f>3155700+1954092+21390263</f>
        <v>26500055</v>
      </c>
      <c r="P333" s="2">
        <f t="shared" si="170"/>
        <v>26500055</v>
      </c>
      <c r="Q333" s="198"/>
    </row>
    <row r="334" spans="1:17" s="125" customFormat="1" ht="31.5" customHeight="1" x14ac:dyDescent="0.25">
      <c r="A334" s="1" t="s">
        <v>574</v>
      </c>
      <c r="B334" s="3">
        <v>1021</v>
      </c>
      <c r="C334" s="1" t="s">
        <v>50</v>
      </c>
      <c r="D334" s="63" t="s">
        <v>446</v>
      </c>
      <c r="E334" s="2">
        <f t="shared" si="169"/>
        <v>0</v>
      </c>
      <c r="F334" s="2"/>
      <c r="G334" s="2"/>
      <c r="H334" s="2"/>
      <c r="I334" s="2"/>
      <c r="J334" s="2">
        <f t="shared" ref="J334:J339" si="171">L334+O334</f>
        <v>0</v>
      </c>
      <c r="K334" s="2"/>
      <c r="L334" s="2"/>
      <c r="M334" s="2"/>
      <c r="N334" s="2"/>
      <c r="O334" s="2"/>
      <c r="P334" s="2">
        <f t="shared" si="170"/>
        <v>0</v>
      </c>
      <c r="Q334" s="198"/>
    </row>
    <row r="335" spans="1:17" s="125" customFormat="1" ht="63" hidden="1" customHeight="1" x14ac:dyDescent="0.25">
      <c r="A335" s="1" t="s">
        <v>575</v>
      </c>
      <c r="B335" s="3">
        <v>1022</v>
      </c>
      <c r="C335" s="1" t="s">
        <v>54</v>
      </c>
      <c r="D335" s="63" t="s">
        <v>448</v>
      </c>
      <c r="E335" s="2">
        <f t="shared" si="169"/>
        <v>0</v>
      </c>
      <c r="F335" s="2"/>
      <c r="G335" s="2"/>
      <c r="H335" s="2"/>
      <c r="I335" s="2"/>
      <c r="J335" s="2">
        <f t="shared" si="171"/>
        <v>0</v>
      </c>
      <c r="K335" s="2"/>
      <c r="L335" s="2"/>
      <c r="M335" s="2"/>
      <c r="N335" s="2"/>
      <c r="O335" s="2"/>
      <c r="P335" s="2">
        <f t="shared" si="170"/>
        <v>0</v>
      </c>
      <c r="Q335" s="198"/>
    </row>
    <row r="336" spans="1:17" s="125" customFormat="1" ht="31.5" hidden="1" customHeight="1" x14ac:dyDescent="0.25">
      <c r="A336" s="1" t="s">
        <v>576</v>
      </c>
      <c r="B336" s="3">
        <v>2010</v>
      </c>
      <c r="C336" s="1" t="s">
        <v>60</v>
      </c>
      <c r="D336" s="63" t="s">
        <v>557</v>
      </c>
      <c r="E336" s="2">
        <f t="shared" si="169"/>
        <v>0</v>
      </c>
      <c r="F336" s="2"/>
      <c r="G336" s="2"/>
      <c r="H336" s="2"/>
      <c r="I336" s="2"/>
      <c r="J336" s="2">
        <f t="shared" si="171"/>
        <v>0</v>
      </c>
      <c r="K336" s="2"/>
      <c r="L336" s="2"/>
      <c r="M336" s="2"/>
      <c r="N336" s="2"/>
      <c r="O336" s="2"/>
      <c r="P336" s="2">
        <f t="shared" si="170"/>
        <v>0</v>
      </c>
      <c r="Q336" s="198"/>
    </row>
    <row r="337" spans="1:17" s="125" customFormat="1" ht="15.75" hidden="1" customHeight="1" x14ac:dyDescent="0.25">
      <c r="A337" s="1" t="s">
        <v>202</v>
      </c>
      <c r="B337" s="3" t="str">
        <f>'дод 7'!A176</f>
        <v>6030</v>
      </c>
      <c r="C337" s="3" t="str">
        <f>'дод 7'!B176</f>
        <v>0620</v>
      </c>
      <c r="D337" s="63" t="str">
        <f>'дод 7'!C176</f>
        <v>Організація благоустрою населених пунктів</v>
      </c>
      <c r="E337" s="2">
        <f t="shared" si="169"/>
        <v>0</v>
      </c>
      <c r="F337" s="2"/>
      <c r="G337" s="2"/>
      <c r="H337" s="2"/>
      <c r="I337" s="2"/>
      <c r="J337" s="2">
        <f t="shared" si="171"/>
        <v>0</v>
      </c>
      <c r="K337" s="2"/>
      <c r="L337" s="2"/>
      <c r="M337" s="2"/>
      <c r="N337" s="2"/>
      <c r="O337" s="2"/>
      <c r="P337" s="2">
        <f t="shared" si="170"/>
        <v>0</v>
      </c>
      <c r="Q337" s="198"/>
    </row>
    <row r="338" spans="1:17" s="125" customFormat="1" ht="80.25" customHeight="1" x14ac:dyDescent="0.25">
      <c r="A338" s="1" t="s">
        <v>691</v>
      </c>
      <c r="B338" s="3">
        <v>1261</v>
      </c>
      <c r="C338" s="1" t="s">
        <v>57</v>
      </c>
      <c r="D338" s="63" t="s">
        <v>718</v>
      </c>
      <c r="E338" s="2">
        <f t="shared" si="169"/>
        <v>0</v>
      </c>
      <c r="F338" s="2"/>
      <c r="G338" s="2"/>
      <c r="H338" s="2"/>
      <c r="I338" s="2"/>
      <c r="J338" s="2">
        <f t="shared" si="171"/>
        <v>1100000</v>
      </c>
      <c r="K338" s="2">
        <f>100000+1000000</f>
        <v>1100000</v>
      </c>
      <c r="L338" s="2"/>
      <c r="M338" s="2"/>
      <c r="N338" s="2"/>
      <c r="O338" s="2">
        <f>100000+1000000</f>
        <v>1100000</v>
      </c>
      <c r="P338" s="2">
        <f t="shared" si="170"/>
        <v>1100000</v>
      </c>
      <c r="Q338" s="198"/>
    </row>
    <row r="339" spans="1:17" s="125" customFormat="1" ht="63.75" hidden="1" customHeight="1" x14ac:dyDescent="0.25">
      <c r="A339" s="1" t="s">
        <v>692</v>
      </c>
      <c r="B339" s="3">
        <v>1262</v>
      </c>
      <c r="C339" s="1" t="s">
        <v>57</v>
      </c>
      <c r="D339" s="63" t="s">
        <v>693</v>
      </c>
      <c r="E339" s="2">
        <f t="shared" si="169"/>
        <v>0</v>
      </c>
      <c r="F339" s="2"/>
      <c r="G339" s="2"/>
      <c r="H339" s="2"/>
      <c r="I339" s="2"/>
      <c r="J339" s="2">
        <f t="shared" si="171"/>
        <v>0</v>
      </c>
      <c r="K339" s="2"/>
      <c r="L339" s="2"/>
      <c r="M339" s="2"/>
      <c r="N339" s="2"/>
      <c r="O339" s="2"/>
      <c r="P339" s="2">
        <f t="shared" si="170"/>
        <v>0</v>
      </c>
      <c r="Q339" s="198"/>
    </row>
    <row r="340" spans="1:17" s="125" customFormat="1" ht="62.25" hidden="1" customHeight="1" x14ac:dyDescent="0.25">
      <c r="A340" s="1"/>
      <c r="B340" s="3"/>
      <c r="C340" s="1"/>
      <c r="D340" s="64" t="s">
        <v>688</v>
      </c>
      <c r="E340" s="2">
        <f t="shared" si="169"/>
        <v>0</v>
      </c>
      <c r="F340" s="2"/>
      <c r="G340" s="2"/>
      <c r="H340" s="2"/>
      <c r="I340" s="2"/>
      <c r="J340" s="16">
        <f>L340+O340</f>
        <v>0</v>
      </c>
      <c r="K340" s="16"/>
      <c r="L340" s="16"/>
      <c r="M340" s="16"/>
      <c r="N340" s="16"/>
      <c r="O340" s="16"/>
      <c r="P340" s="16">
        <f t="shared" si="170"/>
        <v>0</v>
      </c>
      <c r="Q340" s="198"/>
    </row>
    <row r="341" spans="1:17" s="125" customFormat="1" ht="65.25" customHeight="1" x14ac:dyDescent="0.25">
      <c r="A341" s="1" t="s">
        <v>203</v>
      </c>
      <c r="B341" s="3" t="str">
        <f>'дод 7'!A180</f>
        <v>6084</v>
      </c>
      <c r="C341" s="3" t="str">
        <f>'дод 7'!B180</f>
        <v>0610</v>
      </c>
      <c r="D341" s="63" t="str">
        <f>'дод 7'!C180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41" s="2">
        <f t="shared" si="169"/>
        <v>0</v>
      </c>
      <c r="F341" s="2"/>
      <c r="G341" s="2"/>
      <c r="H341" s="2"/>
      <c r="I341" s="2"/>
      <c r="J341" s="2">
        <f t="shared" ref="J341:J364" si="172">L341+O341</f>
        <v>412200</v>
      </c>
      <c r="K341" s="2"/>
      <c r="L341" s="2"/>
      <c r="M341" s="2"/>
      <c r="N341" s="2"/>
      <c r="O341" s="2">
        <v>412200</v>
      </c>
      <c r="P341" s="2">
        <f t="shared" si="170"/>
        <v>412200</v>
      </c>
      <c r="Q341" s="198"/>
    </row>
    <row r="342" spans="1:17" s="125" customFormat="1" ht="31.5" x14ac:dyDescent="0.25">
      <c r="A342" s="1" t="s">
        <v>272</v>
      </c>
      <c r="B342" s="3" t="str">
        <f>'дод 7'!A195</f>
        <v>7310</v>
      </c>
      <c r="C342" s="3" t="str">
        <f>'дод 7'!B195</f>
        <v>0443</v>
      </c>
      <c r="D342" s="63" t="s">
        <v>679</v>
      </c>
      <c r="E342" s="2">
        <f t="shared" si="169"/>
        <v>0</v>
      </c>
      <c r="F342" s="2"/>
      <c r="G342" s="2"/>
      <c r="H342" s="2"/>
      <c r="I342" s="2"/>
      <c r="J342" s="2">
        <f t="shared" si="172"/>
        <v>537260</v>
      </c>
      <c r="K342" s="2">
        <f>537260</f>
        <v>537260</v>
      </c>
      <c r="L342" s="2"/>
      <c r="M342" s="2"/>
      <c r="N342" s="2"/>
      <c r="O342" s="2">
        <f>537260</f>
        <v>537260</v>
      </c>
      <c r="P342" s="2">
        <f t="shared" si="170"/>
        <v>537260</v>
      </c>
      <c r="Q342" s="198"/>
    </row>
    <row r="343" spans="1:17" s="125" customFormat="1" ht="32.65" customHeight="1" x14ac:dyDescent="0.25">
      <c r="A343" s="1" t="s">
        <v>273</v>
      </c>
      <c r="B343" s="3" t="str">
        <f>'дод 7'!A197</f>
        <v>7321</v>
      </c>
      <c r="C343" s="3" t="str">
        <f>'дод 7'!B197</f>
        <v>0443</v>
      </c>
      <c r="D343" s="4" t="str">
        <f>'дод 7'!C197</f>
        <v>Будівництво1 освітніх установ та закладів</v>
      </c>
      <c r="E343" s="2">
        <f t="shared" si="169"/>
        <v>0</v>
      </c>
      <c r="F343" s="2"/>
      <c r="G343" s="2"/>
      <c r="H343" s="2"/>
      <c r="I343" s="2"/>
      <c r="J343" s="2">
        <f t="shared" si="172"/>
        <v>5525574</v>
      </c>
      <c r="K343" s="2">
        <f>5000000+225574+300000</f>
        <v>5525574</v>
      </c>
      <c r="L343" s="2"/>
      <c r="M343" s="2"/>
      <c r="N343" s="2"/>
      <c r="O343" s="2">
        <f>5000000+225574+300000</f>
        <v>5525574</v>
      </c>
      <c r="P343" s="2">
        <f t="shared" si="170"/>
        <v>5525574</v>
      </c>
      <c r="Q343" s="198"/>
    </row>
    <row r="344" spans="1:17" s="125" customFormat="1" ht="31.5" customHeight="1" x14ac:dyDescent="0.25">
      <c r="A344" s="1" t="s">
        <v>275</v>
      </c>
      <c r="B344" s="3" t="str">
        <f>'дод 7'!A199</f>
        <v>7322</v>
      </c>
      <c r="C344" s="3" t="str">
        <f>'дод 7'!B199</f>
        <v>0443</v>
      </c>
      <c r="D344" s="4" t="str">
        <f>'дод 7'!C199</f>
        <v>Будівництво1 медичних установ та закладів</v>
      </c>
      <c r="E344" s="2">
        <f t="shared" si="169"/>
        <v>0</v>
      </c>
      <c r="F344" s="2"/>
      <c r="G344" s="2"/>
      <c r="H344" s="2"/>
      <c r="I344" s="2"/>
      <c r="J344" s="2">
        <f t="shared" si="172"/>
        <v>9256612</v>
      </c>
      <c r="K344" s="2">
        <f>8000000+1256612</f>
        <v>9256612</v>
      </c>
      <c r="L344" s="2"/>
      <c r="M344" s="2"/>
      <c r="N344" s="2"/>
      <c r="O344" s="2">
        <f>8000000+1256612</f>
        <v>9256612</v>
      </c>
      <c r="P344" s="2">
        <f t="shared" si="170"/>
        <v>9256612</v>
      </c>
      <c r="Q344" s="198"/>
    </row>
    <row r="345" spans="1:17" s="125" customFormat="1" ht="26.25" hidden="1" customHeight="1" x14ac:dyDescent="0.25">
      <c r="A345" s="1" t="s">
        <v>520</v>
      </c>
      <c r="B345" s="3">
        <v>7324</v>
      </c>
      <c r="C345" s="3">
        <v>443</v>
      </c>
      <c r="D345" s="4" t="str">
        <f>'дод 7'!C201</f>
        <v>Будівництво1 установ та закладів культури</v>
      </c>
      <c r="E345" s="2">
        <f t="shared" si="169"/>
        <v>0</v>
      </c>
      <c r="F345" s="2"/>
      <c r="G345" s="2"/>
      <c r="H345" s="2"/>
      <c r="I345" s="2"/>
      <c r="J345" s="2">
        <f t="shared" si="172"/>
        <v>0</v>
      </c>
      <c r="K345" s="2"/>
      <c r="L345" s="2"/>
      <c r="M345" s="2"/>
      <c r="N345" s="2"/>
      <c r="O345" s="2"/>
      <c r="P345" s="2">
        <f t="shared" si="170"/>
        <v>0</v>
      </c>
      <c r="Q345" s="198"/>
    </row>
    <row r="346" spans="1:17" s="125" customFormat="1" ht="32.25" hidden="1" customHeight="1" x14ac:dyDescent="0.25">
      <c r="A346" s="1" t="s">
        <v>353</v>
      </c>
      <c r="B346" s="3">
        <f>'дод 7'!A202</f>
        <v>7325</v>
      </c>
      <c r="C346" s="1" t="s">
        <v>110</v>
      </c>
      <c r="D346" s="4" t="str">
        <f>'дод 7'!C202</f>
        <v>Будівництво1 споруд, установ та закладів фізичної культури і спорту</v>
      </c>
      <c r="E346" s="2">
        <f t="shared" si="169"/>
        <v>0</v>
      </c>
      <c r="F346" s="2"/>
      <c r="G346" s="2"/>
      <c r="H346" s="2"/>
      <c r="I346" s="2"/>
      <c r="J346" s="2">
        <f t="shared" si="172"/>
        <v>0</v>
      </c>
      <c r="K346" s="2"/>
      <c r="L346" s="2"/>
      <c r="M346" s="2"/>
      <c r="N346" s="2"/>
      <c r="O346" s="2"/>
      <c r="P346" s="2">
        <f t="shared" si="170"/>
        <v>0</v>
      </c>
      <c r="Q346" s="198"/>
    </row>
    <row r="347" spans="1:17" s="125" customFormat="1" ht="30.75" customHeight="1" x14ac:dyDescent="0.25">
      <c r="A347" s="1" t="s">
        <v>277</v>
      </c>
      <c r="B347" s="3" t="str">
        <f>'дод 7'!A203</f>
        <v>7330</v>
      </c>
      <c r="C347" s="3" t="str">
        <f>'дод 7'!B203</f>
        <v>0443</v>
      </c>
      <c r="D347" s="4" t="str">
        <f>'дод 7'!C203</f>
        <v>Будівництво1 інших об'єктів комунальної власності</v>
      </c>
      <c r="E347" s="2">
        <f t="shared" si="169"/>
        <v>0</v>
      </c>
      <c r="F347" s="2"/>
      <c r="G347" s="2"/>
      <c r="H347" s="2"/>
      <c r="I347" s="2"/>
      <c r="J347" s="2">
        <f t="shared" si="172"/>
        <v>500000</v>
      </c>
      <c r="K347" s="2">
        <f>500000</f>
        <v>500000</v>
      </c>
      <c r="L347" s="2"/>
      <c r="M347" s="2"/>
      <c r="N347" s="2"/>
      <c r="O347" s="2">
        <f>500000</f>
        <v>500000</v>
      </c>
      <c r="P347" s="2">
        <f t="shared" si="170"/>
        <v>500000</v>
      </c>
      <c r="Q347" s="198"/>
    </row>
    <row r="348" spans="1:17" s="125" customFormat="1" ht="28.5" customHeight="1" x14ac:dyDescent="0.25">
      <c r="A348" s="1" t="s">
        <v>412</v>
      </c>
      <c r="B348" s="3">
        <v>7340</v>
      </c>
      <c r="C348" s="1" t="s">
        <v>110</v>
      </c>
      <c r="D348" s="63" t="s">
        <v>1</v>
      </c>
      <c r="E348" s="2">
        <f t="shared" si="169"/>
        <v>0</v>
      </c>
      <c r="F348" s="2"/>
      <c r="G348" s="2"/>
      <c r="H348" s="2"/>
      <c r="I348" s="2"/>
      <c r="J348" s="2">
        <f t="shared" si="172"/>
        <v>7807879</v>
      </c>
      <c r="K348" s="2">
        <f>450000+7357879</f>
        <v>7807879</v>
      </c>
      <c r="L348" s="2"/>
      <c r="M348" s="2"/>
      <c r="N348" s="2"/>
      <c r="O348" s="2">
        <f>450000+7357879</f>
        <v>7807879</v>
      </c>
      <c r="P348" s="2">
        <f t="shared" si="170"/>
        <v>7807879</v>
      </c>
      <c r="Q348" s="198"/>
    </row>
    <row r="349" spans="1:17" s="125" customFormat="1" ht="53.25" hidden="1" customHeight="1" x14ac:dyDescent="0.25">
      <c r="A349" s="1" t="s">
        <v>365</v>
      </c>
      <c r="B349" s="3">
        <f>'дод 7'!A206</f>
        <v>7361</v>
      </c>
      <c r="C349" s="3" t="str">
        <f>'дод 7'!B206</f>
        <v>0490</v>
      </c>
      <c r="D349" s="63" t="str">
        <f>'дод 7'!C206</f>
        <v>Співфінансування інвестиційних проектів, що реалізуються за рахунок коштів державного фонду регіонального розвитку</v>
      </c>
      <c r="E349" s="2">
        <f t="shared" ref="E349" si="173">F349+I349</f>
        <v>0</v>
      </c>
      <c r="F349" s="2"/>
      <c r="G349" s="2"/>
      <c r="H349" s="2"/>
      <c r="I349" s="2"/>
      <c r="J349" s="2">
        <f t="shared" ref="J349" si="174">L349+O349</f>
        <v>0</v>
      </c>
      <c r="K349" s="2"/>
      <c r="L349" s="2"/>
      <c r="M349" s="2"/>
      <c r="N349" s="2"/>
      <c r="O349" s="2"/>
      <c r="P349" s="2">
        <f t="shared" si="170"/>
        <v>0</v>
      </c>
      <c r="Q349" s="198"/>
    </row>
    <row r="350" spans="1:17" s="125" customFormat="1" ht="47.25" hidden="1" customHeight="1" x14ac:dyDescent="0.25">
      <c r="A350" s="1" t="s">
        <v>360</v>
      </c>
      <c r="B350" s="3">
        <v>7363</v>
      </c>
      <c r="C350" s="1" t="s">
        <v>81</v>
      </c>
      <c r="D350" s="63" t="s">
        <v>629</v>
      </c>
      <c r="E350" s="2">
        <f t="shared" si="169"/>
        <v>0</v>
      </c>
      <c r="F350" s="2"/>
      <c r="G350" s="2"/>
      <c r="H350" s="2"/>
      <c r="I350" s="2"/>
      <c r="J350" s="2">
        <f t="shared" si="172"/>
        <v>0</v>
      </c>
      <c r="K350" s="2"/>
      <c r="L350" s="2"/>
      <c r="M350" s="2"/>
      <c r="N350" s="2"/>
      <c r="O350" s="2"/>
      <c r="P350" s="2">
        <f t="shared" si="170"/>
        <v>0</v>
      </c>
      <c r="Q350" s="198"/>
    </row>
    <row r="351" spans="1:17" s="5" customFormat="1" ht="63" hidden="1" customHeight="1" x14ac:dyDescent="0.25">
      <c r="A351" s="66"/>
      <c r="B351" s="53"/>
      <c r="C351" s="66"/>
      <c r="D351" s="64" t="s">
        <v>598</v>
      </c>
      <c r="E351" s="16">
        <f t="shared" si="169"/>
        <v>0</v>
      </c>
      <c r="F351" s="16"/>
      <c r="G351" s="16"/>
      <c r="H351" s="16"/>
      <c r="I351" s="16"/>
      <c r="J351" s="16">
        <f t="shared" ref="J351" si="175">L351+O351</f>
        <v>0</v>
      </c>
      <c r="K351" s="16"/>
      <c r="L351" s="16"/>
      <c r="M351" s="16"/>
      <c r="N351" s="16"/>
      <c r="O351" s="16"/>
      <c r="P351" s="16">
        <f t="shared" ref="P351" si="176">E351+J351</f>
        <v>0</v>
      </c>
      <c r="Q351" s="198"/>
    </row>
    <row r="352" spans="1:17" s="125" customFormat="1" ht="31.5" hidden="1" customHeight="1" x14ac:dyDescent="0.25">
      <c r="A352" s="1" t="s">
        <v>414</v>
      </c>
      <c r="B352" s="3">
        <v>7370</v>
      </c>
      <c r="C352" s="1" t="s">
        <v>81</v>
      </c>
      <c r="D352" s="63" t="s">
        <v>415</v>
      </c>
      <c r="E352" s="2">
        <f>F352+I352</f>
        <v>0</v>
      </c>
      <c r="F352" s="2"/>
      <c r="G352" s="2"/>
      <c r="H352" s="2"/>
      <c r="I352" s="2"/>
      <c r="J352" s="2">
        <f t="shared" si="172"/>
        <v>0</v>
      </c>
      <c r="K352" s="2"/>
      <c r="L352" s="2"/>
      <c r="M352" s="2"/>
      <c r="N352" s="2"/>
      <c r="O352" s="2"/>
      <c r="P352" s="2">
        <f t="shared" si="170"/>
        <v>0</v>
      </c>
      <c r="Q352" s="198"/>
    </row>
    <row r="353" spans="1:17" s="125" customFormat="1" ht="21" customHeight="1" x14ac:dyDescent="0.25">
      <c r="A353" s="1" t="s">
        <v>143</v>
      </c>
      <c r="B353" s="3" t="str">
        <f>'дод 7'!A236</f>
        <v>7640</v>
      </c>
      <c r="C353" s="3" t="str">
        <f>'дод 7'!B236</f>
        <v>0470</v>
      </c>
      <c r="D353" s="63" t="str">
        <f>'дод 7'!C236</f>
        <v>Заходи з енергозбереження, у т. ч. за рахунок:</v>
      </c>
      <c r="E353" s="2">
        <f t="shared" si="169"/>
        <v>985324</v>
      </c>
      <c r="F353" s="2">
        <v>985324</v>
      </c>
      <c r="G353" s="2"/>
      <c r="H353" s="2"/>
      <c r="I353" s="2"/>
      <c r="J353" s="2">
        <f t="shared" si="172"/>
        <v>92681686</v>
      </c>
      <c r="K353" s="2">
        <f>92681686</f>
        <v>92681686</v>
      </c>
      <c r="L353" s="2"/>
      <c r="M353" s="2"/>
      <c r="N353" s="2"/>
      <c r="O353" s="2">
        <f>92681686</f>
        <v>92681686</v>
      </c>
      <c r="P353" s="2">
        <f t="shared" si="170"/>
        <v>93667010</v>
      </c>
      <c r="Q353" s="198"/>
    </row>
    <row r="354" spans="1:17" s="5" customFormat="1" ht="17.25" customHeight="1" x14ac:dyDescent="0.25">
      <c r="A354" s="66"/>
      <c r="B354" s="53"/>
      <c r="C354" s="53"/>
      <c r="D354" s="64" t="s">
        <v>407</v>
      </c>
      <c r="E354" s="16">
        <f t="shared" si="169"/>
        <v>0</v>
      </c>
      <c r="F354" s="16"/>
      <c r="G354" s="16"/>
      <c r="H354" s="16"/>
      <c r="I354" s="16"/>
      <c r="J354" s="16">
        <f t="shared" si="172"/>
        <v>61868709</v>
      </c>
      <c r="K354" s="16">
        <v>61868709</v>
      </c>
      <c r="L354" s="16"/>
      <c r="M354" s="16"/>
      <c r="N354" s="16"/>
      <c r="O354" s="16">
        <v>61868709</v>
      </c>
      <c r="P354" s="16">
        <f t="shared" si="170"/>
        <v>61868709</v>
      </c>
      <c r="Q354" s="198"/>
    </row>
    <row r="355" spans="1:17" s="125" customFormat="1" ht="126" hidden="1" customHeight="1" x14ac:dyDescent="0.25">
      <c r="A355" s="1" t="s">
        <v>363</v>
      </c>
      <c r="B355" s="3">
        <v>7691</v>
      </c>
      <c r="C355" s="49" t="s">
        <v>81</v>
      </c>
      <c r="D355" s="63" t="s">
        <v>308</v>
      </c>
      <c r="E355" s="2">
        <f t="shared" si="169"/>
        <v>0</v>
      </c>
      <c r="F355" s="2"/>
      <c r="G355" s="2"/>
      <c r="H355" s="2"/>
      <c r="I355" s="2"/>
      <c r="J355" s="2">
        <f t="shared" si="172"/>
        <v>0</v>
      </c>
      <c r="K355" s="2"/>
      <c r="L355" s="2"/>
      <c r="M355" s="2"/>
      <c r="N355" s="2"/>
      <c r="O355" s="2"/>
      <c r="P355" s="2">
        <f t="shared" si="170"/>
        <v>0</v>
      </c>
      <c r="Q355" s="198"/>
    </row>
    <row r="356" spans="1:17" s="125" customFormat="1" ht="31.5" hidden="1" customHeight="1" x14ac:dyDescent="0.25">
      <c r="A356" s="1" t="s">
        <v>491</v>
      </c>
      <c r="B356" s="3">
        <v>9750</v>
      </c>
      <c r="C356" s="1" t="s">
        <v>44</v>
      </c>
      <c r="D356" s="63" t="s">
        <v>492</v>
      </c>
      <c r="E356" s="2">
        <f t="shared" ref="E356" si="177">F356+I356</f>
        <v>0</v>
      </c>
      <c r="F356" s="2"/>
      <c r="G356" s="2"/>
      <c r="H356" s="2"/>
      <c r="I356" s="2"/>
      <c r="J356" s="2">
        <f t="shared" ref="J356" si="178">L356+O356</f>
        <v>0</v>
      </c>
      <c r="K356" s="2"/>
      <c r="L356" s="2"/>
      <c r="M356" s="2"/>
      <c r="N356" s="2"/>
      <c r="O356" s="2"/>
      <c r="P356" s="2">
        <f t="shared" ref="P356" si="179">E356+J356</f>
        <v>0</v>
      </c>
      <c r="Q356" s="198"/>
    </row>
    <row r="357" spans="1:17" s="124" customFormat="1" ht="33.75" hidden="1" customHeight="1" x14ac:dyDescent="0.25">
      <c r="A357" s="94" t="s">
        <v>204</v>
      </c>
      <c r="B357" s="58"/>
      <c r="C357" s="58"/>
      <c r="D357" s="91" t="s">
        <v>39</v>
      </c>
      <c r="E357" s="15">
        <f>E358</f>
        <v>0</v>
      </c>
      <c r="F357" s="15">
        <f t="shared" ref="F357:J357" si="180">F358</f>
        <v>0</v>
      </c>
      <c r="G357" s="15">
        <f t="shared" si="180"/>
        <v>0</v>
      </c>
      <c r="H357" s="15">
        <f t="shared" si="180"/>
        <v>0</v>
      </c>
      <c r="I357" s="15">
        <f t="shared" si="180"/>
        <v>0</v>
      </c>
      <c r="J357" s="15">
        <f t="shared" si="180"/>
        <v>0</v>
      </c>
      <c r="K357" s="15">
        <f t="shared" ref="K357" si="181">K358</f>
        <v>0</v>
      </c>
      <c r="L357" s="15">
        <f t="shared" ref="L357" si="182">L358</f>
        <v>0</v>
      </c>
      <c r="M357" s="15">
        <f t="shared" ref="M357" si="183">M358</f>
        <v>0</v>
      </c>
      <c r="N357" s="15">
        <f t="shared" ref="N357" si="184">N358</f>
        <v>0</v>
      </c>
      <c r="O357" s="15">
        <f t="shared" ref="O357:P357" si="185">O358</f>
        <v>0</v>
      </c>
      <c r="P357" s="15">
        <f t="shared" si="185"/>
        <v>0</v>
      </c>
      <c r="Q357" s="198"/>
    </row>
    <row r="358" spans="1:17" s="11" customFormat="1" ht="35.25" hidden="1" customHeight="1" x14ac:dyDescent="0.25">
      <c r="A358" s="7" t="s">
        <v>205</v>
      </c>
      <c r="B358" s="8"/>
      <c r="C358" s="8"/>
      <c r="D358" s="9" t="s">
        <v>39</v>
      </c>
      <c r="E358" s="10">
        <f>E359+E360+E362+E363+E364+E361</f>
        <v>0</v>
      </c>
      <c r="F358" s="10">
        <f t="shared" ref="F358:P358" si="186">F359+F360+F362+F363+F364+F361</f>
        <v>0</v>
      </c>
      <c r="G358" s="10">
        <f t="shared" si="186"/>
        <v>0</v>
      </c>
      <c r="H358" s="10">
        <f t="shared" si="186"/>
        <v>0</v>
      </c>
      <c r="I358" s="10">
        <f t="shared" si="186"/>
        <v>0</v>
      </c>
      <c r="J358" s="10">
        <f t="shared" si="186"/>
        <v>0</v>
      </c>
      <c r="K358" s="10">
        <f t="shared" si="186"/>
        <v>0</v>
      </c>
      <c r="L358" s="10">
        <f t="shared" si="186"/>
        <v>0</v>
      </c>
      <c r="M358" s="10">
        <f t="shared" si="186"/>
        <v>0</v>
      </c>
      <c r="N358" s="10">
        <f t="shared" si="186"/>
        <v>0</v>
      </c>
      <c r="O358" s="10">
        <f t="shared" si="186"/>
        <v>0</v>
      </c>
      <c r="P358" s="10">
        <f t="shared" si="186"/>
        <v>0</v>
      </c>
      <c r="Q358" s="198"/>
    </row>
    <row r="359" spans="1:17" s="125" customFormat="1" ht="47.25" hidden="1" x14ac:dyDescent="0.25">
      <c r="A359" s="1" t="s">
        <v>206</v>
      </c>
      <c r="B359" s="3" t="str">
        <f>'дод 7'!A17</f>
        <v>0160</v>
      </c>
      <c r="C359" s="3" t="str">
        <f>'дод 7'!B17</f>
        <v>0111</v>
      </c>
      <c r="D359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59" s="2">
        <f t="shared" ref="E359:E364" si="187">F359+I359</f>
        <v>0</v>
      </c>
      <c r="F359" s="2"/>
      <c r="G359" s="2"/>
      <c r="H359" s="2"/>
      <c r="I359" s="2"/>
      <c r="J359" s="2">
        <f t="shared" si="172"/>
        <v>0</v>
      </c>
      <c r="K359" s="2"/>
      <c r="L359" s="2"/>
      <c r="M359" s="2"/>
      <c r="N359" s="2"/>
      <c r="O359" s="2"/>
      <c r="P359" s="2">
        <f t="shared" ref="P359:P364" si="188">E359+J359</f>
        <v>0</v>
      </c>
      <c r="Q359" s="198"/>
    </row>
    <row r="360" spans="1:17" s="125" customFormat="1" ht="31.5" hidden="1" x14ac:dyDescent="0.25">
      <c r="A360" s="1" t="s">
        <v>305</v>
      </c>
      <c r="B360" s="3" t="str">
        <f>'дод 7'!A181</f>
        <v>6090</v>
      </c>
      <c r="C360" s="3" t="str">
        <f>'дод 7'!B181</f>
        <v>0640</v>
      </c>
      <c r="D360" s="63" t="str">
        <f>'дод 7'!C181</f>
        <v>Інша діяльність у сфері житлово-комунального господарства</v>
      </c>
      <c r="E360" s="2">
        <f t="shared" si="187"/>
        <v>0</v>
      </c>
      <c r="F360" s="2"/>
      <c r="G360" s="2"/>
      <c r="H360" s="2"/>
      <c r="I360" s="2"/>
      <c r="J360" s="2">
        <f t="shared" si="172"/>
        <v>0</v>
      </c>
      <c r="K360" s="2"/>
      <c r="L360" s="2"/>
      <c r="M360" s="2"/>
      <c r="N360" s="2"/>
      <c r="O360" s="2"/>
      <c r="P360" s="2">
        <f t="shared" si="188"/>
        <v>0</v>
      </c>
      <c r="Q360" s="198"/>
    </row>
    <row r="361" spans="1:17" s="125" customFormat="1" ht="31.5" hidden="1" customHeight="1" x14ac:dyDescent="0.25">
      <c r="A361" s="1" t="s">
        <v>554</v>
      </c>
      <c r="B361" s="3">
        <v>7340</v>
      </c>
      <c r="C361" s="1" t="s">
        <v>110</v>
      </c>
      <c r="D361" s="63" t="str">
        <f>'дод 7'!C204</f>
        <v>Проектування, реставрація та охорона пам'яток архітектури</v>
      </c>
      <c r="E361" s="2">
        <f t="shared" si="187"/>
        <v>0</v>
      </c>
      <c r="F361" s="2"/>
      <c r="G361" s="2"/>
      <c r="H361" s="2"/>
      <c r="I361" s="2"/>
      <c r="J361" s="2">
        <f t="shared" si="172"/>
        <v>0</v>
      </c>
      <c r="K361" s="2"/>
      <c r="L361" s="2"/>
      <c r="M361" s="2"/>
      <c r="N361" s="2"/>
      <c r="O361" s="2"/>
      <c r="P361" s="2">
        <f t="shared" si="188"/>
        <v>0</v>
      </c>
      <c r="Q361" s="12"/>
    </row>
    <row r="362" spans="1:17" s="125" customFormat="1" ht="31.5" hidden="1" customHeight="1" x14ac:dyDescent="0.25">
      <c r="A362" s="1" t="s">
        <v>436</v>
      </c>
      <c r="B362" s="1" t="s">
        <v>437</v>
      </c>
      <c r="C362" s="1" t="s">
        <v>110</v>
      </c>
      <c r="D362" s="63" t="s">
        <v>438</v>
      </c>
      <c r="E362" s="2">
        <f t="shared" si="187"/>
        <v>0</v>
      </c>
      <c r="F362" s="2"/>
      <c r="G362" s="2"/>
      <c r="H362" s="2"/>
      <c r="I362" s="2"/>
      <c r="J362" s="2">
        <f t="shared" si="172"/>
        <v>0</v>
      </c>
      <c r="K362" s="2">
        <f>900000-900000</f>
        <v>0</v>
      </c>
      <c r="L362" s="2"/>
      <c r="M362" s="2"/>
      <c r="N362" s="2"/>
      <c r="O362" s="2">
        <f>900000-900000</f>
        <v>0</v>
      </c>
      <c r="P362" s="2">
        <f t="shared" si="188"/>
        <v>0</v>
      </c>
      <c r="Q362" s="12"/>
    </row>
    <row r="363" spans="1:17" s="125" customFormat="1" ht="31.5" hidden="1" customHeight="1" x14ac:dyDescent="0.25">
      <c r="A363" s="1" t="s">
        <v>513</v>
      </c>
      <c r="B363" s="1" t="s">
        <v>514</v>
      </c>
      <c r="C363" s="1" t="s">
        <v>81</v>
      </c>
      <c r="D363" s="63" t="str">
        <f>'дод 7'!C212</f>
        <v>Реалізація інших заходів щодо соціально-економічного розвитку територій</v>
      </c>
      <c r="E363" s="2">
        <f t="shared" si="187"/>
        <v>0</v>
      </c>
      <c r="F363" s="2"/>
      <c r="G363" s="2"/>
      <c r="H363" s="2"/>
      <c r="I363" s="2"/>
      <c r="J363" s="2">
        <f t="shared" ref="J363" si="189">L363+O363</f>
        <v>0</v>
      </c>
      <c r="K363" s="2"/>
      <c r="L363" s="2"/>
      <c r="M363" s="2"/>
      <c r="N363" s="2"/>
      <c r="O363" s="2"/>
      <c r="P363" s="2">
        <f t="shared" si="188"/>
        <v>0</v>
      </c>
      <c r="Q363" s="12"/>
    </row>
    <row r="364" spans="1:17" s="125" customFormat="1" ht="123" hidden="1" customHeight="1" x14ac:dyDescent="0.25">
      <c r="A364" s="1" t="s">
        <v>293</v>
      </c>
      <c r="B364" s="3" t="str">
        <f>'дод 7'!A243</f>
        <v>7691</v>
      </c>
      <c r="C364" s="3" t="str">
        <f>'дод 7'!B243</f>
        <v>0490</v>
      </c>
      <c r="D364" s="63" t="str">
        <f>'дод 7'!C243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64" s="2">
        <f t="shared" si="187"/>
        <v>0</v>
      </c>
      <c r="F364" s="2"/>
      <c r="G364" s="2"/>
      <c r="H364" s="2"/>
      <c r="I364" s="2"/>
      <c r="J364" s="2">
        <f t="shared" si="172"/>
        <v>0</v>
      </c>
      <c r="K364" s="2"/>
      <c r="L364" s="2"/>
      <c r="M364" s="2"/>
      <c r="N364" s="2"/>
      <c r="O364" s="2"/>
      <c r="P364" s="2">
        <f t="shared" si="188"/>
        <v>0</v>
      </c>
      <c r="Q364" s="12"/>
    </row>
    <row r="365" spans="1:17" s="124" customFormat="1" ht="38.25" customHeight="1" x14ac:dyDescent="0.25">
      <c r="A365" s="94" t="s">
        <v>209</v>
      </c>
      <c r="B365" s="58"/>
      <c r="C365" s="58"/>
      <c r="D365" s="91" t="s">
        <v>41</v>
      </c>
      <c r="E365" s="15">
        <f>E366</f>
        <v>5078400</v>
      </c>
      <c r="F365" s="15">
        <f t="shared" ref="F365:J366" si="190">F366</f>
        <v>5078400</v>
      </c>
      <c r="G365" s="15">
        <f t="shared" si="190"/>
        <v>3857700</v>
      </c>
      <c r="H365" s="15">
        <f t="shared" si="190"/>
        <v>106200</v>
      </c>
      <c r="I365" s="15">
        <f t="shared" si="190"/>
        <v>0</v>
      </c>
      <c r="J365" s="15">
        <f t="shared" si="190"/>
        <v>0</v>
      </c>
      <c r="K365" s="15">
        <f t="shared" ref="K365:K366" si="191">K366</f>
        <v>0</v>
      </c>
      <c r="L365" s="15">
        <f t="shared" ref="L365:L366" si="192">L366</f>
        <v>0</v>
      </c>
      <c r="M365" s="15">
        <f t="shared" ref="M365:M366" si="193">M366</f>
        <v>0</v>
      </c>
      <c r="N365" s="15">
        <f t="shared" ref="N365:N366" si="194">N366</f>
        <v>0</v>
      </c>
      <c r="O365" s="15">
        <f t="shared" ref="O365:P366" si="195">O366</f>
        <v>0</v>
      </c>
      <c r="P365" s="15">
        <f t="shared" si="195"/>
        <v>5078400</v>
      </c>
      <c r="Q365" s="198"/>
    </row>
    <row r="366" spans="1:17" s="11" customFormat="1" ht="35.25" customHeight="1" x14ac:dyDescent="0.25">
      <c r="A366" s="7" t="s">
        <v>207</v>
      </c>
      <c r="B366" s="8"/>
      <c r="C366" s="8"/>
      <c r="D366" s="9" t="s">
        <v>41</v>
      </c>
      <c r="E366" s="10">
        <f>E367</f>
        <v>5078400</v>
      </c>
      <c r="F366" s="10">
        <f t="shared" si="190"/>
        <v>5078400</v>
      </c>
      <c r="G366" s="10">
        <f t="shared" si="190"/>
        <v>3857700</v>
      </c>
      <c r="H366" s="10">
        <f t="shared" si="190"/>
        <v>106200</v>
      </c>
      <c r="I366" s="10">
        <f t="shared" si="190"/>
        <v>0</v>
      </c>
      <c r="J366" s="10">
        <f t="shared" si="190"/>
        <v>0</v>
      </c>
      <c r="K366" s="10">
        <f t="shared" si="191"/>
        <v>0</v>
      </c>
      <c r="L366" s="10">
        <f t="shared" si="192"/>
        <v>0</v>
      </c>
      <c r="M366" s="10">
        <f t="shared" si="193"/>
        <v>0</v>
      </c>
      <c r="N366" s="10">
        <f t="shared" si="194"/>
        <v>0</v>
      </c>
      <c r="O366" s="10">
        <f t="shared" si="195"/>
        <v>0</v>
      </c>
      <c r="P366" s="10">
        <f t="shared" si="195"/>
        <v>5078400</v>
      </c>
      <c r="Q366" s="198"/>
    </row>
    <row r="367" spans="1:17" s="125" customFormat="1" ht="49.5" customHeight="1" x14ac:dyDescent="0.25">
      <c r="A367" s="1" t="s">
        <v>208</v>
      </c>
      <c r="B367" s="3" t="str">
        <f>'дод 7'!A17</f>
        <v>0160</v>
      </c>
      <c r="C367" s="3" t="str">
        <f>'дод 7'!B17</f>
        <v>0111</v>
      </c>
      <c r="D367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67" s="2">
        <f>F367+I367</f>
        <v>5078400</v>
      </c>
      <c r="F367" s="2">
        <v>5078400</v>
      </c>
      <c r="G367" s="2">
        <v>3857700</v>
      </c>
      <c r="H367" s="2">
        <v>106200</v>
      </c>
      <c r="I367" s="2"/>
      <c r="J367" s="2">
        <f>L367+O367</f>
        <v>0</v>
      </c>
      <c r="K367" s="2"/>
      <c r="L367" s="2"/>
      <c r="M367" s="2"/>
      <c r="N367" s="2"/>
      <c r="O367" s="2"/>
      <c r="P367" s="2">
        <f>E367+J367</f>
        <v>5078400</v>
      </c>
      <c r="Q367" s="198"/>
    </row>
    <row r="368" spans="1:17" s="124" customFormat="1" ht="19.149999999999999" customHeight="1" x14ac:dyDescent="0.25">
      <c r="A368" s="94" t="s">
        <v>668</v>
      </c>
      <c r="B368" s="58"/>
      <c r="C368" s="58"/>
      <c r="D368" s="91" t="s">
        <v>632</v>
      </c>
      <c r="E368" s="15">
        <f>E369</f>
        <v>13924100</v>
      </c>
      <c r="F368" s="15">
        <f t="shared" ref="F368:P368" si="196">F369</f>
        <v>13444100</v>
      </c>
      <c r="G368" s="15">
        <f t="shared" si="196"/>
        <v>10491700</v>
      </c>
      <c r="H368" s="15">
        <f t="shared" si="196"/>
        <v>343500</v>
      </c>
      <c r="I368" s="15">
        <f t="shared" si="196"/>
        <v>480000</v>
      </c>
      <c r="J368" s="15">
        <f t="shared" si="196"/>
        <v>0</v>
      </c>
      <c r="K368" s="15">
        <f t="shared" si="196"/>
        <v>0</v>
      </c>
      <c r="L368" s="15">
        <f t="shared" si="196"/>
        <v>0</v>
      </c>
      <c r="M368" s="15">
        <f t="shared" si="196"/>
        <v>0</v>
      </c>
      <c r="N368" s="15">
        <f t="shared" si="196"/>
        <v>0</v>
      </c>
      <c r="O368" s="15">
        <f t="shared" si="196"/>
        <v>0</v>
      </c>
      <c r="P368" s="15">
        <f t="shared" si="196"/>
        <v>13924100</v>
      </c>
      <c r="Q368" s="198"/>
    </row>
    <row r="369" spans="1:17" s="11" customFormat="1" ht="24" customHeight="1" x14ac:dyDescent="0.25">
      <c r="A369" s="7" t="s">
        <v>670</v>
      </c>
      <c r="B369" s="8"/>
      <c r="C369" s="8"/>
      <c r="D369" s="9" t="s">
        <v>632</v>
      </c>
      <c r="E369" s="10">
        <f>E370+E371</f>
        <v>13924100</v>
      </c>
      <c r="F369" s="10">
        <f t="shared" ref="F369:P369" si="197">F370+F371</f>
        <v>13444100</v>
      </c>
      <c r="G369" s="10">
        <f t="shared" si="197"/>
        <v>10491700</v>
      </c>
      <c r="H369" s="10">
        <f t="shared" si="197"/>
        <v>343500</v>
      </c>
      <c r="I369" s="10">
        <f t="shared" si="197"/>
        <v>480000</v>
      </c>
      <c r="J369" s="10">
        <f t="shared" si="197"/>
        <v>0</v>
      </c>
      <c r="K369" s="10">
        <f t="shared" si="197"/>
        <v>0</v>
      </c>
      <c r="L369" s="10">
        <f t="shared" si="197"/>
        <v>0</v>
      </c>
      <c r="M369" s="10">
        <f t="shared" si="197"/>
        <v>0</v>
      </c>
      <c r="N369" s="10">
        <f t="shared" si="197"/>
        <v>0</v>
      </c>
      <c r="O369" s="10">
        <f t="shared" si="197"/>
        <v>0</v>
      </c>
      <c r="P369" s="10">
        <f t="shared" si="197"/>
        <v>13924100</v>
      </c>
      <c r="Q369" s="198"/>
    </row>
    <row r="370" spans="1:17" s="125" customFormat="1" ht="47.25" x14ac:dyDescent="0.25">
      <c r="A370" s="1" t="s">
        <v>669</v>
      </c>
      <c r="B370" s="3" t="str">
        <f>'дод 7'!A17</f>
        <v>0160</v>
      </c>
      <c r="C370" s="3" t="str">
        <f>'дод 7'!B17</f>
        <v>0111</v>
      </c>
      <c r="D370" s="90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70" s="2">
        <f>F370+I370</f>
        <v>13404100</v>
      </c>
      <c r="F370" s="2">
        <v>13404100</v>
      </c>
      <c r="G370" s="2">
        <v>10491700</v>
      </c>
      <c r="H370" s="2">
        <v>343500</v>
      </c>
      <c r="I370" s="2"/>
      <c r="J370" s="2">
        <f>L370+O370</f>
        <v>0</v>
      </c>
      <c r="K370" s="2">
        <f>8000-8000</f>
        <v>0</v>
      </c>
      <c r="L370" s="2"/>
      <c r="M370" s="2"/>
      <c r="N370" s="2"/>
      <c r="O370" s="2">
        <f>8000-8000</f>
        <v>0</v>
      </c>
      <c r="P370" s="2">
        <f>E370+J370</f>
        <v>13404100</v>
      </c>
      <c r="Q370" s="198"/>
    </row>
    <row r="371" spans="1:17" s="125" customFormat="1" ht="20.25" customHeight="1" x14ac:dyDescent="0.25">
      <c r="A371" s="1" t="s">
        <v>671</v>
      </c>
      <c r="B371" s="3" t="str">
        <f>'дод 7'!A235</f>
        <v>7610</v>
      </c>
      <c r="C371" s="3" t="str">
        <f>'дод 7'!B235</f>
        <v>0411</v>
      </c>
      <c r="D371" s="90" t="str">
        <f>'дод 7'!C235</f>
        <v>Сприяння розвитку малого та середнього підприємництва</v>
      </c>
      <c r="E371" s="2">
        <f>F371+I371</f>
        <v>520000</v>
      </c>
      <c r="F371" s="2">
        <f>170000-130000</f>
        <v>40000</v>
      </c>
      <c r="G371" s="2"/>
      <c r="H371" s="2"/>
      <c r="I371" s="2">
        <f>350000+130000</f>
        <v>480000</v>
      </c>
      <c r="J371" s="2">
        <f>L371+O371</f>
        <v>0</v>
      </c>
      <c r="K371" s="2">
        <f>8000-8000</f>
        <v>0</v>
      </c>
      <c r="L371" s="2"/>
      <c r="M371" s="2"/>
      <c r="N371" s="2"/>
      <c r="O371" s="2">
        <f>8000-8000</f>
        <v>0</v>
      </c>
      <c r="P371" s="2">
        <f>E371+J371</f>
        <v>520000</v>
      </c>
      <c r="Q371" s="198"/>
    </row>
    <row r="372" spans="1:17" s="124" customFormat="1" ht="33.75" hidden="1" customHeight="1" x14ac:dyDescent="0.25">
      <c r="A372" s="94" t="s">
        <v>210</v>
      </c>
      <c r="B372" s="58"/>
      <c r="C372" s="58"/>
      <c r="D372" s="91" t="s">
        <v>38</v>
      </c>
      <c r="E372" s="15">
        <f>E373</f>
        <v>0</v>
      </c>
      <c r="F372" s="15">
        <f t="shared" ref="F372:J372" si="198">F373</f>
        <v>0</v>
      </c>
      <c r="G372" s="15">
        <f t="shared" si="198"/>
        <v>0</v>
      </c>
      <c r="H372" s="15">
        <f t="shared" si="198"/>
        <v>0</v>
      </c>
      <c r="I372" s="15">
        <f t="shared" si="198"/>
        <v>0</v>
      </c>
      <c r="J372" s="15">
        <f t="shared" si="198"/>
        <v>0</v>
      </c>
      <c r="K372" s="15">
        <f t="shared" ref="K372" si="199">K373</f>
        <v>0</v>
      </c>
      <c r="L372" s="15">
        <f t="shared" ref="L372" si="200">L373</f>
        <v>0</v>
      </c>
      <c r="M372" s="15">
        <f t="shared" ref="M372" si="201">M373</f>
        <v>0</v>
      </c>
      <c r="N372" s="15">
        <f t="shared" ref="N372" si="202">N373</f>
        <v>0</v>
      </c>
      <c r="O372" s="15">
        <f t="shared" ref="O372" si="203">O373</f>
        <v>0</v>
      </c>
      <c r="P372" s="15">
        <f>P373</f>
        <v>0</v>
      </c>
      <c r="Q372" s="198"/>
    </row>
    <row r="373" spans="1:17" s="11" customFormat="1" ht="32.25" hidden="1" customHeight="1" x14ac:dyDescent="0.25">
      <c r="A373" s="7" t="s">
        <v>211</v>
      </c>
      <c r="B373" s="8"/>
      <c r="C373" s="8"/>
      <c r="D373" s="9" t="s">
        <v>38</v>
      </c>
      <c r="E373" s="10">
        <f>E374+E375++E376+E377+E378+E379</f>
        <v>0</v>
      </c>
      <c r="F373" s="10">
        <f t="shared" ref="F373:P373" si="204">F374+F375++F376+F377+F378+F379</f>
        <v>0</v>
      </c>
      <c r="G373" s="10">
        <f t="shared" si="204"/>
        <v>0</v>
      </c>
      <c r="H373" s="10">
        <f t="shared" si="204"/>
        <v>0</v>
      </c>
      <c r="I373" s="10">
        <f t="shared" si="204"/>
        <v>0</v>
      </c>
      <c r="J373" s="10">
        <f t="shared" si="204"/>
        <v>0</v>
      </c>
      <c r="K373" s="10">
        <f>K374+K375++K376+K377+K378+K379</f>
        <v>0</v>
      </c>
      <c r="L373" s="10">
        <f t="shared" si="204"/>
        <v>0</v>
      </c>
      <c r="M373" s="10">
        <f t="shared" si="204"/>
        <v>0</v>
      </c>
      <c r="N373" s="10">
        <f t="shared" si="204"/>
        <v>0</v>
      </c>
      <c r="O373" s="10">
        <f t="shared" si="204"/>
        <v>0</v>
      </c>
      <c r="P373" s="10">
        <f t="shared" si="204"/>
        <v>0</v>
      </c>
      <c r="Q373" s="198"/>
    </row>
    <row r="374" spans="1:17" s="125" customFormat="1" ht="50.25" hidden="1" customHeight="1" x14ac:dyDescent="0.25">
      <c r="A374" s="1" t="s">
        <v>212</v>
      </c>
      <c r="B374" s="3" t="str">
        <f>'дод 7'!A17</f>
        <v>0160</v>
      </c>
      <c r="C374" s="3" t="str">
        <f>'дод 7'!B17</f>
        <v>0111</v>
      </c>
      <c r="D374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74" s="2">
        <f t="shared" ref="E374:E379" si="205">F374+I374</f>
        <v>0</v>
      </c>
      <c r="F374" s="2">
        <f>2935400-2935400</f>
        <v>0</v>
      </c>
      <c r="G374" s="2">
        <f>2161900-2161900</f>
        <v>0</v>
      </c>
      <c r="H374" s="2">
        <f>209200-209200</f>
        <v>0</v>
      </c>
      <c r="I374" s="2"/>
      <c r="J374" s="2">
        <f>L374+O374</f>
        <v>0</v>
      </c>
      <c r="K374" s="2"/>
      <c r="L374" s="2"/>
      <c r="M374" s="2"/>
      <c r="N374" s="2"/>
      <c r="O374" s="2"/>
      <c r="P374" s="2">
        <f t="shared" ref="P374:P379" si="206">E374+J374</f>
        <v>0</v>
      </c>
      <c r="Q374" s="198"/>
    </row>
    <row r="375" spans="1:17" s="140" customFormat="1" ht="21" hidden="1" customHeight="1" x14ac:dyDescent="0.25">
      <c r="A375" s="1" t="s">
        <v>213</v>
      </c>
      <c r="B375" s="3" t="str">
        <f>'дод 7'!A190</f>
        <v>7130</v>
      </c>
      <c r="C375" s="3" t="str">
        <f>'дод 7'!B190</f>
        <v>0421</v>
      </c>
      <c r="D375" s="63" t="str">
        <f>'дод 7'!C190</f>
        <v>Здійснення заходів із землеустрою</v>
      </c>
      <c r="E375" s="2">
        <f t="shared" si="205"/>
        <v>0</v>
      </c>
      <c r="F375" s="2"/>
      <c r="G375" s="2"/>
      <c r="H375" s="2"/>
      <c r="I375" s="2"/>
      <c r="J375" s="2">
        <f t="shared" ref="J375:J379" si="207">L375+O375</f>
        <v>0</v>
      </c>
      <c r="K375" s="2"/>
      <c r="L375" s="2"/>
      <c r="M375" s="2"/>
      <c r="N375" s="2"/>
      <c r="O375" s="2"/>
      <c r="P375" s="2">
        <f t="shared" si="206"/>
        <v>0</v>
      </c>
      <c r="Q375" s="198"/>
    </row>
    <row r="376" spans="1:17" s="125" customFormat="1" ht="36" hidden="1" customHeight="1" x14ac:dyDescent="0.25">
      <c r="A376" s="1" t="s">
        <v>214</v>
      </c>
      <c r="B376" s="3" t="str">
        <f>'дод 7'!A235</f>
        <v>7610</v>
      </c>
      <c r="C376" s="3" t="str">
        <f>'дод 7'!B235</f>
        <v>0411</v>
      </c>
      <c r="D376" s="63" t="str">
        <f>'дод 7'!C235</f>
        <v>Сприяння розвитку малого та середнього підприємництва</v>
      </c>
      <c r="E376" s="2">
        <f t="shared" si="205"/>
        <v>0</v>
      </c>
      <c r="F376" s="2"/>
      <c r="G376" s="2"/>
      <c r="H376" s="2"/>
      <c r="I376" s="2"/>
      <c r="J376" s="2">
        <f t="shared" si="207"/>
        <v>0</v>
      </c>
      <c r="K376" s="2"/>
      <c r="L376" s="2"/>
      <c r="M376" s="2"/>
      <c r="N376" s="2"/>
      <c r="O376" s="2"/>
      <c r="P376" s="2">
        <f t="shared" si="206"/>
        <v>0</v>
      </c>
      <c r="Q376" s="198"/>
    </row>
    <row r="377" spans="1:17" s="125" customFormat="1" ht="32.25" hidden="1" customHeight="1" x14ac:dyDescent="0.25">
      <c r="A377" s="1" t="s">
        <v>263</v>
      </c>
      <c r="B377" s="3" t="str">
        <f>'дод 7'!A238</f>
        <v>7650</v>
      </c>
      <c r="C377" s="3" t="str">
        <f>'дод 7'!B238</f>
        <v>0490</v>
      </c>
      <c r="D377" s="63" t="str">
        <f>'дод 7'!C238</f>
        <v>Проведення експертної грошової оцінки земельної ділянки чи права на неї</v>
      </c>
      <c r="E377" s="2">
        <f t="shared" si="205"/>
        <v>0</v>
      </c>
      <c r="F377" s="2"/>
      <c r="G377" s="2"/>
      <c r="H377" s="2"/>
      <c r="I377" s="2"/>
      <c r="J377" s="2">
        <f t="shared" si="207"/>
        <v>0</v>
      </c>
      <c r="K377" s="2"/>
      <c r="L377" s="2"/>
      <c r="M377" s="2"/>
      <c r="N377" s="2"/>
      <c r="O377" s="2"/>
      <c r="P377" s="2">
        <f t="shared" si="206"/>
        <v>0</v>
      </c>
      <c r="Q377" s="198"/>
    </row>
    <row r="378" spans="1:17" s="125" customFormat="1" ht="63" hidden="1" customHeight="1" x14ac:dyDescent="0.25">
      <c r="A378" s="1" t="s">
        <v>265</v>
      </c>
      <c r="B378" s="3" t="str">
        <f>'дод 7'!A239</f>
        <v>7660</v>
      </c>
      <c r="C378" s="3" t="str">
        <f>'дод 7'!B239</f>
        <v>0490</v>
      </c>
      <c r="D378" s="63" t="str">
        <f>'дод 7'!C239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8" s="2">
        <f t="shared" si="205"/>
        <v>0</v>
      </c>
      <c r="F378" s="2"/>
      <c r="G378" s="2"/>
      <c r="H378" s="2"/>
      <c r="I378" s="2"/>
      <c r="J378" s="2">
        <f t="shared" si="207"/>
        <v>0</v>
      </c>
      <c r="K378" s="2"/>
      <c r="L378" s="2"/>
      <c r="M378" s="2"/>
      <c r="N378" s="2"/>
      <c r="O378" s="2"/>
      <c r="P378" s="2">
        <f t="shared" si="206"/>
        <v>0</v>
      </c>
      <c r="Q378" s="198"/>
    </row>
    <row r="379" spans="1:17" s="125" customFormat="1" ht="22.5" hidden="1" customHeight="1" x14ac:dyDescent="0.25">
      <c r="A379" s="1" t="s">
        <v>261</v>
      </c>
      <c r="B379" s="3" t="str">
        <f>'дод 7'!A244</f>
        <v>7693</v>
      </c>
      <c r="C379" s="3" t="str">
        <f>'дод 7'!B244</f>
        <v>0490</v>
      </c>
      <c r="D379" s="63" t="str">
        <f>'дод 7'!C244</f>
        <v>Інші заходи, пов'язані з економічною діяльністю</v>
      </c>
      <c r="E379" s="2">
        <f t="shared" si="205"/>
        <v>0</v>
      </c>
      <c r="F379" s="2"/>
      <c r="G379" s="2"/>
      <c r="H379" s="2"/>
      <c r="I379" s="2"/>
      <c r="J379" s="2">
        <f t="shared" si="207"/>
        <v>0</v>
      </c>
      <c r="K379" s="2"/>
      <c r="L379" s="2"/>
      <c r="M379" s="2"/>
      <c r="N379" s="2"/>
      <c r="O379" s="2"/>
      <c r="P379" s="2">
        <f t="shared" si="206"/>
        <v>0</v>
      </c>
      <c r="Q379" s="198"/>
    </row>
    <row r="380" spans="1:17" s="124" customFormat="1" ht="33" customHeight="1" x14ac:dyDescent="0.25">
      <c r="A380" s="94" t="s">
        <v>210</v>
      </c>
      <c r="B380" s="58"/>
      <c r="C380" s="58"/>
      <c r="D380" s="91" t="s">
        <v>636</v>
      </c>
      <c r="E380" s="15">
        <f>E381</f>
        <v>12278200</v>
      </c>
      <c r="F380" s="15">
        <f t="shared" ref="F380:O380" si="208">F381</f>
        <v>12278200</v>
      </c>
      <c r="G380" s="15">
        <f t="shared" si="208"/>
        <v>9298600</v>
      </c>
      <c r="H380" s="15">
        <f t="shared" si="208"/>
        <v>209100</v>
      </c>
      <c r="I380" s="15">
        <f t="shared" si="208"/>
        <v>0</v>
      </c>
      <c r="J380" s="15">
        <f t="shared" si="208"/>
        <v>0</v>
      </c>
      <c r="K380" s="15">
        <f t="shared" si="208"/>
        <v>0</v>
      </c>
      <c r="L380" s="15">
        <f t="shared" si="208"/>
        <v>0</v>
      </c>
      <c r="M380" s="15">
        <f t="shared" si="208"/>
        <v>0</v>
      </c>
      <c r="N380" s="15">
        <f t="shared" si="208"/>
        <v>0</v>
      </c>
      <c r="O380" s="15">
        <f t="shared" si="208"/>
        <v>0</v>
      </c>
      <c r="P380" s="15">
        <f>P381</f>
        <v>12278200</v>
      </c>
      <c r="Q380" s="198"/>
    </row>
    <row r="381" spans="1:17" s="11" customFormat="1" ht="32.25" customHeight="1" x14ac:dyDescent="0.25">
      <c r="A381" s="7" t="s">
        <v>211</v>
      </c>
      <c r="B381" s="8"/>
      <c r="C381" s="8"/>
      <c r="D381" s="9" t="s">
        <v>636</v>
      </c>
      <c r="E381" s="10">
        <f>E382+E383++E384+E385+E386+E387</f>
        <v>12278200</v>
      </c>
      <c r="F381" s="10">
        <f t="shared" ref="F381:J381" si="209">F382+F383++F384+F385+F386+F387</f>
        <v>12278200</v>
      </c>
      <c r="G381" s="10">
        <f t="shared" si="209"/>
        <v>9298600</v>
      </c>
      <c r="H381" s="10">
        <f t="shared" si="209"/>
        <v>209100</v>
      </c>
      <c r="I381" s="10">
        <f t="shared" si="209"/>
        <v>0</v>
      </c>
      <c r="J381" s="10">
        <f t="shared" si="209"/>
        <v>0</v>
      </c>
      <c r="K381" s="10">
        <f>K382+K383++K384+K385+K386+K387</f>
        <v>0</v>
      </c>
      <c r="L381" s="10">
        <f t="shared" ref="L381:P381" si="210">L382+L383++L384+L385+L386+L387</f>
        <v>0</v>
      </c>
      <c r="M381" s="10">
        <f t="shared" si="210"/>
        <v>0</v>
      </c>
      <c r="N381" s="10">
        <f t="shared" si="210"/>
        <v>0</v>
      </c>
      <c r="O381" s="10">
        <f t="shared" si="210"/>
        <v>0</v>
      </c>
      <c r="P381" s="10">
        <f t="shared" si="210"/>
        <v>12278200</v>
      </c>
      <c r="Q381" s="198"/>
    </row>
    <row r="382" spans="1:17" s="125" customFormat="1" ht="50.25" customHeight="1" x14ac:dyDescent="0.25">
      <c r="A382" s="1" t="s">
        <v>212</v>
      </c>
      <c r="B382" s="3" t="str">
        <f>'дод 7'!A17</f>
        <v>0160</v>
      </c>
      <c r="C382" s="3" t="str">
        <f>'дод 7'!B17</f>
        <v>0111</v>
      </c>
      <c r="D382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82" s="2">
        <f t="shared" ref="E382:E387" si="211">F382+I382</f>
        <v>11868200</v>
      </c>
      <c r="F382" s="2">
        <v>11868200</v>
      </c>
      <c r="G382" s="2">
        <v>9298600</v>
      </c>
      <c r="H382" s="2">
        <v>209100</v>
      </c>
      <c r="I382" s="2"/>
      <c r="J382" s="2">
        <f>L382+O382</f>
        <v>0</v>
      </c>
      <c r="K382" s="2"/>
      <c r="L382" s="2"/>
      <c r="M382" s="2"/>
      <c r="N382" s="2"/>
      <c r="O382" s="2"/>
      <c r="P382" s="2">
        <f t="shared" ref="P382:P387" si="212">E382+J382</f>
        <v>11868200</v>
      </c>
      <c r="Q382" s="198"/>
    </row>
    <row r="383" spans="1:17" s="140" customFormat="1" ht="21" hidden="1" customHeight="1" x14ac:dyDescent="0.25">
      <c r="A383" s="1" t="s">
        <v>213</v>
      </c>
      <c r="B383" s="3" t="str">
        <f>'дод 7'!A190</f>
        <v>7130</v>
      </c>
      <c r="C383" s="3" t="str">
        <f>'дод 7'!B190</f>
        <v>0421</v>
      </c>
      <c r="D383" s="63" t="str">
        <f>'дод 7'!C190</f>
        <v>Здійснення заходів із землеустрою</v>
      </c>
      <c r="E383" s="2">
        <f t="shared" si="211"/>
        <v>0</v>
      </c>
      <c r="F383" s="2"/>
      <c r="G383" s="2"/>
      <c r="H383" s="2"/>
      <c r="I383" s="2"/>
      <c r="J383" s="2">
        <f t="shared" ref="J383:J387" si="213">L383+O383</f>
        <v>0</v>
      </c>
      <c r="K383" s="2"/>
      <c r="L383" s="2"/>
      <c r="M383" s="2"/>
      <c r="N383" s="2"/>
      <c r="O383" s="2"/>
      <c r="P383" s="2">
        <f t="shared" si="212"/>
        <v>0</v>
      </c>
      <c r="Q383" s="198"/>
    </row>
    <row r="384" spans="1:17" s="125" customFormat="1" ht="33.75" hidden="1" customHeight="1" x14ac:dyDescent="0.25">
      <c r="A384" s="1" t="s">
        <v>214</v>
      </c>
      <c r="B384" s="3" t="str">
        <f>'дод 7'!A235</f>
        <v>7610</v>
      </c>
      <c r="C384" s="3" t="str">
        <f>'дод 7'!B235</f>
        <v>0411</v>
      </c>
      <c r="D384" s="63" t="str">
        <f>'дод 7'!C235</f>
        <v>Сприяння розвитку малого та середнього підприємництва</v>
      </c>
      <c r="E384" s="2">
        <f t="shared" si="211"/>
        <v>0</v>
      </c>
      <c r="F384" s="2"/>
      <c r="G384" s="2"/>
      <c r="H384" s="2"/>
      <c r="I384" s="2"/>
      <c r="J384" s="2">
        <f t="shared" si="213"/>
        <v>0</v>
      </c>
      <c r="K384" s="2"/>
      <c r="L384" s="2"/>
      <c r="M384" s="2"/>
      <c r="N384" s="2"/>
      <c r="O384" s="2"/>
      <c r="P384" s="2">
        <f t="shared" si="212"/>
        <v>0</v>
      </c>
      <c r="Q384" s="198"/>
    </row>
    <row r="385" spans="1:17" s="125" customFormat="1" ht="32.25" hidden="1" customHeight="1" x14ac:dyDescent="0.25">
      <c r="A385" s="1" t="s">
        <v>263</v>
      </c>
      <c r="B385" s="3" t="str">
        <f>'дод 7'!A238</f>
        <v>7650</v>
      </c>
      <c r="C385" s="3" t="str">
        <f>'дод 7'!B238</f>
        <v>0490</v>
      </c>
      <c r="D385" s="63" t="str">
        <f>'дод 7'!C238</f>
        <v>Проведення експертної грошової оцінки земельної ділянки чи права на неї</v>
      </c>
      <c r="E385" s="2">
        <f t="shared" si="211"/>
        <v>0</v>
      </c>
      <c r="F385" s="2"/>
      <c r="G385" s="2"/>
      <c r="H385" s="2"/>
      <c r="I385" s="2"/>
      <c r="J385" s="2">
        <f t="shared" si="213"/>
        <v>0</v>
      </c>
      <c r="K385" s="2"/>
      <c r="L385" s="2"/>
      <c r="M385" s="2"/>
      <c r="N385" s="2"/>
      <c r="O385" s="2"/>
      <c r="P385" s="2">
        <f t="shared" si="212"/>
        <v>0</v>
      </c>
      <c r="Q385" s="198"/>
    </row>
    <row r="386" spans="1:17" s="125" customFormat="1" ht="63" hidden="1" customHeight="1" x14ac:dyDescent="0.25">
      <c r="A386" s="1" t="s">
        <v>265</v>
      </c>
      <c r="B386" s="3" t="str">
        <f>'дод 7'!A239</f>
        <v>7660</v>
      </c>
      <c r="C386" s="3" t="str">
        <f>'дод 7'!B239</f>
        <v>0490</v>
      </c>
      <c r="D386" s="63" t="str">
        <f>'дод 7'!C239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6" s="2">
        <f t="shared" si="211"/>
        <v>0</v>
      </c>
      <c r="F386" s="2"/>
      <c r="G386" s="2"/>
      <c r="H386" s="2"/>
      <c r="I386" s="2"/>
      <c r="J386" s="2">
        <f t="shared" si="213"/>
        <v>0</v>
      </c>
      <c r="K386" s="2"/>
      <c r="L386" s="2"/>
      <c r="M386" s="2"/>
      <c r="N386" s="2"/>
      <c r="O386" s="2"/>
      <c r="P386" s="2">
        <f t="shared" si="212"/>
        <v>0</v>
      </c>
      <c r="Q386" s="198"/>
    </row>
    <row r="387" spans="1:17" s="125" customFormat="1" ht="22.5" customHeight="1" x14ac:dyDescent="0.25">
      <c r="A387" s="1" t="s">
        <v>261</v>
      </c>
      <c r="B387" s="3" t="str">
        <f>'дод 7'!A244</f>
        <v>7693</v>
      </c>
      <c r="C387" s="3" t="str">
        <f>'дод 7'!B244</f>
        <v>0490</v>
      </c>
      <c r="D387" s="63" t="str">
        <f>'дод 7'!C244</f>
        <v>Інші заходи, пов'язані з економічною діяльністю</v>
      </c>
      <c r="E387" s="2">
        <f t="shared" si="211"/>
        <v>410000</v>
      </c>
      <c r="F387" s="2">
        <v>410000</v>
      </c>
      <c r="G387" s="2"/>
      <c r="H387" s="2"/>
      <c r="I387" s="2"/>
      <c r="J387" s="2">
        <f t="shared" si="213"/>
        <v>0</v>
      </c>
      <c r="K387" s="2"/>
      <c r="L387" s="2"/>
      <c r="M387" s="2"/>
      <c r="N387" s="2"/>
      <c r="O387" s="2"/>
      <c r="P387" s="2">
        <f t="shared" si="212"/>
        <v>410000</v>
      </c>
      <c r="Q387" s="198"/>
    </row>
    <row r="388" spans="1:17" s="124" customFormat="1" ht="33.75" customHeight="1" x14ac:dyDescent="0.25">
      <c r="A388" s="94" t="s">
        <v>633</v>
      </c>
      <c r="B388" s="58"/>
      <c r="C388" s="58"/>
      <c r="D388" s="91" t="s">
        <v>38</v>
      </c>
      <c r="E388" s="15">
        <f>E389</f>
        <v>24625400</v>
      </c>
      <c r="F388" s="15">
        <f t="shared" ref="F388:P388" si="214">F389</f>
        <v>24625400</v>
      </c>
      <c r="G388" s="15">
        <f t="shared" si="214"/>
        <v>17509100</v>
      </c>
      <c r="H388" s="15">
        <f t="shared" si="214"/>
        <v>968000</v>
      </c>
      <c r="I388" s="15">
        <f t="shared" si="214"/>
        <v>0</v>
      </c>
      <c r="J388" s="15">
        <f t="shared" si="214"/>
        <v>230000</v>
      </c>
      <c r="K388" s="15">
        <f t="shared" si="214"/>
        <v>230000</v>
      </c>
      <c r="L388" s="15">
        <f t="shared" si="214"/>
        <v>0</v>
      </c>
      <c r="M388" s="15">
        <f t="shared" si="214"/>
        <v>0</v>
      </c>
      <c r="N388" s="15">
        <f t="shared" si="214"/>
        <v>0</v>
      </c>
      <c r="O388" s="15">
        <f t="shared" si="214"/>
        <v>230000</v>
      </c>
      <c r="P388" s="15">
        <f t="shared" si="214"/>
        <v>24855400</v>
      </c>
      <c r="Q388" s="198"/>
    </row>
    <row r="389" spans="1:17" s="11" customFormat="1" ht="36.75" customHeight="1" x14ac:dyDescent="0.25">
      <c r="A389" s="7" t="s">
        <v>634</v>
      </c>
      <c r="B389" s="8"/>
      <c r="C389" s="8"/>
      <c r="D389" s="9" t="s">
        <v>38</v>
      </c>
      <c r="E389" s="10">
        <f>E390+E391+E392+E393+E394+E395+E396+E397+E398</f>
        <v>24625400</v>
      </c>
      <c r="F389" s="10">
        <f t="shared" ref="F389:P389" si="215">F390+F391+F392+F393+F394+F395+F396+F397+F398</f>
        <v>24625400</v>
      </c>
      <c r="G389" s="10">
        <f t="shared" si="215"/>
        <v>17509100</v>
      </c>
      <c r="H389" s="10">
        <f t="shared" si="215"/>
        <v>968000</v>
      </c>
      <c r="I389" s="10">
        <f t="shared" si="215"/>
        <v>0</v>
      </c>
      <c r="J389" s="10">
        <f t="shared" si="215"/>
        <v>230000</v>
      </c>
      <c r="K389" s="10">
        <f t="shared" si="215"/>
        <v>230000</v>
      </c>
      <c r="L389" s="10">
        <f t="shared" si="215"/>
        <v>0</v>
      </c>
      <c r="M389" s="10">
        <f t="shared" si="215"/>
        <v>0</v>
      </c>
      <c r="N389" s="10">
        <f t="shared" si="215"/>
        <v>0</v>
      </c>
      <c r="O389" s="10">
        <f t="shared" si="215"/>
        <v>230000</v>
      </c>
      <c r="P389" s="10">
        <f t="shared" si="215"/>
        <v>24855400</v>
      </c>
      <c r="Q389" s="198"/>
    </row>
    <row r="390" spans="1:17" s="125" customFormat="1" ht="51.75" customHeight="1" x14ac:dyDescent="0.25">
      <c r="A390" s="1" t="s">
        <v>635</v>
      </c>
      <c r="B390" s="3" t="str">
        <f>'дод 7'!A17</f>
        <v>0160</v>
      </c>
      <c r="C390" s="3" t="str">
        <f>'дод 7'!B17</f>
        <v>0111</v>
      </c>
      <c r="D390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390" s="2">
        <f>F390+I390</f>
        <v>23520400</v>
      </c>
      <c r="F390" s="2">
        <v>23520400</v>
      </c>
      <c r="G390" s="2">
        <v>17509100</v>
      </c>
      <c r="H390" s="2">
        <v>968000</v>
      </c>
      <c r="I390" s="2"/>
      <c r="J390" s="2">
        <f>L390+O390</f>
        <v>0</v>
      </c>
      <c r="K390" s="2"/>
      <c r="L390" s="2"/>
      <c r="M390" s="2"/>
      <c r="N390" s="2"/>
      <c r="O390" s="2"/>
      <c r="P390" s="2">
        <f>E390+J390</f>
        <v>23520400</v>
      </c>
      <c r="Q390" s="198"/>
    </row>
    <row r="391" spans="1:17" s="125" customFormat="1" ht="30" customHeight="1" x14ac:dyDescent="0.25">
      <c r="A391" s="1" t="s">
        <v>637</v>
      </c>
      <c r="B391" s="3" t="str">
        <f>'дод 7'!A181</f>
        <v>6090</v>
      </c>
      <c r="C391" s="3" t="str">
        <f>'дод 7'!B181</f>
        <v>0640</v>
      </c>
      <c r="D391" s="90" t="str">
        <f>'дод 7'!C181</f>
        <v>Інша діяльність у сфері житлово-комунального господарства</v>
      </c>
      <c r="E391" s="2">
        <f t="shared" ref="E391:E398" si="216">F391+I391</f>
        <v>200000</v>
      </c>
      <c r="F391" s="2">
        <v>200000</v>
      </c>
      <c r="G391" s="2"/>
      <c r="H391" s="2"/>
      <c r="I391" s="2"/>
      <c r="J391" s="2">
        <f t="shared" ref="J391:J398" si="217">L391+O391</f>
        <v>0</v>
      </c>
      <c r="K391" s="2"/>
      <c r="L391" s="2"/>
      <c r="M391" s="2"/>
      <c r="N391" s="2"/>
      <c r="O391" s="2"/>
      <c r="P391" s="2">
        <f t="shared" ref="P391:P398" si="218">E391+J391</f>
        <v>200000</v>
      </c>
      <c r="Q391" s="198"/>
    </row>
    <row r="392" spans="1:17" s="125" customFormat="1" ht="27.75" customHeight="1" x14ac:dyDescent="0.25">
      <c r="A392" s="1" t="s">
        <v>640</v>
      </c>
      <c r="B392" s="3" t="str">
        <f>'дод 7'!A190</f>
        <v>7130</v>
      </c>
      <c r="C392" s="3" t="str">
        <f>'дод 7'!B190</f>
        <v>0421</v>
      </c>
      <c r="D392" s="90" t="str">
        <f>'дод 7'!C190</f>
        <v>Здійснення заходів із землеустрою</v>
      </c>
      <c r="E392" s="2">
        <f t="shared" si="216"/>
        <v>200000</v>
      </c>
      <c r="F392" s="2">
        <v>200000</v>
      </c>
      <c r="G392" s="2"/>
      <c r="H392" s="2"/>
      <c r="I392" s="2"/>
      <c r="J392" s="2">
        <f t="shared" si="217"/>
        <v>0</v>
      </c>
      <c r="K392" s="2"/>
      <c r="L392" s="2"/>
      <c r="M392" s="2"/>
      <c r="N392" s="2"/>
      <c r="O392" s="2"/>
      <c r="P392" s="2">
        <f t="shared" si="218"/>
        <v>200000</v>
      </c>
      <c r="Q392" s="198"/>
    </row>
    <row r="393" spans="1:17" s="125" customFormat="1" ht="31.5" hidden="1" customHeight="1" x14ac:dyDescent="0.25">
      <c r="A393" s="1" t="s">
        <v>638</v>
      </c>
      <c r="B393" s="3" t="str">
        <f>'дод 7'!A204</f>
        <v>7340</v>
      </c>
      <c r="C393" s="3" t="str">
        <f>'дод 7'!B204</f>
        <v>0443</v>
      </c>
      <c r="D393" s="90" t="str">
        <f>'дод 7'!C204</f>
        <v>Проектування, реставрація та охорона пам'яток архітектури</v>
      </c>
      <c r="E393" s="2">
        <f t="shared" si="216"/>
        <v>0</v>
      </c>
      <c r="F393" s="2"/>
      <c r="G393" s="2"/>
      <c r="H393" s="2"/>
      <c r="I393" s="2"/>
      <c r="J393" s="2">
        <f t="shared" si="217"/>
        <v>0</v>
      </c>
      <c r="K393" s="2"/>
      <c r="L393" s="2"/>
      <c r="M393" s="2"/>
      <c r="N393" s="2"/>
      <c r="O393" s="2"/>
      <c r="P393" s="2">
        <f t="shared" si="218"/>
        <v>0</v>
      </c>
      <c r="Q393" s="198"/>
    </row>
    <row r="394" spans="1:17" s="125" customFormat="1" ht="30" customHeight="1" x14ac:dyDescent="0.25">
      <c r="A394" s="1" t="s">
        <v>639</v>
      </c>
      <c r="B394" s="3">
        <f>'дод 7'!A212</f>
        <v>7370</v>
      </c>
      <c r="C394" s="3" t="str">
        <f>'дод 7'!B212</f>
        <v>0490</v>
      </c>
      <c r="D394" s="90" t="str">
        <f>'дод 7'!C212</f>
        <v>Реалізація інших заходів щодо соціально-економічного розвитку територій</v>
      </c>
      <c r="E394" s="2">
        <f t="shared" si="216"/>
        <v>45000</v>
      </c>
      <c r="F394" s="2">
        <f>45000</f>
        <v>45000</v>
      </c>
      <c r="G394" s="2"/>
      <c r="H394" s="2"/>
      <c r="I394" s="2"/>
      <c r="J394" s="2">
        <f t="shared" si="217"/>
        <v>150000</v>
      </c>
      <c r="K394" s="2">
        <f>150000</f>
        <v>150000</v>
      </c>
      <c r="L394" s="2"/>
      <c r="M394" s="2"/>
      <c r="N394" s="2"/>
      <c r="O394" s="2">
        <f>150000</f>
        <v>150000</v>
      </c>
      <c r="P394" s="2">
        <f t="shared" si="218"/>
        <v>195000</v>
      </c>
      <c r="Q394" s="198"/>
    </row>
    <row r="395" spans="1:17" s="125" customFormat="1" ht="33" hidden="1" customHeight="1" x14ac:dyDescent="0.25">
      <c r="A395" s="1" t="s">
        <v>641</v>
      </c>
      <c r="B395" s="3" t="str">
        <f>'дод 7'!A235</f>
        <v>7610</v>
      </c>
      <c r="C395" s="3" t="str">
        <f>'дод 7'!B235</f>
        <v>0411</v>
      </c>
      <c r="D395" s="90" t="str">
        <f>'дод 7'!C235</f>
        <v>Сприяння розвитку малого та середнього підприємництва</v>
      </c>
      <c r="E395" s="2">
        <f t="shared" si="216"/>
        <v>0</v>
      </c>
      <c r="F395" s="2"/>
      <c r="G395" s="2"/>
      <c r="H395" s="2"/>
      <c r="I395" s="2"/>
      <c r="J395" s="2">
        <f t="shared" si="217"/>
        <v>0</v>
      </c>
      <c r="K395" s="2"/>
      <c r="L395" s="2"/>
      <c r="M395" s="2"/>
      <c r="N395" s="2"/>
      <c r="O395" s="2"/>
      <c r="P395" s="2">
        <f t="shared" si="218"/>
        <v>0</v>
      </c>
      <c r="Q395" s="198"/>
    </row>
    <row r="396" spans="1:17" s="125" customFormat="1" ht="37.5" customHeight="1" x14ac:dyDescent="0.25">
      <c r="A396" s="1" t="s">
        <v>642</v>
      </c>
      <c r="B396" s="3" t="str">
        <f>'дод 7'!A238</f>
        <v>7650</v>
      </c>
      <c r="C396" s="3" t="str">
        <f>'дод 7'!B238</f>
        <v>0490</v>
      </c>
      <c r="D396" s="90" t="str">
        <f>'дод 7'!C238</f>
        <v>Проведення експертної грошової оцінки земельної ділянки чи права на неї</v>
      </c>
      <c r="E396" s="2">
        <f t="shared" si="216"/>
        <v>0</v>
      </c>
      <c r="F396" s="2"/>
      <c r="G396" s="2"/>
      <c r="H396" s="2"/>
      <c r="I396" s="2"/>
      <c r="J396" s="2">
        <f t="shared" si="217"/>
        <v>30000</v>
      </c>
      <c r="K396" s="2">
        <v>30000</v>
      </c>
      <c r="L396" s="2"/>
      <c r="M396" s="2"/>
      <c r="N396" s="2"/>
      <c r="O396" s="2">
        <v>30000</v>
      </c>
      <c r="P396" s="2">
        <f t="shared" si="218"/>
        <v>30000</v>
      </c>
      <c r="Q396" s="198"/>
    </row>
    <row r="397" spans="1:17" s="125" customFormat="1" ht="63" x14ac:dyDescent="0.25">
      <c r="A397" s="1" t="s">
        <v>643</v>
      </c>
      <c r="B397" s="3" t="str">
        <f>'дод 7'!A239</f>
        <v>7660</v>
      </c>
      <c r="C397" s="3" t="str">
        <f>'дод 7'!B239</f>
        <v>0490</v>
      </c>
      <c r="D397" s="90" t="str">
        <f>'дод 7'!C239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7" s="2">
        <f t="shared" si="216"/>
        <v>0</v>
      </c>
      <c r="F397" s="2"/>
      <c r="G397" s="2"/>
      <c r="H397" s="2"/>
      <c r="I397" s="2"/>
      <c r="J397" s="2">
        <f t="shared" si="217"/>
        <v>50000</v>
      </c>
      <c r="K397" s="2">
        <v>50000</v>
      </c>
      <c r="L397" s="2"/>
      <c r="M397" s="2"/>
      <c r="N397" s="2"/>
      <c r="O397" s="2">
        <v>50000</v>
      </c>
      <c r="P397" s="2">
        <f t="shared" si="218"/>
        <v>50000</v>
      </c>
      <c r="Q397" s="198"/>
    </row>
    <row r="398" spans="1:17" s="125" customFormat="1" ht="27.75" customHeight="1" x14ac:dyDescent="0.25">
      <c r="A398" s="1" t="s">
        <v>644</v>
      </c>
      <c r="B398" s="3" t="str">
        <f>'дод 7'!A244</f>
        <v>7693</v>
      </c>
      <c r="C398" s="3" t="str">
        <f>'дод 7'!B244</f>
        <v>0490</v>
      </c>
      <c r="D398" s="90" t="str">
        <f>'дод 7'!C244</f>
        <v>Інші заходи, пов'язані з економічною діяльністю</v>
      </c>
      <c r="E398" s="2">
        <f t="shared" si="216"/>
        <v>660000</v>
      </c>
      <c r="F398" s="2">
        <v>660000</v>
      </c>
      <c r="G398" s="2"/>
      <c r="H398" s="2"/>
      <c r="I398" s="2"/>
      <c r="J398" s="2">
        <f t="shared" si="217"/>
        <v>0</v>
      </c>
      <c r="K398" s="2"/>
      <c r="L398" s="2"/>
      <c r="M398" s="2"/>
      <c r="N398" s="2"/>
      <c r="O398" s="2"/>
      <c r="P398" s="2">
        <f t="shared" si="218"/>
        <v>660000</v>
      </c>
      <c r="Q398" s="198"/>
    </row>
    <row r="399" spans="1:17" s="124" customFormat="1" ht="38.25" customHeight="1" x14ac:dyDescent="0.25">
      <c r="A399" s="94" t="s">
        <v>215</v>
      </c>
      <c r="B399" s="58"/>
      <c r="C399" s="58"/>
      <c r="D399" s="91" t="s">
        <v>40</v>
      </c>
      <c r="E399" s="15">
        <f>E400</f>
        <v>189051508</v>
      </c>
      <c r="F399" s="15">
        <f t="shared" ref="F399:J399" si="219">F400</f>
        <v>26756569</v>
      </c>
      <c r="G399" s="15">
        <f t="shared" si="219"/>
        <v>17602800</v>
      </c>
      <c r="H399" s="15">
        <f t="shared" si="219"/>
        <v>578400</v>
      </c>
      <c r="I399" s="15">
        <f t="shared" si="219"/>
        <v>0</v>
      </c>
      <c r="J399" s="15">
        <f t="shared" si="219"/>
        <v>289600</v>
      </c>
      <c r="K399" s="15">
        <f t="shared" ref="K399" si="220">K400</f>
        <v>0</v>
      </c>
      <c r="L399" s="15">
        <f t="shared" ref="L399" si="221">L400</f>
        <v>289600</v>
      </c>
      <c r="M399" s="15">
        <f t="shared" ref="M399" si="222">M400</f>
        <v>0</v>
      </c>
      <c r="N399" s="15">
        <f t="shared" ref="N399" si="223">N400</f>
        <v>0</v>
      </c>
      <c r="O399" s="15">
        <f t="shared" ref="O399:P399" si="224">O400</f>
        <v>0</v>
      </c>
      <c r="P399" s="15">
        <f t="shared" si="224"/>
        <v>189341108</v>
      </c>
      <c r="Q399" s="198"/>
    </row>
    <row r="400" spans="1:17" s="11" customFormat="1" ht="34.5" customHeight="1" x14ac:dyDescent="0.25">
      <c r="A400" s="7" t="s">
        <v>216</v>
      </c>
      <c r="B400" s="8"/>
      <c r="C400" s="8"/>
      <c r="D400" s="9" t="s">
        <v>40</v>
      </c>
      <c r="E400" s="10">
        <f>SUM(E401+E402+E403+E406+E407+E408+E409+E405+E404)</f>
        <v>189051508</v>
      </c>
      <c r="F400" s="10">
        <f t="shared" ref="F400:P400" si="225">SUM(F401+F402+F403+F406+F407+F408+F409+F405+F404)</f>
        <v>26756569</v>
      </c>
      <c r="G400" s="10">
        <f t="shared" si="225"/>
        <v>17602800</v>
      </c>
      <c r="H400" s="10">
        <f t="shared" si="225"/>
        <v>578400</v>
      </c>
      <c r="I400" s="10">
        <f t="shared" si="225"/>
        <v>0</v>
      </c>
      <c r="J400" s="10">
        <f t="shared" si="225"/>
        <v>289600</v>
      </c>
      <c r="K400" s="10">
        <f t="shared" si="225"/>
        <v>0</v>
      </c>
      <c r="L400" s="10">
        <f t="shared" si="225"/>
        <v>289600</v>
      </c>
      <c r="M400" s="10">
        <f t="shared" si="225"/>
        <v>0</v>
      </c>
      <c r="N400" s="10">
        <f t="shared" si="225"/>
        <v>0</v>
      </c>
      <c r="O400" s="10">
        <f t="shared" si="225"/>
        <v>0</v>
      </c>
      <c r="P400" s="10">
        <f t="shared" si="225"/>
        <v>189341108</v>
      </c>
      <c r="Q400" s="198"/>
    </row>
    <row r="401" spans="1:17" s="125" customFormat="1" ht="45.75" customHeight="1" x14ac:dyDescent="0.25">
      <c r="A401" s="1" t="s">
        <v>217</v>
      </c>
      <c r="B401" s="3" t="str">
        <f>'дод 7'!A17</f>
        <v>0160</v>
      </c>
      <c r="C401" s="3" t="str">
        <f>'дод 7'!B17</f>
        <v>0111</v>
      </c>
      <c r="D401" s="63" t="str">
        <f>'дод 7'!C17</f>
        <v>Керівництво і управління у відповідній сфері у містах (місті Києві), селищах, селах, територіальних громадах</v>
      </c>
      <c r="E401" s="2">
        <f t="shared" ref="E401:E407" si="226">F401+I401</f>
        <v>22959300</v>
      </c>
      <c r="F401" s="2">
        <f>23032500-73200</f>
        <v>22959300</v>
      </c>
      <c r="G401" s="2">
        <f>17662800-60000</f>
        <v>17602800</v>
      </c>
      <c r="H401" s="2">
        <v>578400</v>
      </c>
      <c r="I401" s="2"/>
      <c r="J401" s="2">
        <f>L401+O401</f>
        <v>0</v>
      </c>
      <c r="K401" s="2"/>
      <c r="L401" s="2"/>
      <c r="M401" s="2"/>
      <c r="N401" s="2"/>
      <c r="O401" s="2"/>
      <c r="P401" s="2">
        <f t="shared" ref="P401:P408" si="227">E401+J401</f>
        <v>22959300</v>
      </c>
      <c r="Q401" s="198"/>
    </row>
    <row r="402" spans="1:17" s="125" customFormat="1" ht="30.75" customHeight="1" x14ac:dyDescent="0.25">
      <c r="A402" s="1" t="s">
        <v>255</v>
      </c>
      <c r="B402" s="3" t="str">
        <f>'дод 7'!A236</f>
        <v>7640</v>
      </c>
      <c r="C402" s="3" t="str">
        <f>'дод 7'!B236</f>
        <v>0470</v>
      </c>
      <c r="D402" s="63" t="s">
        <v>410</v>
      </c>
      <c r="E402" s="2">
        <f t="shared" si="226"/>
        <v>654400</v>
      </c>
      <c r="F402" s="2">
        <f>665000+14400-40000+15000</f>
        <v>654400</v>
      </c>
      <c r="G402" s="2"/>
      <c r="H402" s="2"/>
      <c r="I402" s="2"/>
      <c r="J402" s="2">
        <f t="shared" ref="J402:J409" si="228">L402+O402</f>
        <v>0</v>
      </c>
      <c r="K402" s="2"/>
      <c r="L402" s="2"/>
      <c r="M402" s="2"/>
      <c r="N402" s="2"/>
      <c r="O402" s="2"/>
      <c r="P402" s="2">
        <f t="shared" si="227"/>
        <v>654400</v>
      </c>
      <c r="Q402" s="198"/>
    </row>
    <row r="403" spans="1:17" s="125" customFormat="1" ht="42.75" customHeight="1" x14ac:dyDescent="0.25">
      <c r="A403" s="1" t="s">
        <v>324</v>
      </c>
      <c r="B403" s="3" t="str">
        <f>'дод 7'!A244</f>
        <v>7693</v>
      </c>
      <c r="C403" s="3" t="str">
        <f>'дод 7'!B244</f>
        <v>0490</v>
      </c>
      <c r="D403" s="63" t="str">
        <f>'дод 7'!C244</f>
        <v>Інші заходи, пов'язані з економічною діяльністю</v>
      </c>
      <c r="E403" s="2">
        <f>F403+I403</f>
        <v>50800</v>
      </c>
      <c r="F403" s="2">
        <f>177700-126900</f>
        <v>50800</v>
      </c>
      <c r="G403" s="2"/>
      <c r="H403" s="2"/>
      <c r="I403" s="2"/>
      <c r="J403" s="2">
        <f t="shared" si="228"/>
        <v>0</v>
      </c>
      <c r="K403" s="2"/>
      <c r="L403" s="2"/>
      <c r="M403" s="2"/>
      <c r="N403" s="2"/>
      <c r="O403" s="2"/>
      <c r="P403" s="2">
        <f t="shared" si="227"/>
        <v>50800</v>
      </c>
      <c r="Q403" s="198"/>
    </row>
    <row r="404" spans="1:17" s="125" customFormat="1" ht="48.75" hidden="1" customHeight="1" x14ac:dyDescent="0.25">
      <c r="A404" s="1" t="s">
        <v>645</v>
      </c>
      <c r="B404" s="3">
        <v>7700</v>
      </c>
      <c r="C404" s="1" t="s">
        <v>92</v>
      </c>
      <c r="D404" s="63" t="s">
        <v>356</v>
      </c>
      <c r="E404" s="2">
        <f t="shared" si="226"/>
        <v>0</v>
      </c>
      <c r="F404" s="2"/>
      <c r="G404" s="2"/>
      <c r="H404" s="2"/>
      <c r="I404" s="2"/>
      <c r="J404" s="2">
        <f t="shared" si="228"/>
        <v>0</v>
      </c>
      <c r="K404" s="2"/>
      <c r="L404" s="2"/>
      <c r="M404" s="2"/>
      <c r="N404" s="2"/>
      <c r="O404" s="2"/>
      <c r="P404" s="2">
        <f t="shared" si="227"/>
        <v>0</v>
      </c>
      <c r="Q404" s="198"/>
    </row>
    <row r="405" spans="1:17" s="125" customFormat="1" ht="31.5" customHeight="1" x14ac:dyDescent="0.25">
      <c r="A405" s="1">
        <v>3718330</v>
      </c>
      <c r="B405" s="3">
        <f>'дод 7'!A261</f>
        <v>8330</v>
      </c>
      <c r="C405" s="1" t="s">
        <v>91</v>
      </c>
      <c r="D405" s="63" t="str">
        <f>'дод 7'!C261</f>
        <v xml:space="preserve">Інша діяльність у сфері екології та охорони природних ресурсів </v>
      </c>
      <c r="E405" s="2">
        <f t="shared" si="226"/>
        <v>75000</v>
      </c>
      <c r="F405" s="2">
        <v>75000</v>
      </c>
      <c r="G405" s="2"/>
      <c r="H405" s="2"/>
      <c r="I405" s="2"/>
      <c r="J405" s="2">
        <f t="shared" si="228"/>
        <v>0</v>
      </c>
      <c r="K405" s="2"/>
      <c r="L405" s="2"/>
      <c r="M405" s="2"/>
      <c r="N405" s="2"/>
      <c r="O405" s="2"/>
      <c r="P405" s="2">
        <f t="shared" si="227"/>
        <v>75000</v>
      </c>
      <c r="Q405" s="198"/>
    </row>
    <row r="406" spans="1:17" s="125" customFormat="1" ht="30" customHeight="1" x14ac:dyDescent="0.25">
      <c r="A406" s="1" t="s">
        <v>218</v>
      </c>
      <c r="B406" s="3" t="str">
        <f>'дод 7'!A262</f>
        <v>8340</v>
      </c>
      <c r="C406" s="1" t="str">
        <f>'дод 7'!B262</f>
        <v>0540</v>
      </c>
      <c r="D406" s="63" t="str">
        <f>'дод 7'!C262</f>
        <v>Природоохоронні заходи за рахунок цільових фондів</v>
      </c>
      <c r="E406" s="2">
        <f t="shared" si="226"/>
        <v>0</v>
      </c>
      <c r="F406" s="2"/>
      <c r="G406" s="2"/>
      <c r="H406" s="2"/>
      <c r="I406" s="2"/>
      <c r="J406" s="2">
        <f t="shared" si="228"/>
        <v>289600</v>
      </c>
      <c r="K406" s="2"/>
      <c r="L406" s="2">
        <v>289600</v>
      </c>
      <c r="M406" s="2"/>
      <c r="N406" s="2"/>
      <c r="O406" s="2"/>
      <c r="P406" s="2">
        <f t="shared" si="227"/>
        <v>289600</v>
      </c>
      <c r="Q406" s="198"/>
    </row>
    <row r="407" spans="1:17" s="125" customFormat="1" ht="21.75" customHeight="1" x14ac:dyDescent="0.25">
      <c r="A407" s="1" t="s">
        <v>219</v>
      </c>
      <c r="B407" s="3" t="str">
        <f>'дод 7'!A265</f>
        <v>8600</v>
      </c>
      <c r="C407" s="3" t="str">
        <f>'дод 7'!B265</f>
        <v>0170</v>
      </c>
      <c r="D407" s="63" t="str">
        <f>'дод 7'!C265</f>
        <v>Обслуговування місцевого боргу</v>
      </c>
      <c r="E407" s="2">
        <f t="shared" si="226"/>
        <v>3017069</v>
      </c>
      <c r="F407" s="2">
        <v>3017069</v>
      </c>
      <c r="G407" s="2"/>
      <c r="H407" s="2"/>
      <c r="I407" s="2"/>
      <c r="J407" s="2">
        <f t="shared" si="228"/>
        <v>0</v>
      </c>
      <c r="K407" s="2"/>
      <c r="L407" s="2"/>
      <c r="M407" s="2"/>
      <c r="N407" s="2"/>
      <c r="O407" s="2"/>
      <c r="P407" s="2">
        <f t="shared" si="227"/>
        <v>3017069</v>
      </c>
      <c r="Q407" s="198"/>
    </row>
    <row r="408" spans="1:17" s="125" customFormat="1" ht="24.75" customHeight="1" x14ac:dyDescent="0.25">
      <c r="A408" s="1" t="s">
        <v>484</v>
      </c>
      <c r="B408" s="3">
        <v>8710</v>
      </c>
      <c r="C408" s="3" t="str">
        <f>'дод 7'!B267</f>
        <v>0133</v>
      </c>
      <c r="D408" s="63" t="str">
        <f>'дод 7'!C267</f>
        <v>Резервний фонд місцевого бюджету</v>
      </c>
      <c r="E408" s="2">
        <f>80000000+20000000+100000000+30000000-18036300-500000+10000000-15714580+12700-5000-5000-213795+173300-428200-300000+137824-3283700+410600-78828579-3000000-3700000+341000-2300000+47414669+120000</f>
        <v>162294939</v>
      </c>
      <c r="F408" s="2"/>
      <c r="G408" s="2"/>
      <c r="H408" s="2"/>
      <c r="I408" s="2"/>
      <c r="J408" s="2">
        <f t="shared" si="228"/>
        <v>0</v>
      </c>
      <c r="K408" s="2"/>
      <c r="L408" s="2"/>
      <c r="M408" s="2"/>
      <c r="N408" s="2"/>
      <c r="O408" s="2"/>
      <c r="P408" s="2">
        <f t="shared" si="227"/>
        <v>162294939</v>
      </c>
      <c r="Q408" s="198"/>
    </row>
    <row r="409" spans="1:17" s="125" customFormat="1" ht="24.75" hidden="1" customHeight="1" x14ac:dyDescent="0.25">
      <c r="A409" s="1" t="s">
        <v>229</v>
      </c>
      <c r="B409" s="3" t="str">
        <f>'дод 7'!A275</f>
        <v>9110</v>
      </c>
      <c r="C409" s="3" t="str">
        <f>'дод 7'!B275</f>
        <v>0180</v>
      </c>
      <c r="D409" s="63" t="str">
        <f>'дод 7'!C275</f>
        <v>Реверсна дотація</v>
      </c>
      <c r="E409" s="2">
        <f>F409+I409</f>
        <v>0</v>
      </c>
      <c r="F409" s="2"/>
      <c r="G409" s="2"/>
      <c r="H409" s="2"/>
      <c r="I409" s="2"/>
      <c r="J409" s="2">
        <f t="shared" si="228"/>
        <v>0</v>
      </c>
      <c r="K409" s="2"/>
      <c r="L409" s="2"/>
      <c r="M409" s="2"/>
      <c r="N409" s="2"/>
      <c r="O409" s="2"/>
      <c r="P409" s="2">
        <f>E409+J409</f>
        <v>0</v>
      </c>
      <c r="Q409" s="198"/>
    </row>
    <row r="410" spans="1:17" s="125" customFormat="1" ht="36.75" customHeight="1" x14ac:dyDescent="0.25">
      <c r="A410" s="94" t="s">
        <v>706</v>
      </c>
      <c r="B410" s="3"/>
      <c r="C410" s="3"/>
      <c r="D410" s="91" t="s">
        <v>717</v>
      </c>
      <c r="E410" s="15">
        <f>E411</f>
        <v>7426100</v>
      </c>
      <c r="F410" s="15">
        <f t="shared" ref="F410:O411" si="229">F411</f>
        <v>7426100</v>
      </c>
      <c r="G410" s="15">
        <f t="shared" si="229"/>
        <v>5474700</v>
      </c>
      <c r="H410" s="15">
        <f t="shared" si="229"/>
        <v>92800</v>
      </c>
      <c r="I410" s="15">
        <f t="shared" si="229"/>
        <v>0</v>
      </c>
      <c r="J410" s="15">
        <f t="shared" si="229"/>
        <v>350000</v>
      </c>
      <c r="K410" s="15">
        <f t="shared" si="229"/>
        <v>350000</v>
      </c>
      <c r="L410" s="15">
        <f t="shared" si="229"/>
        <v>0</v>
      </c>
      <c r="M410" s="15">
        <f t="shared" si="229"/>
        <v>0</v>
      </c>
      <c r="N410" s="15">
        <f t="shared" si="229"/>
        <v>0</v>
      </c>
      <c r="O410" s="15">
        <f t="shared" si="229"/>
        <v>350000</v>
      </c>
      <c r="P410" s="15">
        <f t="shared" ref="P410:P412" si="230">E410+J410</f>
        <v>7776100</v>
      </c>
      <c r="Q410" s="141"/>
    </row>
    <row r="411" spans="1:17" s="125" customFormat="1" ht="38.25" customHeight="1" x14ac:dyDescent="0.25">
      <c r="A411" s="7" t="s">
        <v>706</v>
      </c>
      <c r="B411" s="3"/>
      <c r="C411" s="3"/>
      <c r="D411" s="9" t="s">
        <v>717</v>
      </c>
      <c r="E411" s="10">
        <f>E412</f>
        <v>7426100</v>
      </c>
      <c r="F411" s="10">
        <f t="shared" si="229"/>
        <v>7426100</v>
      </c>
      <c r="G411" s="10">
        <f t="shared" si="229"/>
        <v>5474700</v>
      </c>
      <c r="H411" s="10">
        <f t="shared" si="229"/>
        <v>92800</v>
      </c>
      <c r="I411" s="10">
        <f t="shared" si="229"/>
        <v>0</v>
      </c>
      <c r="J411" s="10">
        <f t="shared" si="229"/>
        <v>350000</v>
      </c>
      <c r="K411" s="10">
        <f t="shared" si="229"/>
        <v>350000</v>
      </c>
      <c r="L411" s="10">
        <f t="shared" si="229"/>
        <v>0</v>
      </c>
      <c r="M411" s="10">
        <f t="shared" si="229"/>
        <v>0</v>
      </c>
      <c r="N411" s="10">
        <f t="shared" si="229"/>
        <v>0</v>
      </c>
      <c r="O411" s="10">
        <f t="shared" si="229"/>
        <v>350000</v>
      </c>
      <c r="P411" s="10">
        <f t="shared" si="230"/>
        <v>7776100</v>
      </c>
      <c r="Q411" s="141"/>
    </row>
    <row r="412" spans="1:17" s="125" customFormat="1" ht="47.25" x14ac:dyDescent="0.25">
      <c r="A412" s="1" t="s">
        <v>707</v>
      </c>
      <c r="B412" s="1" t="s">
        <v>117</v>
      </c>
      <c r="C412" s="3" t="s">
        <v>45</v>
      </c>
      <c r="D412" s="63" t="s">
        <v>469</v>
      </c>
      <c r="E412" s="2">
        <f t="shared" ref="E412" si="231">F412+I412</f>
        <v>7426100</v>
      </c>
      <c r="F412" s="2">
        <f>7421100+5000</f>
        <v>7426100</v>
      </c>
      <c r="G412" s="2">
        <f>5470600+4100</f>
        <v>5474700</v>
      </c>
      <c r="H412" s="2">
        <v>92800</v>
      </c>
      <c r="I412" s="2"/>
      <c r="J412" s="2">
        <f t="shared" ref="J412" si="232">L412+O412</f>
        <v>350000</v>
      </c>
      <c r="K412" s="2">
        <v>350000</v>
      </c>
      <c r="L412" s="2"/>
      <c r="M412" s="2"/>
      <c r="N412" s="2"/>
      <c r="O412" s="2">
        <v>350000</v>
      </c>
      <c r="P412" s="2">
        <f t="shared" si="230"/>
        <v>7776100</v>
      </c>
      <c r="Q412" s="141"/>
    </row>
    <row r="413" spans="1:17" s="124" customFormat="1" ht="22.5" customHeight="1" x14ac:dyDescent="0.25">
      <c r="A413" s="94"/>
      <c r="B413" s="58"/>
      <c r="C413" s="113"/>
      <c r="D413" s="91" t="s">
        <v>396</v>
      </c>
      <c r="E413" s="15">
        <f t="shared" ref="E413:P413" si="233">E16+E68+E150+E190+E236+E245+E256+E320+E327+E357+E365+E372+E399+E323+E388+E380+E368+E410</f>
        <v>3013587661.8900003</v>
      </c>
      <c r="F413" s="15">
        <f t="shared" si="233"/>
        <v>2724962722.8900003</v>
      </c>
      <c r="G413" s="15">
        <f t="shared" si="233"/>
        <v>1403536270</v>
      </c>
      <c r="H413" s="15">
        <f t="shared" si="233"/>
        <v>214908400</v>
      </c>
      <c r="I413" s="15">
        <f t="shared" si="233"/>
        <v>126330000</v>
      </c>
      <c r="J413" s="15">
        <f t="shared" si="233"/>
        <v>678883582.65999997</v>
      </c>
      <c r="K413" s="15">
        <f t="shared" si="233"/>
        <v>502172614.64999998</v>
      </c>
      <c r="L413" s="15">
        <f t="shared" si="233"/>
        <v>107570600</v>
      </c>
      <c r="M413" s="15">
        <f t="shared" si="233"/>
        <v>10161379</v>
      </c>
      <c r="N413" s="15">
        <f t="shared" ca="1" si="233"/>
        <v>5905712</v>
      </c>
      <c r="O413" s="15">
        <f t="shared" si="233"/>
        <v>571312982.65999997</v>
      </c>
      <c r="P413" s="15">
        <f t="shared" si="233"/>
        <v>3692471244.5500002</v>
      </c>
      <c r="Q413" s="197"/>
    </row>
    <row r="414" spans="1:17" s="11" customFormat="1" ht="26.45" customHeight="1" x14ac:dyDescent="0.25">
      <c r="A414" s="7"/>
      <c r="B414" s="8"/>
      <c r="C414" s="84"/>
      <c r="D414" s="9" t="s">
        <v>719</v>
      </c>
      <c r="E414" s="10">
        <f>E70+E72+E80+E329+E265+E192+E195</f>
        <v>552925324.88999999</v>
      </c>
      <c r="F414" s="10">
        <f t="shared" ref="F414:P414" si="234">F70+F72+F80+F329+F265+F192+F195</f>
        <v>552925324.88999999</v>
      </c>
      <c r="G414" s="10">
        <f t="shared" si="234"/>
        <v>452674600</v>
      </c>
      <c r="H414" s="10">
        <f t="shared" si="234"/>
        <v>0</v>
      </c>
      <c r="I414" s="10">
        <f t="shared" si="234"/>
        <v>0</v>
      </c>
      <c r="J414" s="10">
        <f t="shared" si="234"/>
        <v>0</v>
      </c>
      <c r="K414" s="10">
        <f t="shared" si="234"/>
        <v>0</v>
      </c>
      <c r="L414" s="10">
        <f t="shared" si="234"/>
        <v>0</v>
      </c>
      <c r="M414" s="10">
        <f t="shared" si="234"/>
        <v>0</v>
      </c>
      <c r="N414" s="10">
        <f t="shared" si="234"/>
        <v>0</v>
      </c>
      <c r="O414" s="10">
        <f t="shared" si="234"/>
        <v>0</v>
      </c>
      <c r="P414" s="10">
        <f t="shared" si="234"/>
        <v>552925324.88999999</v>
      </c>
      <c r="Q414" s="197"/>
    </row>
    <row r="415" spans="1:17" s="11" customFormat="1" ht="44.65" customHeight="1" x14ac:dyDescent="0.25">
      <c r="A415" s="7"/>
      <c r="B415" s="8"/>
      <c r="C415" s="84"/>
      <c r="D415" s="9" t="s">
        <v>720</v>
      </c>
      <c r="E415" s="10">
        <f>E73+E84+E266</f>
        <v>4320175</v>
      </c>
      <c r="F415" s="10">
        <f t="shared" ref="F415:P415" si="235">F73+F84+F266</f>
        <v>4320175</v>
      </c>
      <c r="G415" s="10">
        <f t="shared" si="235"/>
        <v>1714570</v>
      </c>
      <c r="H415" s="10">
        <f t="shared" si="235"/>
        <v>0</v>
      </c>
      <c r="I415" s="10">
        <f t="shared" si="235"/>
        <v>0</v>
      </c>
      <c r="J415" s="10">
        <f t="shared" si="235"/>
        <v>67150626.659999996</v>
      </c>
      <c r="K415" s="10">
        <f t="shared" si="235"/>
        <v>0</v>
      </c>
      <c r="L415" s="10">
        <f t="shared" si="235"/>
        <v>0</v>
      </c>
      <c r="M415" s="10">
        <f t="shared" si="235"/>
        <v>0</v>
      </c>
      <c r="N415" s="10">
        <f t="shared" si="235"/>
        <v>0</v>
      </c>
      <c r="O415" s="10">
        <f t="shared" si="235"/>
        <v>67150626.659999996</v>
      </c>
      <c r="P415" s="10">
        <f t="shared" si="235"/>
        <v>71470801.659999996</v>
      </c>
      <c r="Q415" s="197"/>
    </row>
    <row r="416" spans="1:17" s="11" customFormat="1" ht="22.35" customHeight="1" x14ac:dyDescent="0.25">
      <c r="A416" s="7"/>
      <c r="B416" s="8"/>
      <c r="C416" s="84"/>
      <c r="D416" s="9" t="s">
        <v>721</v>
      </c>
      <c r="E416" s="10">
        <f>E194+E18</f>
        <v>1957329</v>
      </c>
      <c r="F416" s="10">
        <f t="shared" ref="F416:P416" si="236">F194+F18</f>
        <v>1957329</v>
      </c>
      <c r="G416" s="10">
        <f t="shared" si="236"/>
        <v>336800</v>
      </c>
      <c r="H416" s="10">
        <f t="shared" si="236"/>
        <v>0</v>
      </c>
      <c r="I416" s="10">
        <f t="shared" si="236"/>
        <v>0</v>
      </c>
      <c r="J416" s="10">
        <f t="shared" si="236"/>
        <v>0</v>
      </c>
      <c r="K416" s="10">
        <f t="shared" si="236"/>
        <v>0</v>
      </c>
      <c r="L416" s="10">
        <f t="shared" si="236"/>
        <v>0</v>
      </c>
      <c r="M416" s="10">
        <f t="shared" si="236"/>
        <v>0</v>
      </c>
      <c r="N416" s="10">
        <f t="shared" si="236"/>
        <v>0</v>
      </c>
      <c r="O416" s="10">
        <f t="shared" si="236"/>
        <v>0</v>
      </c>
      <c r="P416" s="10">
        <f t="shared" si="236"/>
        <v>1957329</v>
      </c>
      <c r="Q416" s="197"/>
    </row>
    <row r="417" spans="1:17" s="11" customFormat="1" ht="20.25" customHeight="1" x14ac:dyDescent="0.25">
      <c r="A417" s="7"/>
      <c r="B417" s="8"/>
      <c r="C417" s="8"/>
      <c r="D417" s="9" t="s">
        <v>407</v>
      </c>
      <c r="E417" s="10">
        <f t="shared" ref="E417:P417" si="237">E159+E331+E263</f>
        <v>0</v>
      </c>
      <c r="F417" s="10">
        <f t="shared" si="237"/>
        <v>0</v>
      </c>
      <c r="G417" s="10">
        <f t="shared" si="237"/>
        <v>0</v>
      </c>
      <c r="H417" s="10">
        <f t="shared" si="237"/>
        <v>0</v>
      </c>
      <c r="I417" s="10">
        <f t="shared" si="237"/>
        <v>0</v>
      </c>
      <c r="J417" s="10">
        <f t="shared" si="237"/>
        <v>61868709</v>
      </c>
      <c r="K417" s="10">
        <f t="shared" si="237"/>
        <v>61868709</v>
      </c>
      <c r="L417" s="10">
        <f t="shared" si="237"/>
        <v>0</v>
      </c>
      <c r="M417" s="10">
        <f t="shared" si="237"/>
        <v>0</v>
      </c>
      <c r="N417" s="10">
        <f t="shared" si="237"/>
        <v>0</v>
      </c>
      <c r="O417" s="10">
        <f t="shared" si="237"/>
        <v>61868709</v>
      </c>
      <c r="P417" s="10">
        <f t="shared" si="237"/>
        <v>61868709</v>
      </c>
      <c r="Q417" s="197"/>
    </row>
    <row r="418" spans="1:17" s="11" customFormat="1" ht="20.25" hidden="1" customHeight="1" x14ac:dyDescent="0.25">
      <c r="A418" s="7"/>
      <c r="B418" s="8"/>
      <c r="C418" s="8"/>
      <c r="D418" s="9" t="s">
        <v>654</v>
      </c>
      <c r="E418" s="10">
        <f t="shared" ref="E418:P418" si="238">E160+E83</f>
        <v>0</v>
      </c>
      <c r="F418" s="10">
        <f t="shared" si="238"/>
        <v>0</v>
      </c>
      <c r="G418" s="10">
        <f t="shared" si="238"/>
        <v>0</v>
      </c>
      <c r="H418" s="10">
        <f t="shared" si="238"/>
        <v>0</v>
      </c>
      <c r="I418" s="10">
        <f t="shared" si="238"/>
        <v>0</v>
      </c>
      <c r="J418" s="10">
        <f t="shared" si="238"/>
        <v>0</v>
      </c>
      <c r="K418" s="10">
        <f t="shared" si="238"/>
        <v>0</v>
      </c>
      <c r="L418" s="10">
        <f t="shared" si="238"/>
        <v>0</v>
      </c>
      <c r="M418" s="10">
        <f t="shared" si="238"/>
        <v>0</v>
      </c>
      <c r="N418" s="10">
        <f t="shared" si="238"/>
        <v>0</v>
      </c>
      <c r="O418" s="10">
        <f t="shared" si="238"/>
        <v>0</v>
      </c>
      <c r="P418" s="10">
        <f t="shared" si="238"/>
        <v>0</v>
      </c>
      <c r="Q418" s="197"/>
    </row>
    <row r="419" spans="1:17" s="11" customFormat="1" ht="24" hidden="1" customHeight="1" x14ac:dyDescent="0.25">
      <c r="A419" s="7"/>
      <c r="B419" s="8"/>
      <c r="C419" s="8"/>
      <c r="D419" s="9" t="s">
        <v>631</v>
      </c>
      <c r="E419" s="10">
        <f>E413-E414-E415-E417</f>
        <v>2456342162.0000005</v>
      </c>
      <c r="F419" s="10"/>
      <c r="G419" s="10"/>
      <c r="H419" s="10"/>
      <c r="I419" s="10"/>
      <c r="J419" s="10">
        <f>J413-J414-J415-J417-J432-J433-J434-J435-J437</f>
        <v>442428090</v>
      </c>
      <c r="K419" s="10">
        <f>K413-K414-K415-K417-K432-K433-K434-K435-K437</f>
        <v>440303905.64999998</v>
      </c>
      <c r="L419" s="10"/>
      <c r="M419" s="10"/>
      <c r="N419" s="10"/>
      <c r="O419" s="10"/>
      <c r="P419" s="10">
        <f>P413-P414-P415-P417</f>
        <v>3006206409.0000005</v>
      </c>
      <c r="Q419" s="197"/>
    </row>
    <row r="420" spans="1:17" s="11" customFormat="1" ht="26.25" hidden="1" customHeight="1" x14ac:dyDescent="0.25">
      <c r="A420" s="142"/>
      <c r="B420" s="143"/>
      <c r="C420" s="143"/>
      <c r="D420" s="9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97"/>
    </row>
    <row r="421" spans="1:17" s="11" customFormat="1" ht="18.75" hidden="1" customHeight="1" x14ac:dyDescent="0.25">
      <c r="A421" s="142"/>
      <c r="B421" s="143"/>
      <c r="C421" s="143"/>
      <c r="D421" s="9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97"/>
    </row>
    <row r="422" spans="1:17" s="124" customFormat="1" ht="30" hidden="1" customHeight="1" x14ac:dyDescent="0.25">
      <c r="A422" s="144"/>
      <c r="B422" s="145"/>
      <c r="C422" s="119"/>
      <c r="D422" s="146"/>
      <c r="E422" s="18"/>
      <c r="F422" s="105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97"/>
    </row>
    <row r="423" spans="1:17" s="124" customFormat="1" ht="32.25" hidden="1" customHeight="1" x14ac:dyDescent="0.25">
      <c r="A423" s="144"/>
      <c r="B423" s="145"/>
      <c r="C423" s="119"/>
      <c r="D423" s="146"/>
      <c r="E423" s="18">
        <f>E417-'дод 7'!D290</f>
        <v>0</v>
      </c>
      <c r="F423" s="18">
        <f>F417-'дод 7'!E290</f>
        <v>0</v>
      </c>
      <c r="G423" s="18">
        <f>G417-'дод 7'!F290</f>
        <v>0</v>
      </c>
      <c r="H423" s="18">
        <f>H417-'дод 7'!G290</f>
        <v>0</v>
      </c>
      <c r="I423" s="18">
        <f>I417-'дод 7'!H290</f>
        <v>0</v>
      </c>
      <c r="J423" s="18">
        <f>J417-'дод 7'!I290</f>
        <v>0</v>
      </c>
      <c r="K423" s="18">
        <f>K417-'дод 7'!J290</f>
        <v>0</v>
      </c>
      <c r="L423" s="18">
        <f>L417-'дод 7'!K290</f>
        <v>0</v>
      </c>
      <c r="M423" s="18">
        <f>M417-'дод 7'!L290</f>
        <v>0</v>
      </c>
      <c r="N423" s="18">
        <f>N417-'дод 7'!M290</f>
        <v>0</v>
      </c>
      <c r="O423" s="18">
        <f>O417-'дод 7'!N290</f>
        <v>0</v>
      </c>
      <c r="P423" s="18">
        <f>P417-'дод 7'!O290</f>
        <v>0</v>
      </c>
      <c r="Q423" s="197"/>
    </row>
    <row r="424" spans="1:17" s="124" customFormat="1" ht="30" hidden="1" customHeight="1" x14ac:dyDescent="0.25">
      <c r="A424" s="144"/>
      <c r="B424" s="145"/>
      <c r="C424" s="119"/>
      <c r="D424" s="146"/>
      <c r="E424" s="18"/>
      <c r="F424" s="105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97"/>
    </row>
    <row r="425" spans="1:17" s="152" customFormat="1" ht="40.5" hidden="1" customHeight="1" x14ac:dyDescent="0.55000000000000004">
      <c r="A425" s="147" t="s">
        <v>603</v>
      </c>
      <c r="B425" s="148"/>
      <c r="C425" s="149"/>
      <c r="D425" s="150"/>
      <c r="E425" s="18"/>
      <c r="F425" s="105"/>
      <c r="G425" s="150"/>
      <c r="H425" s="150"/>
      <c r="I425" s="150"/>
      <c r="J425" s="150"/>
      <c r="K425" s="151"/>
      <c r="L425" s="151"/>
      <c r="M425" s="150"/>
      <c r="N425" s="150" t="s">
        <v>604</v>
      </c>
      <c r="O425" s="101"/>
      <c r="P425" s="101"/>
      <c r="Q425" s="197"/>
    </row>
    <row r="426" spans="1:17" ht="18.75" hidden="1" customHeight="1" thickBot="1" x14ac:dyDescent="0.3">
      <c r="E426" s="18"/>
      <c r="F426" s="105"/>
      <c r="P426" s="13"/>
      <c r="Q426" s="197"/>
    </row>
    <row r="427" spans="1:17" s="155" customFormat="1" ht="15.75" hidden="1" customHeight="1" x14ac:dyDescent="0.25">
      <c r="A427" s="153"/>
      <c r="B427" s="153"/>
      <c r="C427" s="153"/>
      <c r="D427" s="203" t="s">
        <v>602</v>
      </c>
      <c r="E427" s="19">
        <f>E413-'дод 7'!D285</f>
        <v>0</v>
      </c>
      <c r="F427" s="154">
        <f>F413-'дод 7'!E285</f>
        <v>0</v>
      </c>
      <c r="G427" s="154">
        <f>G413-'дод 7'!F285</f>
        <v>0</v>
      </c>
      <c r="H427" s="154">
        <f>H413-'дод 7'!G285</f>
        <v>0</v>
      </c>
      <c r="I427" s="154">
        <f>I413-'дод 7'!H285</f>
        <v>0</v>
      </c>
      <c r="J427" s="154">
        <f>J413-'дод 7'!I285</f>
        <v>0</v>
      </c>
      <c r="K427" s="154">
        <f>K413-'дод 7'!J285</f>
        <v>0</v>
      </c>
      <c r="L427" s="154">
        <f>L413-'дод 7'!K285</f>
        <v>0</v>
      </c>
      <c r="M427" s="154">
        <f>M413-'дод 7'!L285</f>
        <v>0</v>
      </c>
      <c r="N427" s="154">
        <f ca="1">N413-'дод 7'!M285</f>
        <v>0</v>
      </c>
      <c r="O427" s="154">
        <f>O413-'дод 7'!N285</f>
        <v>0</v>
      </c>
      <c r="P427" s="154">
        <f>P413-'дод 7'!O285</f>
        <v>0</v>
      </c>
      <c r="Q427" s="197"/>
    </row>
    <row r="428" spans="1:17" s="155" customFormat="1" ht="15.75" hidden="1" customHeight="1" x14ac:dyDescent="0.25">
      <c r="A428" s="153"/>
      <c r="B428" s="153"/>
      <c r="C428" s="153"/>
      <c r="D428" s="203"/>
      <c r="E428" s="20">
        <f>E414-'дод 7'!D286</f>
        <v>0</v>
      </c>
      <c r="F428" s="22">
        <f>F414-'дод 7'!E286</f>
        <v>0</v>
      </c>
      <c r="G428" s="22">
        <f>G414-'дод 7'!F286</f>
        <v>0</v>
      </c>
      <c r="H428" s="22">
        <f>H414-'дод 7'!G286</f>
        <v>0</v>
      </c>
      <c r="I428" s="22">
        <f>I414-'дод 7'!H286</f>
        <v>0</v>
      </c>
      <c r="J428" s="22">
        <f>J414-'дод 7'!I286</f>
        <v>0</v>
      </c>
      <c r="K428" s="22">
        <f>K414-'дод 7'!J286</f>
        <v>0</v>
      </c>
      <c r="L428" s="22">
        <f>L414-'дод 7'!K286</f>
        <v>0</v>
      </c>
      <c r="M428" s="22">
        <f>M414-'дод 7'!L286</f>
        <v>0</v>
      </c>
      <c r="N428" s="22">
        <f>N414-'дод 7'!M286</f>
        <v>0</v>
      </c>
      <c r="O428" s="22">
        <f>O414-'дод 7'!N286</f>
        <v>0</v>
      </c>
      <c r="P428" s="24">
        <f>P414-'дод 7'!O286</f>
        <v>0</v>
      </c>
      <c r="Q428" s="197"/>
    </row>
    <row r="429" spans="1:17" s="155" customFormat="1" ht="15.75" hidden="1" customHeight="1" x14ac:dyDescent="0.25">
      <c r="A429" s="153"/>
      <c r="B429" s="153"/>
      <c r="C429" s="153"/>
      <c r="D429" s="203"/>
      <c r="E429" s="20">
        <f>E415-'дод 7'!D287</f>
        <v>0</v>
      </c>
      <c r="F429" s="22">
        <f>F415-'дод 7'!E287</f>
        <v>0</v>
      </c>
      <c r="G429" s="22">
        <f>G415-'дод 7'!F287</f>
        <v>0</v>
      </c>
      <c r="H429" s="22">
        <f>H415-'дод 7'!G287</f>
        <v>0</v>
      </c>
      <c r="I429" s="22">
        <f>I415-'дод 7'!H287</f>
        <v>0</v>
      </c>
      <c r="J429" s="22">
        <f>J415-'дод 7'!I287</f>
        <v>0</v>
      </c>
      <c r="K429" s="22">
        <f>K415-'дод 7'!J287</f>
        <v>0</v>
      </c>
      <c r="L429" s="22">
        <f>L415-'дод 7'!K287</f>
        <v>0</v>
      </c>
      <c r="M429" s="22">
        <f>M415-'дод 7'!L287</f>
        <v>0</v>
      </c>
      <c r="N429" s="22">
        <f>N415-'дод 7'!M287</f>
        <v>0</v>
      </c>
      <c r="O429" s="22">
        <f>O415-'дод 7'!N287</f>
        <v>0</v>
      </c>
      <c r="P429" s="24">
        <f>P415-'дод 7'!O287</f>
        <v>0</v>
      </c>
      <c r="Q429" s="197"/>
    </row>
    <row r="430" spans="1:17" s="155" customFormat="1" ht="15.75" hidden="1" customHeight="1" x14ac:dyDescent="0.25">
      <c r="A430" s="153"/>
      <c r="B430" s="153"/>
      <c r="C430" s="153"/>
      <c r="D430" s="204"/>
      <c r="E430" s="21">
        <f>E417-'дод 7'!D290</f>
        <v>0</v>
      </c>
      <c r="F430" s="156">
        <f>F417-'дод 7'!E290</f>
        <v>0</v>
      </c>
      <c r="G430" s="156">
        <f>G417-'дод 7'!F290</f>
        <v>0</v>
      </c>
      <c r="H430" s="156">
        <f>H417-'дод 7'!G290</f>
        <v>0</v>
      </c>
      <c r="I430" s="156">
        <f>I417-'дод 7'!H290</f>
        <v>0</v>
      </c>
      <c r="J430" s="156">
        <f>J417-'дод 7'!I290</f>
        <v>0</v>
      </c>
      <c r="K430" s="156">
        <f>K417-'дод 7'!J290</f>
        <v>0</v>
      </c>
      <c r="L430" s="156">
        <f>L417-'дод 7'!K290</f>
        <v>0</v>
      </c>
      <c r="M430" s="156">
        <f>M417-'дод 7'!L290</f>
        <v>0</v>
      </c>
      <c r="N430" s="156">
        <f>N417-'дод 7'!M290</f>
        <v>0</v>
      </c>
      <c r="O430" s="156">
        <f>O417-'дод 7'!N290</f>
        <v>0</v>
      </c>
      <c r="P430" s="157">
        <f>P417-'дод 7'!O290</f>
        <v>0</v>
      </c>
      <c r="Q430" s="197"/>
    </row>
    <row r="431" spans="1:17" s="155" customFormat="1" ht="15.75" hidden="1" customHeight="1" thickBot="1" x14ac:dyDescent="0.3">
      <c r="A431" s="153"/>
      <c r="B431" s="153"/>
      <c r="C431" s="153"/>
      <c r="D431" s="158"/>
      <c r="E431" s="22">
        <f>E418-'дод 7'!D291</f>
        <v>0</v>
      </c>
      <c r="F431" s="22">
        <f>F418-'дод 7'!E291</f>
        <v>0</v>
      </c>
      <c r="G431" s="22">
        <f>G418-'дод 7'!F291</f>
        <v>0</v>
      </c>
      <c r="H431" s="22">
        <f>H418-'дод 7'!G291</f>
        <v>0</v>
      </c>
      <c r="I431" s="22">
        <f>I418-'дод 7'!H291</f>
        <v>0</v>
      </c>
      <c r="J431" s="22">
        <f>J418-'дод 7'!I291</f>
        <v>0</v>
      </c>
      <c r="K431" s="22">
        <f>K418-'дод 7'!J291</f>
        <v>0</v>
      </c>
      <c r="L431" s="22">
        <f>L418-'дод 7'!K291</f>
        <v>0</v>
      </c>
      <c r="M431" s="22">
        <f>M418-'дод 7'!L291</f>
        <v>0</v>
      </c>
      <c r="N431" s="22">
        <f>N418-'дод 7'!M291</f>
        <v>0</v>
      </c>
      <c r="O431" s="22">
        <f>O418-'дод 7'!N291</f>
        <v>0</v>
      </c>
      <c r="P431" s="22">
        <f>P418-'дод 7'!O291</f>
        <v>0</v>
      </c>
      <c r="Q431" s="197"/>
    </row>
    <row r="432" spans="1:17" s="164" customFormat="1" ht="14.25" hidden="1" customHeight="1" x14ac:dyDescent="0.25">
      <c r="A432" s="153"/>
      <c r="B432" s="153"/>
      <c r="C432" s="153"/>
      <c r="D432" s="159" t="s">
        <v>606</v>
      </c>
      <c r="E432" s="23">
        <f>2640157271+2140000</f>
        <v>2642297271</v>
      </c>
      <c r="F432" s="160"/>
      <c r="G432" s="13"/>
      <c r="H432" s="205" t="s">
        <v>612</v>
      </c>
      <c r="I432" s="206"/>
      <c r="J432" s="161">
        <f>99571757+152500</f>
        <v>99724257</v>
      </c>
      <c r="K432" s="162"/>
      <c r="L432" s="163">
        <f>J432-L29-L40-L58-L86-L87-L104-L209-L248-L249-L250-O280-O248-O104-L332-L280</f>
        <v>-6253043</v>
      </c>
      <c r="M432" s="13"/>
      <c r="N432" s="13"/>
      <c r="O432" s="13"/>
      <c r="P432" s="13"/>
      <c r="Q432" s="197"/>
    </row>
    <row r="433" spans="1:17" ht="14.25" hidden="1" customHeight="1" x14ac:dyDescent="0.25">
      <c r="D433" s="165" t="s">
        <v>607</v>
      </c>
      <c r="E433" s="24"/>
      <c r="F433" s="160">
        <f>E433-E414</f>
        <v>-552925324.88999999</v>
      </c>
      <c r="H433" s="207" t="s">
        <v>613</v>
      </c>
      <c r="I433" s="208"/>
      <c r="J433" s="22">
        <v>3145100</v>
      </c>
      <c r="K433" s="24"/>
      <c r="L433" s="160">
        <f>J433-L406-L312-L62-L145-O406-O312-O145</f>
        <v>929600</v>
      </c>
      <c r="P433" s="13"/>
      <c r="Q433" s="197"/>
    </row>
    <row r="434" spans="1:17" ht="14.25" hidden="1" customHeight="1" x14ac:dyDescent="0.25">
      <c r="D434" s="165" t="s">
        <v>608</v>
      </c>
      <c r="E434" s="24"/>
      <c r="F434" s="220">
        <f>E434+E435-E415</f>
        <v>-2813832</v>
      </c>
      <c r="H434" s="207" t="s">
        <v>614</v>
      </c>
      <c r="I434" s="208"/>
      <c r="J434" s="22">
        <v>225000</v>
      </c>
      <c r="K434" s="24"/>
      <c r="L434" s="160">
        <f>J434-L307-L55</f>
        <v>115000</v>
      </c>
      <c r="P434" s="13"/>
      <c r="Q434" s="197"/>
    </row>
    <row r="435" spans="1:17" ht="14.25" hidden="1" customHeight="1" x14ac:dyDescent="0.25">
      <c r="D435" s="165" t="s">
        <v>609</v>
      </c>
      <c r="E435" s="24">
        <v>1506343</v>
      </c>
      <c r="F435" s="220"/>
      <c r="H435" s="207" t="s">
        <v>615</v>
      </c>
      <c r="I435" s="208"/>
      <c r="J435" s="22">
        <v>141800</v>
      </c>
      <c r="K435" s="24"/>
      <c r="L435" s="160">
        <f>O341-J435+J449</f>
        <v>307810</v>
      </c>
      <c r="P435" s="13"/>
      <c r="Q435" s="197"/>
    </row>
    <row r="436" spans="1:17" ht="14.25" hidden="1" customHeight="1" x14ac:dyDescent="0.25">
      <c r="D436" s="165" t="s">
        <v>610</v>
      </c>
      <c r="E436" s="24"/>
      <c r="F436" s="160"/>
      <c r="H436" s="207" t="s">
        <v>616</v>
      </c>
      <c r="I436" s="208"/>
      <c r="J436" s="22">
        <v>2659373</v>
      </c>
      <c r="K436" s="24">
        <v>2659373</v>
      </c>
      <c r="L436" s="160"/>
      <c r="P436" s="13"/>
      <c r="Q436" s="197"/>
    </row>
    <row r="437" spans="1:17" ht="14.25" hidden="1" customHeight="1" x14ac:dyDescent="0.25">
      <c r="D437" s="165"/>
      <c r="E437" s="24"/>
      <c r="H437" s="223" t="s">
        <v>628</v>
      </c>
      <c r="I437" s="224"/>
      <c r="J437" s="22">
        <v>4200000</v>
      </c>
      <c r="K437" s="24"/>
      <c r="L437" s="160"/>
      <c r="P437" s="13"/>
      <c r="Q437" s="197"/>
    </row>
    <row r="438" spans="1:17" s="172" customFormat="1" ht="14.25" hidden="1" customHeight="1" x14ac:dyDescent="0.2">
      <c r="A438" s="166"/>
      <c r="B438" s="167"/>
      <c r="C438" s="167"/>
      <c r="D438" s="168" t="s">
        <v>617</v>
      </c>
      <c r="E438" s="25">
        <f>E432+E433+E434+E435+E436+E437</f>
        <v>2643803614</v>
      </c>
      <c r="F438" s="169"/>
      <c r="G438" s="169"/>
      <c r="H438" s="218" t="s">
        <v>620</v>
      </c>
      <c r="I438" s="219"/>
      <c r="J438" s="170">
        <f>J432+J433+J434+J435+J436+J437</f>
        <v>110095530</v>
      </c>
      <c r="K438" s="25">
        <f>K432+K433+K434+K435+K436+K437</f>
        <v>2659373</v>
      </c>
      <c r="L438" s="171"/>
      <c r="M438" s="169"/>
      <c r="N438" s="169"/>
      <c r="O438" s="169"/>
      <c r="P438" s="169"/>
      <c r="Q438" s="197"/>
    </row>
    <row r="439" spans="1:17" ht="18" hidden="1" customHeight="1" x14ac:dyDescent="0.25">
      <c r="D439" s="168" t="s">
        <v>618</v>
      </c>
      <c r="E439" s="24">
        <f>E419</f>
        <v>2456342162.0000005</v>
      </c>
      <c r="F439" s="160">
        <f>E413-E414-E415-E417</f>
        <v>2456342162.0000005</v>
      </c>
      <c r="G439" s="13">
        <f>F439-E439</f>
        <v>0</v>
      </c>
      <c r="H439" s="218" t="s">
        <v>611</v>
      </c>
      <c r="I439" s="219"/>
      <c r="J439" s="170">
        <f>E443</f>
        <v>185955108.99999952</v>
      </c>
      <c r="K439" s="25">
        <f>E443</f>
        <v>185955108.99999952</v>
      </c>
      <c r="L439" s="160"/>
      <c r="P439" s="13"/>
      <c r="Q439" s="197"/>
    </row>
    <row r="440" spans="1:17" ht="18" hidden="1" customHeight="1" x14ac:dyDescent="0.25">
      <c r="D440" s="168" t="s">
        <v>651</v>
      </c>
      <c r="E440" s="24">
        <f>E415</f>
        <v>4320175</v>
      </c>
      <c r="F440" s="160"/>
      <c r="H440" s="173"/>
      <c r="I440" s="170"/>
      <c r="J440" s="170"/>
      <c r="K440" s="174"/>
      <c r="L440" s="160"/>
      <c r="P440" s="13"/>
      <c r="Q440" s="197"/>
    </row>
    <row r="441" spans="1:17" ht="18" hidden="1" customHeight="1" x14ac:dyDescent="0.25">
      <c r="D441" s="168" t="s">
        <v>652</v>
      </c>
      <c r="E441" s="24">
        <f>E439+E440</f>
        <v>2460662337.0000005</v>
      </c>
      <c r="F441" s="160">
        <f>E441-E413</f>
        <v>-552925324.88999987</v>
      </c>
      <c r="H441" s="173"/>
      <c r="I441" s="170"/>
      <c r="J441" s="170"/>
      <c r="K441" s="174"/>
      <c r="L441" s="160"/>
      <c r="P441" s="13"/>
      <c r="Q441" s="197"/>
    </row>
    <row r="442" spans="1:17" ht="15" hidden="1" customHeight="1" x14ac:dyDescent="0.25">
      <c r="D442" s="168" t="s">
        <v>619</v>
      </c>
      <c r="E442" s="24"/>
      <c r="H442" s="218" t="s">
        <v>625</v>
      </c>
      <c r="I442" s="219"/>
      <c r="J442" s="22">
        <f>5600000+2054092+300000</f>
        <v>7954092</v>
      </c>
      <c r="K442" s="22">
        <f>5600000+2054092+300000</f>
        <v>7954092</v>
      </c>
      <c r="L442" s="160">
        <f>K442</f>
        <v>7954092</v>
      </c>
      <c r="P442" s="13"/>
      <c r="Q442" s="197"/>
    </row>
    <row r="443" spans="1:17" ht="15.75" hidden="1" customHeight="1" thickBot="1" x14ac:dyDescent="0.3">
      <c r="D443" s="175" t="s">
        <v>611</v>
      </c>
      <c r="E443" s="26">
        <f>E432-E439-E442</f>
        <v>185955108.99999952</v>
      </c>
      <c r="H443" s="207" t="s">
        <v>623</v>
      </c>
      <c r="I443" s="208"/>
      <c r="J443" s="22">
        <v>2322989</v>
      </c>
      <c r="K443" s="22">
        <v>2322989</v>
      </c>
      <c r="L443" s="160"/>
      <c r="P443" s="13"/>
      <c r="Q443" s="197"/>
    </row>
    <row r="444" spans="1:17" ht="15" hidden="1" customHeight="1" x14ac:dyDescent="0.25">
      <c r="H444" s="218" t="s">
        <v>626</v>
      </c>
      <c r="I444" s="219"/>
      <c r="J444" s="22">
        <v>92214546</v>
      </c>
      <c r="K444" s="24">
        <v>92214546</v>
      </c>
      <c r="L444" s="160">
        <f>J444-J417</f>
        <v>30345837</v>
      </c>
      <c r="P444" s="13"/>
      <c r="Q444" s="197"/>
    </row>
    <row r="445" spans="1:17" hidden="1" x14ac:dyDescent="0.25">
      <c r="H445" s="209" t="s">
        <v>621</v>
      </c>
      <c r="I445" s="210"/>
      <c r="J445" s="176">
        <f>J438+J439+J442+J443+J444</f>
        <v>398542265.99999952</v>
      </c>
      <c r="K445" s="177">
        <f>K438+K439+K442+K443+K444</f>
        <v>291106108.99999952</v>
      </c>
      <c r="L445" s="160">
        <f>J445-K445-J432-J433-J434-J435-J437-J443</f>
        <v>-2322989</v>
      </c>
      <c r="P445" s="13"/>
      <c r="Q445" s="197"/>
    </row>
    <row r="446" spans="1:17" hidden="1" x14ac:dyDescent="0.25">
      <c r="H446" s="207" t="s">
        <v>622</v>
      </c>
      <c r="I446" s="208"/>
      <c r="J446" s="22">
        <v>2322989</v>
      </c>
      <c r="K446" s="22">
        <v>2322989</v>
      </c>
      <c r="L446" s="178"/>
      <c r="P446" s="13"/>
      <c r="Q446" s="197"/>
    </row>
    <row r="447" spans="1:17" hidden="1" x14ac:dyDescent="0.25">
      <c r="H447" s="207" t="s">
        <v>624</v>
      </c>
      <c r="I447" s="208"/>
      <c r="J447" s="22">
        <v>3763568</v>
      </c>
      <c r="K447" s="24">
        <v>3763568</v>
      </c>
      <c r="L447" s="160"/>
      <c r="P447" s="13"/>
      <c r="Q447" s="197"/>
    </row>
    <row r="448" spans="1:17" hidden="1" x14ac:dyDescent="0.25">
      <c r="H448" s="218" t="s">
        <v>627</v>
      </c>
      <c r="I448" s="219"/>
      <c r="J448" s="22">
        <f>J413</f>
        <v>678883582.65999997</v>
      </c>
      <c r="K448" s="24">
        <f>K413</f>
        <v>502172614.64999998</v>
      </c>
      <c r="L448" s="160"/>
      <c r="P448" s="13"/>
      <c r="Q448" s="197"/>
    </row>
    <row r="449" spans="1:17" hidden="1" x14ac:dyDescent="0.25">
      <c r="H449" s="211" t="s">
        <v>647</v>
      </c>
      <c r="I449" s="212"/>
      <c r="J449" s="22">
        <v>37410</v>
      </c>
      <c r="K449" s="24"/>
      <c r="L449" s="160"/>
      <c r="P449" s="13"/>
      <c r="Q449" s="197"/>
    </row>
    <row r="450" spans="1:17" hidden="1" x14ac:dyDescent="0.25">
      <c r="H450" s="209" t="s">
        <v>648</v>
      </c>
      <c r="I450" s="210"/>
      <c r="J450" s="179">
        <f>J446+J447+J448+J449</f>
        <v>685007549.65999997</v>
      </c>
      <c r="K450" s="179">
        <f>K446+K447+K448+K449</f>
        <v>508259171.64999998</v>
      </c>
      <c r="L450" s="160"/>
      <c r="P450" s="13"/>
      <c r="Q450" s="197"/>
    </row>
    <row r="451" spans="1:17" ht="15.75" hidden="1" thickBot="1" x14ac:dyDescent="0.3">
      <c r="H451" s="225" t="s">
        <v>605</v>
      </c>
      <c r="I451" s="226"/>
      <c r="J451" s="180">
        <f>J445-J450</f>
        <v>-286465283.66000044</v>
      </c>
      <c r="K451" s="180">
        <f>K445-K450</f>
        <v>-217153062.65000045</v>
      </c>
      <c r="L451" s="160">
        <f>J451-K451</f>
        <v>-69312221.00999999</v>
      </c>
      <c r="P451" s="13"/>
      <c r="Q451" s="197"/>
    </row>
    <row r="452" spans="1:17" ht="32.25" customHeight="1" x14ac:dyDescent="0.25">
      <c r="J452" s="13">
        <f>J432+J433+J434+J435+J436+J437+J439+J442+J443+J444-J446-J447-J413-J451-J449</f>
        <v>0</v>
      </c>
      <c r="K452" s="13">
        <f>K436+K439+K442+K444+K443-K446-K447-K413-K451</f>
        <v>0</v>
      </c>
      <c r="P452" s="13"/>
      <c r="Q452" s="197"/>
    </row>
    <row r="453" spans="1:17" ht="24.75" customHeight="1" x14ac:dyDescent="0.25">
      <c r="P453" s="13"/>
      <c r="Q453" s="197"/>
    </row>
    <row r="454" spans="1:17" ht="19.5" customHeight="1" x14ac:dyDescent="0.25">
      <c r="K454" s="181"/>
      <c r="P454" s="13"/>
      <c r="Q454" s="197"/>
    </row>
    <row r="455" spans="1:17" ht="49.5" customHeight="1" x14ac:dyDescent="0.45">
      <c r="A455" s="195" t="s">
        <v>734</v>
      </c>
      <c r="B455" s="195"/>
      <c r="C455" s="195"/>
      <c r="D455" s="195"/>
      <c r="E455" s="195"/>
      <c r="F455" s="99"/>
      <c r="G455" s="100"/>
      <c r="H455" s="100"/>
      <c r="I455" s="100"/>
      <c r="J455" s="100"/>
      <c r="K455" s="100"/>
      <c r="L455" s="222"/>
      <c r="M455" s="222"/>
      <c r="N455" s="222"/>
      <c r="O455" s="221" t="s">
        <v>711</v>
      </c>
      <c r="P455" s="221"/>
      <c r="Q455" s="197"/>
    </row>
    <row r="456" spans="1:17" ht="16.5" customHeight="1" x14ac:dyDescent="0.45">
      <c r="A456" s="195"/>
      <c r="B456" s="195"/>
      <c r="C456" s="195"/>
      <c r="D456" s="195"/>
      <c r="E456" s="195"/>
      <c r="F456" s="100"/>
      <c r="G456" s="100"/>
      <c r="H456" s="100"/>
      <c r="I456" s="100"/>
      <c r="J456" s="100"/>
      <c r="K456" s="100"/>
      <c r="L456" s="100"/>
      <c r="M456" s="100"/>
      <c r="P456" s="13"/>
      <c r="Q456" s="197"/>
    </row>
    <row r="457" spans="1:17" ht="31.5" customHeight="1" x14ac:dyDescent="0.55000000000000004">
      <c r="A457" s="147"/>
      <c r="B457" s="148"/>
      <c r="C457" s="149"/>
      <c r="D457" s="150"/>
      <c r="E457" s="18"/>
      <c r="F457" s="105"/>
      <c r="G457" s="150"/>
      <c r="H457" s="150"/>
      <c r="I457" s="150"/>
      <c r="M457" s="150"/>
      <c r="N457" s="150"/>
      <c r="O457" s="101"/>
      <c r="P457" s="13"/>
      <c r="Q457" s="197"/>
    </row>
    <row r="458" spans="1:17" s="186" customFormat="1" ht="20.45" customHeight="1" x14ac:dyDescent="0.4">
      <c r="A458" s="182"/>
      <c r="B458" s="183"/>
      <c r="C458" s="183"/>
      <c r="D458" s="184" t="s">
        <v>396</v>
      </c>
      <c r="E458" s="27">
        <f>E413-'дод 7'!D285</f>
        <v>0</v>
      </c>
      <c r="F458" s="27">
        <f>F413-'дод 7'!E285</f>
        <v>0</v>
      </c>
      <c r="G458" s="27">
        <f>G413-'дод 7'!F285</f>
        <v>0</v>
      </c>
      <c r="H458" s="27">
        <f>H413-'дод 7'!G285</f>
        <v>0</v>
      </c>
      <c r="I458" s="27">
        <f>I413-'дод 7'!H285</f>
        <v>0</v>
      </c>
      <c r="J458" s="27">
        <f>J413-'дод 7'!I285</f>
        <v>0</v>
      </c>
      <c r="K458" s="27">
        <f>K413-'дод 7'!J285</f>
        <v>0</v>
      </c>
      <c r="L458" s="27">
        <f>L413-'дод 7'!K285</f>
        <v>0</v>
      </c>
      <c r="M458" s="27">
        <f>M413-'дод 7'!L285</f>
        <v>0</v>
      </c>
      <c r="N458" s="27">
        <f ca="1">N413-'дод 7'!M285</f>
        <v>0</v>
      </c>
      <c r="O458" s="27">
        <f>O413-'дод 7'!N285</f>
        <v>0</v>
      </c>
      <c r="P458" s="27">
        <f>P413-'дод 7'!O285</f>
        <v>0</v>
      </c>
      <c r="Q458" s="185"/>
    </row>
    <row r="459" spans="1:17" s="186" customFormat="1" ht="20.45" customHeight="1" x14ac:dyDescent="0.4">
      <c r="A459" s="182"/>
      <c r="B459" s="183"/>
      <c r="C459" s="183"/>
      <c r="D459" s="187" t="s">
        <v>719</v>
      </c>
      <c r="E459" s="27">
        <f>E414-'дод 7'!D286</f>
        <v>0</v>
      </c>
      <c r="F459" s="27">
        <f>F414-'дод 7'!E286</f>
        <v>0</v>
      </c>
      <c r="G459" s="27">
        <f>G414-'дод 7'!F286</f>
        <v>0</v>
      </c>
      <c r="H459" s="27">
        <f>H414-'дод 7'!G286</f>
        <v>0</v>
      </c>
      <c r="I459" s="27">
        <f>I414-'дод 7'!H286</f>
        <v>0</v>
      </c>
      <c r="J459" s="27">
        <f>J414-'дод 7'!I286</f>
        <v>0</v>
      </c>
      <c r="K459" s="27">
        <f>K414-'дод 7'!J286</f>
        <v>0</v>
      </c>
      <c r="L459" s="27">
        <f>L414-'дод 7'!K286</f>
        <v>0</v>
      </c>
      <c r="M459" s="27">
        <f>M414-'дод 7'!L286</f>
        <v>0</v>
      </c>
      <c r="N459" s="27">
        <f>N414-'дод 7'!M286</f>
        <v>0</v>
      </c>
      <c r="O459" s="27">
        <f>O414-'дод 7'!N286</f>
        <v>0</v>
      </c>
      <c r="P459" s="27">
        <f>P414-'дод 7'!O286</f>
        <v>0</v>
      </c>
      <c r="Q459" s="185"/>
    </row>
    <row r="460" spans="1:17" s="186" customFormat="1" ht="20.45" customHeight="1" x14ac:dyDescent="0.4">
      <c r="A460" s="182"/>
      <c r="B460" s="183"/>
      <c r="C460" s="183"/>
      <c r="D460" s="187" t="s">
        <v>720</v>
      </c>
      <c r="E460" s="27">
        <f>E415-'дод 7'!D287</f>
        <v>0</v>
      </c>
      <c r="F460" s="27">
        <f>F415-'дод 7'!E287</f>
        <v>0</v>
      </c>
      <c r="G460" s="27">
        <f>G415-'дод 7'!F287</f>
        <v>0</v>
      </c>
      <c r="H460" s="27">
        <f>H415-'дод 7'!G287</f>
        <v>0</v>
      </c>
      <c r="I460" s="27">
        <f>I415-'дод 7'!H287</f>
        <v>0</v>
      </c>
      <c r="J460" s="27">
        <f>J415-'дод 7'!I287</f>
        <v>0</v>
      </c>
      <c r="K460" s="27">
        <f>K415-'дод 7'!J287</f>
        <v>0</v>
      </c>
      <c r="L460" s="27">
        <f>L415-'дод 7'!K287</f>
        <v>0</v>
      </c>
      <c r="M460" s="27">
        <f>M415-'дод 7'!L287</f>
        <v>0</v>
      </c>
      <c r="N460" s="27">
        <f>N415-'дод 7'!M287</f>
        <v>0</v>
      </c>
      <c r="O460" s="27">
        <f>O415-'дод 7'!N287</f>
        <v>0</v>
      </c>
      <c r="P460" s="27">
        <f>P415-'дод 7'!O287</f>
        <v>0</v>
      </c>
      <c r="Q460" s="185"/>
    </row>
    <row r="461" spans="1:17" s="186" customFormat="1" ht="20.45" customHeight="1" x14ac:dyDescent="0.4">
      <c r="A461" s="182"/>
      <c r="B461" s="183"/>
      <c r="C461" s="183"/>
      <c r="D461" s="187" t="s">
        <v>721</v>
      </c>
      <c r="E461" s="27">
        <f>E416-'дод 7'!D289</f>
        <v>0</v>
      </c>
      <c r="F461" s="27">
        <f>F416-'дод 7'!E289</f>
        <v>0</v>
      </c>
      <c r="G461" s="27">
        <f>G416-'дод 7'!F289</f>
        <v>0</v>
      </c>
      <c r="H461" s="27">
        <f>H416-'дод 7'!G289</f>
        <v>0</v>
      </c>
      <c r="I461" s="27">
        <f>I416-'дод 7'!H289</f>
        <v>0</v>
      </c>
      <c r="J461" s="27">
        <f>J416-'дод 7'!I289</f>
        <v>0</v>
      </c>
      <c r="K461" s="27">
        <f>K416-'дод 7'!J289</f>
        <v>0</v>
      </c>
      <c r="L461" s="27">
        <f>L416-'дод 7'!K289</f>
        <v>0</v>
      </c>
      <c r="M461" s="27">
        <f>M416-'дод 7'!L289</f>
        <v>0</v>
      </c>
      <c r="N461" s="27">
        <f>N416-'дод 7'!M289</f>
        <v>0</v>
      </c>
      <c r="O461" s="27">
        <f>O416-'дод 7'!N289</f>
        <v>0</v>
      </c>
      <c r="P461" s="27">
        <f>P416-'дод 7'!O289</f>
        <v>0</v>
      </c>
      <c r="Q461" s="185"/>
    </row>
    <row r="462" spans="1:17" s="186" customFormat="1" ht="20.45" customHeight="1" x14ac:dyDescent="0.4">
      <c r="A462" s="182"/>
      <c r="B462" s="183"/>
      <c r="C462" s="183"/>
      <c r="D462" s="187" t="s">
        <v>407</v>
      </c>
      <c r="E462" s="27">
        <f>E417-'дод 7'!D290</f>
        <v>0</v>
      </c>
      <c r="F462" s="27">
        <f>F417-'дод 7'!E290</f>
        <v>0</v>
      </c>
      <c r="G462" s="27">
        <f>G417-'дод 7'!F290</f>
        <v>0</v>
      </c>
      <c r="H462" s="27">
        <f>H417-'дод 7'!G290</f>
        <v>0</v>
      </c>
      <c r="I462" s="27">
        <f>I417-'дод 7'!H290</f>
        <v>0</v>
      </c>
      <c r="J462" s="27">
        <f>J417-'дод 7'!I290</f>
        <v>0</v>
      </c>
      <c r="K462" s="27">
        <f>K417-'дод 7'!J290</f>
        <v>0</v>
      </c>
      <c r="L462" s="27">
        <f>L417-'дод 7'!K290</f>
        <v>0</v>
      </c>
      <c r="M462" s="27">
        <f>M417-'дод 7'!L290</f>
        <v>0</v>
      </c>
      <c r="N462" s="27">
        <f>N417-'дод 7'!M290</f>
        <v>0</v>
      </c>
      <c r="O462" s="27">
        <f>O417-'дод 7'!N290</f>
        <v>0</v>
      </c>
      <c r="P462" s="27">
        <f>P417-'дод 7'!O290</f>
        <v>0</v>
      </c>
      <c r="Q462" s="185"/>
    </row>
    <row r="463" spans="1:17" s="192" customFormat="1" ht="20.45" customHeight="1" x14ac:dyDescent="0.3">
      <c r="A463" s="188"/>
      <c r="B463" s="189"/>
      <c r="C463" s="189"/>
      <c r="D463" s="190"/>
      <c r="E463" s="29">
        <f>E413-[1]зміни!$C$16</f>
        <v>0</v>
      </c>
      <c r="F463" s="29"/>
      <c r="G463" s="29"/>
      <c r="H463" s="29"/>
      <c r="I463" s="29"/>
      <c r="J463" s="29">
        <f>J413-[1]зміни!$D$16</f>
        <v>0</v>
      </c>
      <c r="K463" s="29">
        <f>K413-[1]зміни!$E$16</f>
        <v>0</v>
      </c>
      <c r="L463" s="29"/>
      <c r="M463" s="29"/>
      <c r="N463" s="29"/>
      <c r="O463" s="29"/>
      <c r="P463" s="29">
        <f>P413-[1]зміни!$B$16</f>
        <v>0</v>
      </c>
      <c r="Q463" s="191"/>
    </row>
    <row r="464" spans="1:17" s="186" customFormat="1" ht="26.25" x14ac:dyDescent="0.4">
      <c r="A464" s="182"/>
      <c r="B464" s="183"/>
      <c r="C464" s="183"/>
      <c r="D464" s="193"/>
      <c r="E464" s="29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185"/>
    </row>
    <row r="465" spans="16:16" x14ac:dyDescent="0.25">
      <c r="P465" s="13"/>
    </row>
    <row r="466" spans="16:16" x14ac:dyDescent="0.25">
      <c r="P466" s="13"/>
    </row>
    <row r="467" spans="16:16" x14ac:dyDescent="0.25">
      <c r="P467" s="13"/>
    </row>
    <row r="468" spans="16:16" x14ac:dyDescent="0.25">
      <c r="P468" s="13"/>
    </row>
    <row r="469" spans="16:16" x14ac:dyDescent="0.25">
      <c r="P469" s="13"/>
    </row>
    <row r="470" spans="16:16" x14ac:dyDescent="0.25">
      <c r="P470" s="13"/>
    </row>
    <row r="471" spans="16:16" x14ac:dyDescent="0.25">
      <c r="P471" s="13"/>
    </row>
    <row r="472" spans="16:16" x14ac:dyDescent="0.25">
      <c r="P472" s="13"/>
    </row>
    <row r="473" spans="16:16" x14ac:dyDescent="0.25">
      <c r="P473" s="13"/>
    </row>
    <row r="474" spans="16:16" x14ac:dyDescent="0.25">
      <c r="P474" s="13"/>
    </row>
    <row r="475" spans="16:16" x14ac:dyDescent="0.25">
      <c r="P475" s="13"/>
    </row>
    <row r="476" spans="16:16" x14ac:dyDescent="0.25">
      <c r="P476" s="13"/>
    </row>
    <row r="477" spans="16:16" x14ac:dyDescent="0.25">
      <c r="P477" s="13"/>
    </row>
    <row r="478" spans="16:16" x14ac:dyDescent="0.25">
      <c r="P478" s="13"/>
    </row>
    <row r="479" spans="16:16" x14ac:dyDescent="0.25">
      <c r="P479" s="13"/>
    </row>
    <row r="480" spans="16:16" x14ac:dyDescent="0.25">
      <c r="P480" s="13"/>
    </row>
    <row r="481" spans="16:16" x14ac:dyDescent="0.25">
      <c r="P481" s="13"/>
    </row>
    <row r="482" spans="16:16" x14ac:dyDescent="0.25">
      <c r="P482" s="13"/>
    </row>
    <row r="483" spans="16:16" x14ac:dyDescent="0.25">
      <c r="P483" s="13"/>
    </row>
    <row r="484" spans="16:16" x14ac:dyDescent="0.25">
      <c r="P484" s="13"/>
    </row>
    <row r="485" spans="16:16" x14ac:dyDescent="0.25">
      <c r="P485" s="13"/>
    </row>
    <row r="486" spans="16:16" x14ac:dyDescent="0.25">
      <c r="P486" s="13"/>
    </row>
    <row r="487" spans="16:16" x14ac:dyDescent="0.25">
      <c r="P487" s="13"/>
    </row>
    <row r="488" spans="16:16" x14ac:dyDescent="0.25">
      <c r="P488" s="13"/>
    </row>
    <row r="489" spans="16:16" x14ac:dyDescent="0.25">
      <c r="P489" s="13"/>
    </row>
    <row r="490" spans="16:16" x14ac:dyDescent="0.25">
      <c r="P490" s="13"/>
    </row>
    <row r="491" spans="16:16" x14ac:dyDescent="0.25">
      <c r="P491" s="13"/>
    </row>
    <row r="492" spans="16:16" x14ac:dyDescent="0.25">
      <c r="P492" s="13"/>
    </row>
    <row r="493" spans="16:16" x14ac:dyDescent="0.25">
      <c r="P493" s="13"/>
    </row>
    <row r="494" spans="16:16" x14ac:dyDescent="0.25">
      <c r="P494" s="13"/>
    </row>
    <row r="495" spans="16:16" x14ac:dyDescent="0.25">
      <c r="P495" s="13"/>
    </row>
    <row r="496" spans="16:16" x14ac:dyDescent="0.25">
      <c r="P496" s="13"/>
    </row>
    <row r="497" spans="16:16" x14ac:dyDescent="0.25">
      <c r="P497" s="13"/>
    </row>
    <row r="498" spans="16:16" x14ac:dyDescent="0.25">
      <c r="P498" s="13"/>
    </row>
    <row r="499" spans="16:16" x14ac:dyDescent="0.25">
      <c r="P499" s="13"/>
    </row>
    <row r="500" spans="16:16" x14ac:dyDescent="0.25">
      <c r="P500" s="13"/>
    </row>
    <row r="501" spans="16:16" x14ac:dyDescent="0.25">
      <c r="P501" s="13"/>
    </row>
    <row r="502" spans="16:16" x14ac:dyDescent="0.25">
      <c r="P502" s="13"/>
    </row>
    <row r="503" spans="16:16" x14ac:dyDescent="0.25">
      <c r="P503" s="13"/>
    </row>
    <row r="504" spans="16:16" x14ac:dyDescent="0.25">
      <c r="P504" s="13"/>
    </row>
    <row r="505" spans="16:16" x14ac:dyDescent="0.25">
      <c r="P505" s="13"/>
    </row>
    <row r="506" spans="16:16" x14ac:dyDescent="0.25">
      <c r="P506" s="13"/>
    </row>
    <row r="507" spans="16:16" x14ac:dyDescent="0.25">
      <c r="P507" s="13"/>
    </row>
    <row r="508" spans="16:16" x14ac:dyDescent="0.25">
      <c r="P508" s="13"/>
    </row>
    <row r="509" spans="16:16" x14ac:dyDescent="0.25">
      <c r="P509" s="13"/>
    </row>
    <row r="510" spans="16:16" x14ac:dyDescent="0.25">
      <c r="P510" s="13"/>
    </row>
    <row r="511" spans="16:16" x14ac:dyDescent="0.25">
      <c r="P511" s="13"/>
    </row>
    <row r="512" spans="16:16" x14ac:dyDescent="0.25">
      <c r="P512" s="13"/>
    </row>
    <row r="513" spans="16:16" x14ac:dyDescent="0.25">
      <c r="P513" s="13"/>
    </row>
    <row r="514" spans="16:16" x14ac:dyDescent="0.25">
      <c r="P514" s="13"/>
    </row>
    <row r="515" spans="16:16" x14ac:dyDescent="0.25">
      <c r="P515" s="13"/>
    </row>
    <row r="516" spans="16:16" x14ac:dyDescent="0.25">
      <c r="P516" s="13"/>
    </row>
    <row r="517" spans="16:16" x14ac:dyDescent="0.25">
      <c r="P517" s="13"/>
    </row>
    <row r="518" spans="16:16" x14ac:dyDescent="0.25">
      <c r="P518" s="13"/>
    </row>
    <row r="519" spans="16:16" x14ac:dyDescent="0.25">
      <c r="P519" s="13"/>
    </row>
    <row r="520" spans="16:16" x14ac:dyDescent="0.25">
      <c r="P520" s="13"/>
    </row>
    <row r="521" spans="16:16" x14ac:dyDescent="0.25">
      <c r="P521" s="13"/>
    </row>
    <row r="522" spans="16:16" x14ac:dyDescent="0.25">
      <c r="P522" s="13"/>
    </row>
    <row r="523" spans="16:16" x14ac:dyDescent="0.25">
      <c r="P523" s="13"/>
    </row>
    <row r="524" spans="16:16" x14ac:dyDescent="0.25">
      <c r="P524" s="13"/>
    </row>
    <row r="525" spans="16:16" x14ac:dyDescent="0.25">
      <c r="P525" s="13"/>
    </row>
    <row r="526" spans="16:16" x14ac:dyDescent="0.25">
      <c r="P526" s="13"/>
    </row>
    <row r="527" spans="16:16" x14ac:dyDescent="0.25">
      <c r="P527" s="13"/>
    </row>
    <row r="528" spans="16:16" x14ac:dyDescent="0.25">
      <c r="P528" s="13"/>
    </row>
    <row r="529" spans="16:16" x14ac:dyDescent="0.25">
      <c r="P529" s="13"/>
    </row>
    <row r="530" spans="16:16" x14ac:dyDescent="0.25">
      <c r="P530" s="13"/>
    </row>
    <row r="531" spans="16:16" x14ac:dyDescent="0.25">
      <c r="P531" s="13"/>
    </row>
    <row r="532" spans="16:16" x14ac:dyDescent="0.25">
      <c r="P532" s="13"/>
    </row>
    <row r="533" spans="16:16" x14ac:dyDescent="0.25">
      <c r="P533" s="13"/>
    </row>
    <row r="534" spans="16:16" x14ac:dyDescent="0.25">
      <c r="P534" s="13"/>
    </row>
    <row r="535" spans="16:16" x14ac:dyDescent="0.25">
      <c r="P535" s="13"/>
    </row>
    <row r="536" spans="16:16" x14ac:dyDescent="0.25">
      <c r="P536" s="13"/>
    </row>
    <row r="537" spans="16:16" x14ac:dyDescent="0.25">
      <c r="P537" s="13"/>
    </row>
    <row r="538" spans="16:16" x14ac:dyDescent="0.25">
      <c r="P538" s="13"/>
    </row>
    <row r="539" spans="16:16" x14ac:dyDescent="0.25">
      <c r="P539" s="13"/>
    </row>
    <row r="540" spans="16:16" x14ac:dyDescent="0.25">
      <c r="P540" s="13"/>
    </row>
    <row r="541" spans="16:16" x14ac:dyDescent="0.25">
      <c r="P541" s="13"/>
    </row>
    <row r="542" spans="16:16" x14ac:dyDescent="0.25">
      <c r="P542" s="13"/>
    </row>
    <row r="543" spans="16:16" x14ac:dyDescent="0.25">
      <c r="P543" s="13"/>
    </row>
    <row r="544" spans="16:16" x14ac:dyDescent="0.25">
      <c r="P544" s="13"/>
    </row>
    <row r="545" spans="16:16" x14ac:dyDescent="0.25">
      <c r="P545" s="13"/>
    </row>
    <row r="546" spans="16:16" x14ac:dyDescent="0.25">
      <c r="P546" s="13"/>
    </row>
    <row r="547" spans="16:16" x14ac:dyDescent="0.25">
      <c r="P547" s="13"/>
    </row>
    <row r="548" spans="16:16" x14ac:dyDescent="0.25">
      <c r="P548" s="13"/>
    </row>
    <row r="549" spans="16:16" x14ac:dyDescent="0.25">
      <c r="P549" s="13"/>
    </row>
    <row r="550" spans="16:16" x14ac:dyDescent="0.25">
      <c r="P550" s="13"/>
    </row>
    <row r="551" spans="16:16" x14ac:dyDescent="0.25">
      <c r="P551" s="13"/>
    </row>
    <row r="552" spans="16:16" x14ac:dyDescent="0.25">
      <c r="P552" s="13"/>
    </row>
    <row r="553" spans="16:16" x14ac:dyDescent="0.25">
      <c r="P553" s="13"/>
    </row>
    <row r="554" spans="16:16" x14ac:dyDescent="0.25">
      <c r="P554" s="13"/>
    </row>
    <row r="555" spans="16:16" x14ac:dyDescent="0.25">
      <c r="P555" s="13"/>
    </row>
    <row r="556" spans="16:16" x14ac:dyDescent="0.25">
      <c r="P556" s="13"/>
    </row>
    <row r="557" spans="16:16" x14ac:dyDescent="0.25">
      <c r="P557" s="13"/>
    </row>
    <row r="558" spans="16:16" x14ac:dyDescent="0.25">
      <c r="P558" s="13"/>
    </row>
    <row r="559" spans="16:16" x14ac:dyDescent="0.25">
      <c r="P559" s="13"/>
    </row>
    <row r="560" spans="16:16" x14ac:dyDescent="0.25">
      <c r="P560" s="13"/>
    </row>
    <row r="561" spans="16:16" x14ac:dyDescent="0.25">
      <c r="P561" s="13"/>
    </row>
    <row r="562" spans="16:16" x14ac:dyDescent="0.25">
      <c r="P562" s="13"/>
    </row>
    <row r="563" spans="16:16" x14ac:dyDescent="0.25">
      <c r="P563" s="13"/>
    </row>
    <row r="564" spans="16:16" x14ac:dyDescent="0.25">
      <c r="P564" s="13"/>
    </row>
    <row r="565" spans="16:16" x14ac:dyDescent="0.25">
      <c r="P565" s="13"/>
    </row>
    <row r="566" spans="16:16" x14ac:dyDescent="0.25">
      <c r="P566" s="13"/>
    </row>
    <row r="567" spans="16:16" x14ac:dyDescent="0.25">
      <c r="P567" s="13"/>
    </row>
    <row r="568" spans="16:16" x14ac:dyDescent="0.25">
      <c r="P568" s="13"/>
    </row>
    <row r="569" spans="16:16" x14ac:dyDescent="0.25">
      <c r="P569" s="13"/>
    </row>
    <row r="570" spans="16:16" x14ac:dyDescent="0.25">
      <c r="P570" s="13"/>
    </row>
    <row r="571" spans="16:16" x14ac:dyDescent="0.25">
      <c r="P571" s="13"/>
    </row>
    <row r="572" spans="16:16" x14ac:dyDescent="0.25">
      <c r="P572" s="13"/>
    </row>
    <row r="573" spans="16:16" x14ac:dyDescent="0.25">
      <c r="P573" s="13"/>
    </row>
    <row r="574" spans="16:16" x14ac:dyDescent="0.25">
      <c r="P574" s="13"/>
    </row>
    <row r="575" spans="16:16" x14ac:dyDescent="0.25">
      <c r="P575" s="13"/>
    </row>
    <row r="576" spans="16:16" x14ac:dyDescent="0.25">
      <c r="P576" s="13"/>
    </row>
    <row r="577" spans="16:16" x14ac:dyDescent="0.25">
      <c r="P577" s="13"/>
    </row>
    <row r="578" spans="16:16" x14ac:dyDescent="0.25">
      <c r="P578" s="13"/>
    </row>
    <row r="579" spans="16:16" x14ac:dyDescent="0.25">
      <c r="P579" s="13"/>
    </row>
    <row r="580" spans="16:16" x14ac:dyDescent="0.25">
      <c r="P580" s="13"/>
    </row>
    <row r="581" spans="16:16" x14ac:dyDescent="0.25">
      <c r="P581" s="13"/>
    </row>
    <row r="582" spans="16:16" x14ac:dyDescent="0.25">
      <c r="P582" s="13"/>
    </row>
    <row r="583" spans="16:16" x14ac:dyDescent="0.25">
      <c r="P583" s="13"/>
    </row>
    <row r="584" spans="16:16" x14ac:dyDescent="0.25">
      <c r="P584" s="13"/>
    </row>
    <row r="585" spans="16:16" x14ac:dyDescent="0.25">
      <c r="P585" s="13"/>
    </row>
    <row r="586" spans="16:16" x14ac:dyDescent="0.25">
      <c r="P586" s="13"/>
    </row>
    <row r="587" spans="16:16" x14ac:dyDescent="0.25">
      <c r="P587" s="13"/>
    </row>
    <row r="588" spans="16:16" x14ac:dyDescent="0.25">
      <c r="P588" s="13"/>
    </row>
    <row r="589" spans="16:16" x14ac:dyDescent="0.25">
      <c r="P589" s="13"/>
    </row>
    <row r="590" spans="16:16" x14ac:dyDescent="0.25">
      <c r="P590" s="13"/>
    </row>
    <row r="591" spans="16:16" x14ac:dyDescent="0.25">
      <c r="P591" s="13"/>
    </row>
    <row r="592" spans="16:16" x14ac:dyDescent="0.25">
      <c r="P592" s="13"/>
    </row>
    <row r="593" spans="16:16" x14ac:dyDescent="0.25">
      <c r="P593" s="13"/>
    </row>
    <row r="594" spans="16:16" x14ac:dyDescent="0.25">
      <c r="P594" s="13"/>
    </row>
    <row r="595" spans="16:16" x14ac:dyDescent="0.25">
      <c r="P595" s="13"/>
    </row>
    <row r="596" spans="16:16" x14ac:dyDescent="0.25">
      <c r="P596" s="13"/>
    </row>
    <row r="597" spans="16:16" x14ac:dyDescent="0.25">
      <c r="P597" s="13"/>
    </row>
    <row r="598" spans="16:16" x14ac:dyDescent="0.25">
      <c r="P598" s="13"/>
    </row>
    <row r="599" spans="16:16" x14ac:dyDescent="0.25">
      <c r="P599" s="13"/>
    </row>
    <row r="600" spans="16:16" x14ac:dyDescent="0.25">
      <c r="P600" s="13"/>
    </row>
    <row r="601" spans="16:16" x14ac:dyDescent="0.25">
      <c r="P601" s="13"/>
    </row>
    <row r="602" spans="16:16" x14ac:dyDescent="0.25">
      <c r="P602" s="13"/>
    </row>
    <row r="603" spans="16:16" x14ac:dyDescent="0.25">
      <c r="P603" s="13"/>
    </row>
    <row r="604" spans="16:16" x14ac:dyDescent="0.25">
      <c r="P604" s="13"/>
    </row>
    <row r="605" spans="16:16" x14ac:dyDescent="0.25">
      <c r="P605" s="13"/>
    </row>
    <row r="606" spans="16:16" x14ac:dyDescent="0.25">
      <c r="P606" s="13"/>
    </row>
    <row r="607" spans="16:16" x14ac:dyDescent="0.25">
      <c r="P607" s="13"/>
    </row>
    <row r="608" spans="16:16" x14ac:dyDescent="0.25">
      <c r="P608" s="13"/>
    </row>
    <row r="609" spans="16:16" x14ac:dyDescent="0.25">
      <c r="P609" s="13"/>
    </row>
    <row r="610" spans="16:16" x14ac:dyDescent="0.25">
      <c r="P610" s="13"/>
    </row>
    <row r="611" spans="16:16" x14ac:dyDescent="0.25">
      <c r="P611" s="13"/>
    </row>
    <row r="612" spans="16:16" x14ac:dyDescent="0.25">
      <c r="P612" s="13"/>
    </row>
    <row r="613" spans="16:16" x14ac:dyDescent="0.25">
      <c r="P613" s="13"/>
    </row>
    <row r="614" spans="16:16" x14ac:dyDescent="0.25">
      <c r="P614" s="13"/>
    </row>
    <row r="615" spans="16:16" x14ac:dyDescent="0.25">
      <c r="P615" s="13"/>
    </row>
    <row r="616" spans="16:16" x14ac:dyDescent="0.25">
      <c r="P616" s="13"/>
    </row>
    <row r="617" spans="16:16" x14ac:dyDescent="0.25">
      <c r="P617" s="13"/>
    </row>
    <row r="618" spans="16:16" x14ac:dyDescent="0.25">
      <c r="P618" s="13"/>
    </row>
    <row r="619" spans="16:16" x14ac:dyDescent="0.25">
      <c r="P619" s="13"/>
    </row>
    <row r="620" spans="16:16" x14ac:dyDescent="0.25">
      <c r="P620" s="13"/>
    </row>
    <row r="621" spans="16:16" x14ac:dyDescent="0.25">
      <c r="P621" s="13"/>
    </row>
    <row r="622" spans="16:16" x14ac:dyDescent="0.25">
      <c r="P622" s="13"/>
    </row>
    <row r="623" spans="16:16" x14ac:dyDescent="0.25">
      <c r="P623" s="13"/>
    </row>
    <row r="624" spans="16:16" x14ac:dyDescent="0.25">
      <c r="P624" s="13"/>
    </row>
    <row r="625" spans="16:16" x14ac:dyDescent="0.25">
      <c r="P625" s="13"/>
    </row>
    <row r="626" spans="16:16" x14ac:dyDescent="0.25">
      <c r="P626" s="13"/>
    </row>
    <row r="627" spans="16:16" x14ac:dyDescent="0.25">
      <c r="P627" s="13"/>
    </row>
    <row r="628" spans="16:16" x14ac:dyDescent="0.25">
      <c r="P628" s="13"/>
    </row>
    <row r="629" spans="16:16" x14ac:dyDescent="0.25">
      <c r="P629" s="13"/>
    </row>
    <row r="630" spans="16:16" x14ac:dyDescent="0.25">
      <c r="P630" s="13"/>
    </row>
    <row r="631" spans="16:16" x14ac:dyDescent="0.25">
      <c r="P631" s="13"/>
    </row>
    <row r="632" spans="16:16" x14ac:dyDescent="0.25">
      <c r="P632" s="13"/>
    </row>
    <row r="633" spans="16:16" x14ac:dyDescent="0.25">
      <c r="P633" s="13"/>
    </row>
    <row r="634" spans="16:16" x14ac:dyDescent="0.25">
      <c r="P634" s="13"/>
    </row>
    <row r="635" spans="16:16" x14ac:dyDescent="0.25">
      <c r="P635" s="13"/>
    </row>
    <row r="636" spans="16:16" x14ac:dyDescent="0.25">
      <c r="P636" s="13"/>
    </row>
    <row r="637" spans="16:16" x14ac:dyDescent="0.25">
      <c r="P637" s="13"/>
    </row>
    <row r="638" spans="16:16" x14ac:dyDescent="0.25">
      <c r="P638" s="13"/>
    </row>
    <row r="639" spans="16:16" x14ac:dyDescent="0.25">
      <c r="P639" s="13"/>
    </row>
    <row r="640" spans="16:16" x14ac:dyDescent="0.25">
      <c r="P640" s="13"/>
    </row>
    <row r="641" spans="16:16" x14ac:dyDescent="0.25">
      <c r="P641" s="13"/>
    </row>
    <row r="642" spans="16:16" x14ac:dyDescent="0.25">
      <c r="P642" s="13"/>
    </row>
    <row r="643" spans="16:16" x14ac:dyDescent="0.25">
      <c r="P643" s="13"/>
    </row>
    <row r="644" spans="16:16" x14ac:dyDescent="0.25">
      <c r="P644" s="13"/>
    </row>
    <row r="645" spans="16:16" x14ac:dyDescent="0.25">
      <c r="P645" s="13"/>
    </row>
    <row r="646" spans="16:16" x14ac:dyDescent="0.25">
      <c r="P646" s="13"/>
    </row>
    <row r="647" spans="16:16" x14ac:dyDescent="0.25">
      <c r="P647" s="13"/>
    </row>
    <row r="648" spans="16:16" x14ac:dyDescent="0.25">
      <c r="P648" s="13"/>
    </row>
    <row r="649" spans="16:16" x14ac:dyDescent="0.25">
      <c r="P649" s="13"/>
    </row>
    <row r="650" spans="16:16" x14ac:dyDescent="0.25">
      <c r="P650" s="13"/>
    </row>
    <row r="651" spans="16:16" x14ac:dyDescent="0.25">
      <c r="P651" s="13"/>
    </row>
    <row r="652" spans="16:16" x14ac:dyDescent="0.25">
      <c r="P652" s="13"/>
    </row>
    <row r="653" spans="16:16" x14ac:dyDescent="0.25">
      <c r="P653" s="13"/>
    </row>
    <row r="654" spans="16:16" x14ac:dyDescent="0.25">
      <c r="P654" s="13"/>
    </row>
    <row r="655" spans="16:16" x14ac:dyDescent="0.25">
      <c r="P655" s="13"/>
    </row>
    <row r="656" spans="16:16" x14ac:dyDescent="0.25">
      <c r="P656" s="13"/>
    </row>
    <row r="657" spans="16:16" x14ac:dyDescent="0.25">
      <c r="P657" s="13"/>
    </row>
    <row r="658" spans="16:16" x14ac:dyDescent="0.25">
      <c r="P658" s="13"/>
    </row>
    <row r="659" spans="16:16" x14ac:dyDescent="0.25">
      <c r="P659" s="13"/>
    </row>
    <row r="660" spans="16:16" x14ac:dyDescent="0.25">
      <c r="P660" s="13"/>
    </row>
    <row r="661" spans="16:16" x14ac:dyDescent="0.25">
      <c r="P661" s="13"/>
    </row>
    <row r="662" spans="16:16" x14ac:dyDescent="0.25">
      <c r="P662" s="13"/>
    </row>
    <row r="663" spans="16:16" x14ac:dyDescent="0.25">
      <c r="P663" s="13"/>
    </row>
    <row r="664" spans="16:16" x14ac:dyDescent="0.25">
      <c r="P664" s="13"/>
    </row>
    <row r="665" spans="16:16" x14ac:dyDescent="0.25">
      <c r="P665" s="13"/>
    </row>
    <row r="666" spans="16:16" x14ac:dyDescent="0.25">
      <c r="P666" s="13"/>
    </row>
    <row r="667" spans="16:16" x14ac:dyDescent="0.25">
      <c r="P667" s="13"/>
    </row>
    <row r="668" spans="16:16" x14ac:dyDescent="0.25">
      <c r="P668" s="13"/>
    </row>
    <row r="669" spans="16:16" x14ac:dyDescent="0.25">
      <c r="P669" s="13"/>
    </row>
    <row r="670" spans="16:16" x14ac:dyDescent="0.25">
      <c r="P670" s="13"/>
    </row>
    <row r="671" spans="16:16" x14ac:dyDescent="0.25">
      <c r="P671" s="13"/>
    </row>
    <row r="672" spans="16:16" x14ac:dyDescent="0.25">
      <c r="P672" s="13"/>
    </row>
    <row r="673" spans="16:16" x14ac:dyDescent="0.25">
      <c r="P673" s="13"/>
    </row>
    <row r="674" spans="16:16" x14ac:dyDescent="0.25">
      <c r="P674" s="13"/>
    </row>
    <row r="675" spans="16:16" x14ac:dyDescent="0.25">
      <c r="P675" s="13"/>
    </row>
    <row r="676" spans="16:16" x14ac:dyDescent="0.25">
      <c r="P676" s="13"/>
    </row>
    <row r="677" spans="16:16" x14ac:dyDescent="0.25">
      <c r="P677" s="13"/>
    </row>
    <row r="678" spans="16:16" x14ac:dyDescent="0.25">
      <c r="P678" s="13"/>
    </row>
    <row r="679" spans="16:16" x14ac:dyDescent="0.25">
      <c r="P679" s="13"/>
    </row>
    <row r="680" spans="16:16" x14ac:dyDescent="0.25">
      <c r="P680" s="13"/>
    </row>
    <row r="681" spans="16:16" x14ac:dyDescent="0.25">
      <c r="P681" s="13"/>
    </row>
    <row r="682" spans="16:16" x14ac:dyDescent="0.25">
      <c r="P682" s="13"/>
    </row>
    <row r="683" spans="16:16" x14ac:dyDescent="0.25">
      <c r="P683" s="13"/>
    </row>
    <row r="684" spans="16:16" x14ac:dyDescent="0.25">
      <c r="P684" s="13"/>
    </row>
    <row r="685" spans="16:16" x14ac:dyDescent="0.25">
      <c r="P685" s="13"/>
    </row>
    <row r="686" spans="16:16" x14ac:dyDescent="0.25">
      <c r="P686" s="13"/>
    </row>
    <row r="687" spans="16:16" x14ac:dyDescent="0.25">
      <c r="P687" s="13"/>
    </row>
    <row r="688" spans="16:16" x14ac:dyDescent="0.25">
      <c r="P688" s="13"/>
    </row>
    <row r="689" spans="16:16" x14ac:dyDescent="0.25">
      <c r="P689" s="13"/>
    </row>
    <row r="690" spans="16:16" x14ac:dyDescent="0.25">
      <c r="P690" s="13"/>
    </row>
    <row r="691" spans="16:16" x14ac:dyDescent="0.25">
      <c r="P691" s="13"/>
    </row>
    <row r="692" spans="16:16" x14ac:dyDescent="0.25">
      <c r="P692" s="13"/>
    </row>
    <row r="693" spans="16:16" x14ac:dyDescent="0.25">
      <c r="P693" s="13"/>
    </row>
    <row r="694" spans="16:16" x14ac:dyDescent="0.25">
      <c r="P694" s="13"/>
    </row>
    <row r="695" spans="16:16" x14ac:dyDescent="0.25">
      <c r="P695" s="13"/>
    </row>
    <row r="696" spans="16:16" x14ac:dyDescent="0.25">
      <c r="P696" s="13"/>
    </row>
    <row r="697" spans="16:16" x14ac:dyDescent="0.25">
      <c r="P697" s="13"/>
    </row>
    <row r="698" spans="16:16" x14ac:dyDescent="0.25">
      <c r="P698" s="13"/>
    </row>
    <row r="699" spans="16:16" x14ac:dyDescent="0.25">
      <c r="P699" s="13"/>
    </row>
    <row r="700" spans="16:16" x14ac:dyDescent="0.25">
      <c r="P700" s="13"/>
    </row>
    <row r="701" spans="16:16" x14ac:dyDescent="0.25">
      <c r="P701" s="13"/>
    </row>
    <row r="702" spans="16:16" x14ac:dyDescent="0.25">
      <c r="P702" s="13"/>
    </row>
    <row r="703" spans="16:16" x14ac:dyDescent="0.25">
      <c r="P703" s="13"/>
    </row>
    <row r="704" spans="16:16" x14ac:dyDescent="0.25">
      <c r="P704" s="13"/>
    </row>
    <row r="705" spans="16:16" x14ac:dyDescent="0.25">
      <c r="P705" s="13"/>
    </row>
    <row r="706" spans="16:16" x14ac:dyDescent="0.25">
      <c r="P706" s="13"/>
    </row>
    <row r="707" spans="16:16" x14ac:dyDescent="0.25">
      <c r="P707" s="13"/>
    </row>
    <row r="708" spans="16:16" x14ac:dyDescent="0.25">
      <c r="P708" s="13"/>
    </row>
    <row r="709" spans="16:16" x14ac:dyDescent="0.25">
      <c r="P709" s="13"/>
    </row>
    <row r="710" spans="16:16" x14ac:dyDescent="0.25">
      <c r="P710" s="13"/>
    </row>
    <row r="711" spans="16:16" x14ac:dyDescent="0.25">
      <c r="P711" s="13"/>
    </row>
    <row r="712" spans="16:16" x14ac:dyDescent="0.25">
      <c r="P712" s="13"/>
    </row>
    <row r="713" spans="16:16" x14ac:dyDescent="0.25">
      <c r="P713" s="13"/>
    </row>
    <row r="714" spans="16:16" x14ac:dyDescent="0.25">
      <c r="P714" s="13"/>
    </row>
    <row r="715" spans="16:16" x14ac:dyDescent="0.25">
      <c r="P715" s="13"/>
    </row>
    <row r="716" spans="16:16" x14ac:dyDescent="0.25">
      <c r="P716" s="13"/>
    </row>
    <row r="717" spans="16:16" x14ac:dyDescent="0.25">
      <c r="P717" s="13"/>
    </row>
    <row r="718" spans="16:16" x14ac:dyDescent="0.25">
      <c r="P718" s="13"/>
    </row>
    <row r="719" spans="16:16" x14ac:dyDescent="0.25">
      <c r="P719" s="13"/>
    </row>
    <row r="720" spans="16:16" x14ac:dyDescent="0.25">
      <c r="P720" s="13"/>
    </row>
    <row r="721" spans="16:16" x14ac:dyDescent="0.25">
      <c r="P721" s="13"/>
    </row>
    <row r="722" spans="16:16" x14ac:dyDescent="0.25">
      <c r="P722" s="13"/>
    </row>
    <row r="723" spans="16:16" x14ac:dyDescent="0.25">
      <c r="P723" s="13"/>
    </row>
    <row r="724" spans="16:16" x14ac:dyDescent="0.25">
      <c r="P724" s="13"/>
    </row>
    <row r="725" spans="16:16" x14ac:dyDescent="0.25">
      <c r="P725" s="13"/>
    </row>
    <row r="726" spans="16:16" x14ac:dyDescent="0.25">
      <c r="P726" s="13"/>
    </row>
    <row r="727" spans="16:16" x14ac:dyDescent="0.25">
      <c r="P727" s="13"/>
    </row>
    <row r="728" spans="16:16" x14ac:dyDescent="0.25">
      <c r="P728" s="13"/>
    </row>
    <row r="729" spans="16:16" x14ac:dyDescent="0.25">
      <c r="P729" s="13"/>
    </row>
    <row r="730" spans="16:16" x14ac:dyDescent="0.25">
      <c r="P730" s="13"/>
    </row>
    <row r="731" spans="16:16" x14ac:dyDescent="0.25">
      <c r="P731" s="13"/>
    </row>
    <row r="732" spans="16:16" x14ac:dyDescent="0.25">
      <c r="P732" s="13"/>
    </row>
    <row r="733" spans="16:16" x14ac:dyDescent="0.25">
      <c r="P733" s="13"/>
    </row>
    <row r="734" spans="16:16" x14ac:dyDescent="0.25">
      <c r="P734" s="13"/>
    </row>
    <row r="735" spans="16:16" x14ac:dyDescent="0.25">
      <c r="P735" s="13"/>
    </row>
    <row r="736" spans="16:16" x14ac:dyDescent="0.25">
      <c r="P736" s="13"/>
    </row>
    <row r="737" spans="16:16" x14ac:dyDescent="0.25">
      <c r="P737" s="13"/>
    </row>
    <row r="738" spans="16:16" x14ac:dyDescent="0.25">
      <c r="P738" s="13"/>
    </row>
    <row r="739" spans="16:16" x14ac:dyDescent="0.25">
      <c r="P739" s="13"/>
    </row>
    <row r="740" spans="16:16" x14ac:dyDescent="0.25">
      <c r="P740" s="13"/>
    </row>
    <row r="741" spans="16:16" x14ac:dyDescent="0.25">
      <c r="P741" s="13"/>
    </row>
    <row r="742" spans="16:16" x14ac:dyDescent="0.25">
      <c r="P742" s="13"/>
    </row>
    <row r="743" spans="16:16" x14ac:dyDescent="0.25">
      <c r="P743" s="13"/>
    </row>
    <row r="744" spans="16:16" x14ac:dyDescent="0.25">
      <c r="P744" s="13"/>
    </row>
    <row r="745" spans="16:16" x14ac:dyDescent="0.25">
      <c r="P745" s="13"/>
    </row>
    <row r="746" spans="16:16" x14ac:dyDescent="0.25">
      <c r="P746" s="13"/>
    </row>
    <row r="747" spans="16:16" x14ac:dyDescent="0.25">
      <c r="P747" s="13"/>
    </row>
    <row r="748" spans="16:16" x14ac:dyDescent="0.25">
      <c r="P748" s="13"/>
    </row>
    <row r="749" spans="16:16" x14ac:dyDescent="0.25">
      <c r="P749" s="13"/>
    </row>
    <row r="750" spans="16:16" x14ac:dyDescent="0.25">
      <c r="P750" s="13"/>
    </row>
    <row r="751" spans="16:16" x14ac:dyDescent="0.25">
      <c r="P751" s="13"/>
    </row>
    <row r="752" spans="16:16" x14ac:dyDescent="0.25">
      <c r="P752" s="13"/>
    </row>
    <row r="753" spans="16:16" x14ac:dyDescent="0.25">
      <c r="P753" s="13"/>
    </row>
    <row r="754" spans="16:16" x14ac:dyDescent="0.25">
      <c r="P754" s="13"/>
    </row>
    <row r="755" spans="16:16" x14ac:dyDescent="0.25">
      <c r="P755" s="13"/>
    </row>
    <row r="756" spans="16:16" x14ac:dyDescent="0.25">
      <c r="P756" s="13"/>
    </row>
    <row r="757" spans="16:16" x14ac:dyDescent="0.25">
      <c r="P757" s="13"/>
    </row>
    <row r="758" spans="16:16" x14ac:dyDescent="0.25">
      <c r="P758" s="13"/>
    </row>
    <row r="759" spans="16:16" x14ac:dyDescent="0.25">
      <c r="P759" s="13"/>
    </row>
    <row r="760" spans="16:16" x14ac:dyDescent="0.25">
      <c r="P760" s="13"/>
    </row>
    <row r="761" spans="16:16" x14ac:dyDescent="0.25">
      <c r="P761" s="13"/>
    </row>
    <row r="762" spans="16:16" x14ac:dyDescent="0.25">
      <c r="P762" s="13"/>
    </row>
    <row r="763" spans="16:16" x14ac:dyDescent="0.25">
      <c r="P763" s="13"/>
    </row>
    <row r="764" spans="16:16" x14ac:dyDescent="0.25">
      <c r="P764" s="13"/>
    </row>
    <row r="765" spans="16:16" x14ac:dyDescent="0.25">
      <c r="P765" s="13"/>
    </row>
    <row r="766" spans="16:16" x14ac:dyDescent="0.25">
      <c r="P766" s="13"/>
    </row>
    <row r="767" spans="16:16" x14ac:dyDescent="0.25">
      <c r="P767" s="13"/>
    </row>
    <row r="768" spans="16:16" x14ac:dyDescent="0.25">
      <c r="P768" s="13"/>
    </row>
    <row r="769" spans="16:16" x14ac:dyDescent="0.25">
      <c r="P769" s="13"/>
    </row>
    <row r="770" spans="16:16" x14ac:dyDescent="0.25">
      <c r="P770" s="13"/>
    </row>
    <row r="771" spans="16:16" x14ac:dyDescent="0.25">
      <c r="P771" s="13"/>
    </row>
    <row r="772" spans="16:16" x14ac:dyDescent="0.25">
      <c r="P772" s="13"/>
    </row>
    <row r="773" spans="16:16" x14ac:dyDescent="0.25">
      <c r="P773" s="13"/>
    </row>
    <row r="774" spans="16:16" x14ac:dyDescent="0.25">
      <c r="P774" s="13"/>
    </row>
    <row r="775" spans="16:16" x14ac:dyDescent="0.25">
      <c r="P775" s="13"/>
    </row>
    <row r="776" spans="16:16" x14ac:dyDescent="0.25">
      <c r="P776" s="13"/>
    </row>
    <row r="777" spans="16:16" x14ac:dyDescent="0.25">
      <c r="P777" s="13"/>
    </row>
    <row r="778" spans="16:16" x14ac:dyDescent="0.25">
      <c r="P778" s="13"/>
    </row>
    <row r="779" spans="16:16" x14ac:dyDescent="0.25">
      <c r="P779" s="13"/>
    </row>
    <row r="780" spans="16:16" x14ac:dyDescent="0.25">
      <c r="P780" s="13"/>
    </row>
    <row r="781" spans="16:16" x14ac:dyDescent="0.25">
      <c r="P781" s="13"/>
    </row>
    <row r="782" spans="16:16" x14ac:dyDescent="0.25">
      <c r="P782" s="13"/>
    </row>
    <row r="783" spans="16:16" x14ac:dyDescent="0.25">
      <c r="P783" s="13"/>
    </row>
    <row r="784" spans="16:16" x14ac:dyDescent="0.25">
      <c r="P784" s="13"/>
    </row>
    <row r="785" spans="16:16" x14ac:dyDescent="0.25">
      <c r="P785" s="13"/>
    </row>
    <row r="786" spans="16:16" x14ac:dyDescent="0.25">
      <c r="P786" s="13"/>
    </row>
    <row r="787" spans="16:16" x14ac:dyDescent="0.25">
      <c r="P787" s="13"/>
    </row>
    <row r="788" spans="16:16" x14ac:dyDescent="0.25">
      <c r="P788" s="13"/>
    </row>
    <row r="789" spans="16:16" x14ac:dyDescent="0.25">
      <c r="P789" s="13"/>
    </row>
    <row r="790" spans="16:16" x14ac:dyDescent="0.25">
      <c r="P790" s="13"/>
    </row>
    <row r="791" spans="16:16" x14ac:dyDescent="0.25">
      <c r="P791" s="13"/>
    </row>
    <row r="792" spans="16:16" x14ac:dyDescent="0.25">
      <c r="P792" s="13"/>
    </row>
    <row r="793" spans="16:16" x14ac:dyDescent="0.25">
      <c r="P793" s="13"/>
    </row>
    <row r="794" spans="16:16" x14ac:dyDescent="0.25">
      <c r="P794" s="13"/>
    </row>
    <row r="795" spans="16:16" x14ac:dyDescent="0.25">
      <c r="P795" s="13"/>
    </row>
    <row r="796" spans="16:16" x14ac:dyDescent="0.25">
      <c r="P796" s="13"/>
    </row>
    <row r="797" spans="16:16" x14ac:dyDescent="0.25">
      <c r="P797" s="13"/>
    </row>
    <row r="798" spans="16:16" x14ac:dyDescent="0.25">
      <c r="P798" s="13"/>
    </row>
    <row r="799" spans="16:16" x14ac:dyDescent="0.25">
      <c r="P799" s="13"/>
    </row>
    <row r="800" spans="16:16" x14ac:dyDescent="0.25">
      <c r="P800" s="13"/>
    </row>
    <row r="801" spans="16:16" x14ac:dyDescent="0.25">
      <c r="P801" s="13"/>
    </row>
    <row r="802" spans="16:16" x14ac:dyDescent="0.25">
      <c r="P802" s="13"/>
    </row>
    <row r="803" spans="16:16" x14ac:dyDescent="0.25">
      <c r="P803" s="13"/>
    </row>
    <row r="804" spans="16:16" x14ac:dyDescent="0.25">
      <c r="P804" s="13"/>
    </row>
    <row r="805" spans="16:16" x14ac:dyDescent="0.25">
      <c r="P805" s="13"/>
    </row>
    <row r="806" spans="16:16" x14ac:dyDescent="0.25">
      <c r="P806" s="13"/>
    </row>
    <row r="807" spans="16:16" x14ac:dyDescent="0.25">
      <c r="P807" s="13"/>
    </row>
    <row r="808" spans="16:16" x14ac:dyDescent="0.25">
      <c r="P808" s="13"/>
    </row>
    <row r="809" spans="16:16" x14ac:dyDescent="0.25">
      <c r="P809" s="13"/>
    </row>
    <row r="810" spans="16:16" x14ac:dyDescent="0.25">
      <c r="P810" s="13"/>
    </row>
    <row r="811" spans="16:16" x14ac:dyDescent="0.25">
      <c r="P811" s="13"/>
    </row>
    <row r="812" spans="16:16" x14ac:dyDescent="0.25">
      <c r="P812" s="13"/>
    </row>
    <row r="813" spans="16:16" x14ac:dyDescent="0.25">
      <c r="P813" s="13"/>
    </row>
    <row r="814" spans="16:16" x14ac:dyDescent="0.25">
      <c r="P814" s="13"/>
    </row>
    <row r="815" spans="16:16" x14ac:dyDescent="0.25">
      <c r="P815" s="13"/>
    </row>
    <row r="816" spans="16:16" x14ac:dyDescent="0.25">
      <c r="P816" s="13"/>
    </row>
    <row r="817" spans="16:16" x14ac:dyDescent="0.25">
      <c r="P817" s="13"/>
    </row>
    <row r="818" spans="16:16" x14ac:dyDescent="0.25">
      <c r="P818" s="13"/>
    </row>
    <row r="819" spans="16:16" x14ac:dyDescent="0.25">
      <c r="P819" s="13"/>
    </row>
    <row r="820" spans="16:16" x14ac:dyDescent="0.25">
      <c r="P820" s="13"/>
    </row>
    <row r="821" spans="16:16" x14ac:dyDescent="0.25">
      <c r="P821" s="13"/>
    </row>
    <row r="822" spans="16:16" x14ac:dyDescent="0.25">
      <c r="P822" s="13"/>
    </row>
    <row r="823" spans="16:16" x14ac:dyDescent="0.25">
      <c r="P823" s="13"/>
    </row>
    <row r="824" spans="16:16" x14ac:dyDescent="0.25">
      <c r="P824" s="13"/>
    </row>
    <row r="825" spans="16:16" x14ac:dyDescent="0.25">
      <c r="P825" s="13"/>
    </row>
    <row r="826" spans="16:16" x14ac:dyDescent="0.25">
      <c r="P826" s="13"/>
    </row>
    <row r="827" spans="16:16" x14ac:dyDescent="0.25">
      <c r="P827" s="13"/>
    </row>
    <row r="828" spans="16:16" x14ac:dyDescent="0.25">
      <c r="P828" s="13"/>
    </row>
    <row r="829" spans="16:16" x14ac:dyDescent="0.25">
      <c r="P829" s="13"/>
    </row>
    <row r="830" spans="16:16" x14ac:dyDescent="0.25">
      <c r="P830" s="13"/>
    </row>
    <row r="831" spans="16:16" x14ac:dyDescent="0.25">
      <c r="P831" s="13"/>
    </row>
    <row r="832" spans="16:16" x14ac:dyDescent="0.25">
      <c r="P832" s="13"/>
    </row>
    <row r="833" spans="16:16" x14ac:dyDescent="0.25">
      <c r="P833" s="13"/>
    </row>
    <row r="834" spans="16:16" x14ac:dyDescent="0.25">
      <c r="P834" s="13"/>
    </row>
    <row r="835" spans="16:16" x14ac:dyDescent="0.25">
      <c r="P835" s="13"/>
    </row>
    <row r="836" spans="16:16" x14ac:dyDescent="0.25">
      <c r="P836" s="13"/>
    </row>
    <row r="837" spans="16:16" x14ac:dyDescent="0.25">
      <c r="P837" s="13"/>
    </row>
    <row r="838" spans="16:16" x14ac:dyDescent="0.25">
      <c r="P838" s="13"/>
    </row>
    <row r="839" spans="16:16" x14ac:dyDescent="0.25">
      <c r="P839" s="13"/>
    </row>
    <row r="840" spans="16:16" x14ac:dyDescent="0.25">
      <c r="P840" s="13"/>
    </row>
    <row r="841" spans="16:16" x14ac:dyDescent="0.25">
      <c r="P841" s="13"/>
    </row>
    <row r="842" spans="16:16" x14ac:dyDescent="0.25">
      <c r="P842" s="13"/>
    </row>
    <row r="843" spans="16:16" x14ac:dyDescent="0.25">
      <c r="P843" s="13"/>
    </row>
    <row r="844" spans="16:16" x14ac:dyDescent="0.25">
      <c r="P844" s="13"/>
    </row>
    <row r="845" spans="16:16" x14ac:dyDescent="0.25">
      <c r="P845" s="13"/>
    </row>
    <row r="846" spans="16:16" x14ac:dyDescent="0.25">
      <c r="P846" s="13"/>
    </row>
    <row r="847" spans="16:16" x14ac:dyDescent="0.25">
      <c r="P847" s="13"/>
    </row>
    <row r="848" spans="16:16" x14ac:dyDescent="0.25">
      <c r="P848" s="13"/>
    </row>
    <row r="849" spans="16:16" x14ac:dyDescent="0.25">
      <c r="P849" s="13"/>
    </row>
    <row r="850" spans="16:16" x14ac:dyDescent="0.25">
      <c r="P850" s="13"/>
    </row>
    <row r="851" spans="16:16" x14ac:dyDescent="0.25">
      <c r="P851" s="13"/>
    </row>
    <row r="852" spans="16:16" x14ac:dyDescent="0.25">
      <c r="P852" s="13"/>
    </row>
    <row r="853" spans="16:16" x14ac:dyDescent="0.25">
      <c r="P853" s="13"/>
    </row>
    <row r="854" spans="16:16" x14ac:dyDescent="0.25">
      <c r="P854" s="13"/>
    </row>
    <row r="855" spans="16:16" x14ac:dyDescent="0.25">
      <c r="P855" s="13"/>
    </row>
    <row r="856" spans="16:16" x14ac:dyDescent="0.25">
      <c r="P856" s="13"/>
    </row>
    <row r="857" spans="16:16" x14ac:dyDescent="0.25">
      <c r="P857" s="13"/>
    </row>
    <row r="858" spans="16:16" x14ac:dyDescent="0.25">
      <c r="P858" s="13"/>
    </row>
    <row r="859" spans="16:16" x14ac:dyDescent="0.25">
      <c r="P859" s="13"/>
    </row>
    <row r="860" spans="16:16" x14ac:dyDescent="0.25">
      <c r="P860" s="13"/>
    </row>
    <row r="861" spans="16:16" x14ac:dyDescent="0.25">
      <c r="P861" s="13"/>
    </row>
    <row r="862" spans="16:16" x14ac:dyDescent="0.25">
      <c r="P862" s="13"/>
    </row>
    <row r="863" spans="16:16" x14ac:dyDescent="0.25">
      <c r="P863" s="13"/>
    </row>
    <row r="864" spans="16:16" x14ac:dyDescent="0.25">
      <c r="P864" s="13"/>
    </row>
    <row r="865" spans="16:16" x14ac:dyDescent="0.25">
      <c r="P865" s="13"/>
    </row>
    <row r="866" spans="16:16" x14ac:dyDescent="0.25">
      <c r="P866" s="13"/>
    </row>
    <row r="867" spans="16:16" x14ac:dyDescent="0.25">
      <c r="P867" s="13"/>
    </row>
    <row r="868" spans="16:16" x14ac:dyDescent="0.25">
      <c r="P868" s="13"/>
    </row>
    <row r="869" spans="16:16" x14ac:dyDescent="0.25">
      <c r="P869" s="13"/>
    </row>
    <row r="870" spans="16:16" x14ac:dyDescent="0.25">
      <c r="P870" s="13"/>
    </row>
    <row r="871" spans="16:16" x14ac:dyDescent="0.25">
      <c r="P871" s="13"/>
    </row>
    <row r="872" spans="16:16" x14ac:dyDescent="0.25">
      <c r="P872" s="13"/>
    </row>
    <row r="873" spans="16:16" x14ac:dyDescent="0.25">
      <c r="P873" s="13"/>
    </row>
    <row r="874" spans="16:16" x14ac:dyDescent="0.25">
      <c r="P874" s="13"/>
    </row>
    <row r="875" spans="16:16" x14ac:dyDescent="0.25">
      <c r="P875" s="13"/>
    </row>
    <row r="876" spans="16:16" x14ac:dyDescent="0.25">
      <c r="P876" s="13"/>
    </row>
    <row r="877" spans="16:16" x14ac:dyDescent="0.25">
      <c r="P877" s="13"/>
    </row>
    <row r="878" spans="16:16" x14ac:dyDescent="0.25">
      <c r="P878" s="13"/>
    </row>
    <row r="879" spans="16:16" x14ac:dyDescent="0.25">
      <c r="P879" s="13"/>
    </row>
    <row r="880" spans="16:16" x14ac:dyDescent="0.25">
      <c r="P880" s="13"/>
    </row>
    <row r="881" spans="16:16" x14ac:dyDescent="0.25">
      <c r="P881" s="13"/>
    </row>
    <row r="882" spans="16:16" x14ac:dyDescent="0.25">
      <c r="P882" s="13"/>
    </row>
    <row r="883" spans="16:16" x14ac:dyDescent="0.25">
      <c r="P883" s="13"/>
    </row>
    <row r="884" spans="16:16" x14ac:dyDescent="0.25">
      <c r="P884" s="13"/>
    </row>
    <row r="885" spans="16:16" x14ac:dyDescent="0.25">
      <c r="P885" s="13"/>
    </row>
    <row r="886" spans="16:16" x14ac:dyDescent="0.25">
      <c r="P886" s="13"/>
    </row>
    <row r="887" spans="16:16" x14ac:dyDescent="0.25">
      <c r="P887" s="13"/>
    </row>
    <row r="888" spans="16:16" x14ac:dyDescent="0.25">
      <c r="P888" s="13"/>
    </row>
    <row r="889" spans="16:16" x14ac:dyDescent="0.25">
      <c r="P889" s="13"/>
    </row>
    <row r="890" spans="16:16" x14ac:dyDescent="0.25">
      <c r="P890" s="13"/>
    </row>
    <row r="891" spans="16:16" x14ac:dyDescent="0.25">
      <c r="P891" s="13"/>
    </row>
    <row r="892" spans="16:16" x14ac:dyDescent="0.25">
      <c r="P892" s="13"/>
    </row>
    <row r="893" spans="16:16" x14ac:dyDescent="0.25">
      <c r="P893" s="13"/>
    </row>
    <row r="894" spans="16:16" x14ac:dyDescent="0.25">
      <c r="P894" s="13"/>
    </row>
    <row r="895" spans="16:16" x14ac:dyDescent="0.25">
      <c r="P895" s="13"/>
    </row>
    <row r="896" spans="16:16" x14ac:dyDescent="0.25">
      <c r="P896" s="13"/>
    </row>
    <row r="897" spans="16:16" x14ac:dyDescent="0.25">
      <c r="P897" s="13"/>
    </row>
    <row r="898" spans="16:16" x14ac:dyDescent="0.25">
      <c r="P898" s="13"/>
    </row>
    <row r="899" spans="16:16" x14ac:dyDescent="0.25">
      <c r="P899" s="13"/>
    </row>
    <row r="900" spans="16:16" x14ac:dyDescent="0.25">
      <c r="P900" s="13"/>
    </row>
    <row r="901" spans="16:16" x14ac:dyDescent="0.25">
      <c r="P901" s="13"/>
    </row>
    <row r="902" spans="16:16" x14ac:dyDescent="0.25">
      <c r="P902" s="13"/>
    </row>
    <row r="903" spans="16:16" x14ac:dyDescent="0.25">
      <c r="P903" s="13"/>
    </row>
    <row r="904" spans="16:16" x14ac:dyDescent="0.25">
      <c r="P904" s="13"/>
    </row>
    <row r="905" spans="16:16" x14ac:dyDescent="0.25">
      <c r="P905" s="13"/>
    </row>
    <row r="906" spans="16:16" x14ac:dyDescent="0.25">
      <c r="P906" s="13"/>
    </row>
    <row r="907" spans="16:16" x14ac:dyDescent="0.25">
      <c r="P907" s="13"/>
    </row>
    <row r="908" spans="16:16" x14ac:dyDescent="0.25">
      <c r="P908" s="13"/>
    </row>
    <row r="909" spans="16:16" x14ac:dyDescent="0.25">
      <c r="P909" s="13"/>
    </row>
    <row r="910" spans="16:16" x14ac:dyDescent="0.25">
      <c r="P910" s="13"/>
    </row>
    <row r="911" spans="16:16" x14ac:dyDescent="0.25">
      <c r="P911" s="13"/>
    </row>
    <row r="912" spans="16:16" x14ac:dyDescent="0.25">
      <c r="P912" s="13"/>
    </row>
    <row r="913" spans="16:16" x14ac:dyDescent="0.25">
      <c r="P913" s="13"/>
    </row>
    <row r="914" spans="16:16" x14ac:dyDescent="0.25">
      <c r="P914" s="13"/>
    </row>
    <row r="915" spans="16:16" x14ac:dyDescent="0.25">
      <c r="P915" s="13"/>
    </row>
    <row r="916" spans="16:16" x14ac:dyDescent="0.25">
      <c r="P916" s="13"/>
    </row>
    <row r="917" spans="16:16" x14ac:dyDescent="0.25">
      <c r="P917" s="13"/>
    </row>
    <row r="918" spans="16:16" x14ac:dyDescent="0.25">
      <c r="P918" s="13"/>
    </row>
    <row r="919" spans="16:16" x14ac:dyDescent="0.25">
      <c r="P919" s="13"/>
    </row>
    <row r="920" spans="16:16" x14ac:dyDescent="0.25">
      <c r="P920" s="13"/>
    </row>
    <row r="921" spans="16:16" x14ac:dyDescent="0.25">
      <c r="P921" s="13"/>
    </row>
    <row r="922" spans="16:16" x14ac:dyDescent="0.25">
      <c r="P922" s="13"/>
    </row>
    <row r="923" spans="16:16" x14ac:dyDescent="0.25">
      <c r="P923" s="13"/>
    </row>
    <row r="924" spans="16:16" x14ac:dyDescent="0.25">
      <c r="P924" s="13"/>
    </row>
    <row r="925" spans="16:16" x14ac:dyDescent="0.25">
      <c r="P925" s="13"/>
    </row>
    <row r="926" spans="16:16" x14ac:dyDescent="0.25">
      <c r="P926" s="13"/>
    </row>
    <row r="927" spans="16:16" x14ac:dyDescent="0.25">
      <c r="P927" s="13"/>
    </row>
    <row r="928" spans="16:16" x14ac:dyDescent="0.25">
      <c r="P928" s="13"/>
    </row>
    <row r="929" spans="16:16" x14ac:dyDescent="0.25">
      <c r="P929" s="13"/>
    </row>
    <row r="930" spans="16:16" x14ac:dyDescent="0.25">
      <c r="P930" s="13"/>
    </row>
    <row r="931" spans="16:16" x14ac:dyDescent="0.25">
      <c r="P931" s="13"/>
    </row>
    <row r="932" spans="16:16" x14ac:dyDescent="0.25">
      <c r="P932" s="13"/>
    </row>
    <row r="933" spans="16:16" x14ac:dyDescent="0.25">
      <c r="P933" s="13"/>
    </row>
    <row r="934" spans="16:16" x14ac:dyDescent="0.25">
      <c r="P934" s="13"/>
    </row>
    <row r="935" spans="16:16" x14ac:dyDescent="0.25">
      <c r="P935" s="13"/>
    </row>
    <row r="936" spans="16:16" x14ac:dyDescent="0.25">
      <c r="P936" s="13"/>
    </row>
    <row r="937" spans="16:16" x14ac:dyDescent="0.25">
      <c r="P937" s="13"/>
    </row>
    <row r="938" spans="16:16" x14ac:dyDescent="0.25">
      <c r="P938" s="13"/>
    </row>
    <row r="939" spans="16:16" x14ac:dyDescent="0.25">
      <c r="P939" s="13"/>
    </row>
    <row r="940" spans="16:16" x14ac:dyDescent="0.25">
      <c r="P940" s="13"/>
    </row>
    <row r="941" spans="16:16" x14ac:dyDescent="0.25">
      <c r="P941" s="13"/>
    </row>
    <row r="942" spans="16:16" x14ac:dyDescent="0.25">
      <c r="P942" s="13"/>
    </row>
    <row r="943" spans="16:16" x14ac:dyDescent="0.25">
      <c r="P943" s="13"/>
    </row>
    <row r="944" spans="16:16" x14ac:dyDescent="0.25">
      <c r="P944" s="13"/>
    </row>
    <row r="945" spans="16:16" x14ac:dyDescent="0.25">
      <c r="P945" s="13"/>
    </row>
    <row r="946" spans="16:16" x14ac:dyDescent="0.25">
      <c r="P946" s="13"/>
    </row>
    <row r="947" spans="16:16" x14ac:dyDescent="0.25">
      <c r="P947" s="13"/>
    </row>
    <row r="948" spans="16:16" x14ac:dyDescent="0.25">
      <c r="P948" s="13"/>
    </row>
    <row r="949" spans="16:16" x14ac:dyDescent="0.25">
      <c r="P949" s="13"/>
    </row>
    <row r="950" spans="16:16" x14ac:dyDescent="0.25">
      <c r="P950" s="13"/>
    </row>
    <row r="951" spans="16:16" x14ac:dyDescent="0.25">
      <c r="P951" s="13"/>
    </row>
    <row r="952" spans="16:16" x14ac:dyDescent="0.25">
      <c r="P952" s="13"/>
    </row>
    <row r="953" spans="16:16" x14ac:dyDescent="0.25">
      <c r="P953" s="13"/>
    </row>
    <row r="954" spans="16:16" x14ac:dyDescent="0.25">
      <c r="P954" s="13"/>
    </row>
    <row r="955" spans="16:16" x14ac:dyDescent="0.25">
      <c r="P955" s="13"/>
    </row>
    <row r="956" spans="16:16" x14ac:dyDescent="0.25">
      <c r="P956" s="13"/>
    </row>
    <row r="957" spans="16:16" x14ac:dyDescent="0.25">
      <c r="P957" s="13"/>
    </row>
    <row r="958" spans="16:16" x14ac:dyDescent="0.25">
      <c r="P958" s="13"/>
    </row>
    <row r="959" spans="16:16" x14ac:dyDescent="0.25">
      <c r="P959" s="13"/>
    </row>
    <row r="960" spans="16:16" x14ac:dyDescent="0.25">
      <c r="P960" s="13"/>
    </row>
    <row r="961" spans="16:16" x14ac:dyDescent="0.25">
      <c r="P961" s="13"/>
    </row>
    <row r="962" spans="16:16" x14ac:dyDescent="0.25">
      <c r="P962" s="13"/>
    </row>
    <row r="963" spans="16:16" x14ac:dyDescent="0.25">
      <c r="P963" s="13"/>
    </row>
    <row r="964" spans="16:16" x14ac:dyDescent="0.25">
      <c r="P964" s="13"/>
    </row>
    <row r="965" spans="16:16" x14ac:dyDescent="0.25">
      <c r="P965" s="13"/>
    </row>
    <row r="966" spans="16:16" x14ac:dyDescent="0.25">
      <c r="P966" s="13"/>
    </row>
    <row r="967" spans="16:16" x14ac:dyDescent="0.25">
      <c r="P967" s="13"/>
    </row>
    <row r="968" spans="16:16" x14ac:dyDescent="0.25">
      <c r="P968" s="13"/>
    </row>
    <row r="969" spans="16:16" x14ac:dyDescent="0.25">
      <c r="P969" s="13"/>
    </row>
    <row r="970" spans="16:16" x14ac:dyDescent="0.25">
      <c r="P970" s="13"/>
    </row>
    <row r="971" spans="16:16" x14ac:dyDescent="0.25">
      <c r="P971" s="13"/>
    </row>
    <row r="972" spans="16:16" x14ac:dyDescent="0.25">
      <c r="P972" s="13"/>
    </row>
    <row r="973" spans="16:16" x14ac:dyDescent="0.25">
      <c r="P973" s="13"/>
    </row>
    <row r="974" spans="16:16" x14ac:dyDescent="0.25">
      <c r="P974" s="13"/>
    </row>
    <row r="975" spans="16:16" x14ac:dyDescent="0.25">
      <c r="P975" s="13"/>
    </row>
    <row r="976" spans="16:16" x14ac:dyDescent="0.25">
      <c r="P976" s="13"/>
    </row>
    <row r="977" spans="16:16" x14ac:dyDescent="0.25">
      <c r="P977" s="13"/>
    </row>
    <row r="978" spans="16:16" x14ac:dyDescent="0.25">
      <c r="P978" s="13"/>
    </row>
    <row r="979" spans="16:16" x14ac:dyDescent="0.25">
      <c r="P979" s="13"/>
    </row>
    <row r="980" spans="16:16" x14ac:dyDescent="0.25">
      <c r="P980" s="13"/>
    </row>
    <row r="981" spans="16:16" x14ac:dyDescent="0.25">
      <c r="P981" s="13"/>
    </row>
    <row r="982" spans="16:16" x14ac:dyDescent="0.25">
      <c r="P982" s="13"/>
    </row>
    <row r="983" spans="16:16" x14ac:dyDescent="0.25">
      <c r="P983" s="13"/>
    </row>
    <row r="984" spans="16:16" x14ac:dyDescent="0.25">
      <c r="P984" s="13"/>
    </row>
    <row r="985" spans="16:16" x14ac:dyDescent="0.25">
      <c r="P985" s="13"/>
    </row>
    <row r="986" spans="16:16" x14ac:dyDescent="0.25">
      <c r="P986" s="13"/>
    </row>
    <row r="987" spans="16:16" x14ac:dyDescent="0.25">
      <c r="P987" s="13"/>
    </row>
    <row r="988" spans="16:16" x14ac:dyDescent="0.25">
      <c r="P988" s="13"/>
    </row>
    <row r="989" spans="16:16" x14ac:dyDescent="0.25">
      <c r="P989" s="13"/>
    </row>
    <row r="990" spans="16:16" x14ac:dyDescent="0.25">
      <c r="P990" s="13"/>
    </row>
    <row r="991" spans="16:16" x14ac:dyDescent="0.25">
      <c r="P991" s="13"/>
    </row>
    <row r="992" spans="16:16" x14ac:dyDescent="0.25">
      <c r="P992" s="13"/>
    </row>
    <row r="993" spans="16:16" x14ac:dyDescent="0.25">
      <c r="P993" s="13"/>
    </row>
    <row r="994" spans="16:16" x14ac:dyDescent="0.25">
      <c r="P994" s="13"/>
    </row>
    <row r="995" spans="16:16" x14ac:dyDescent="0.25">
      <c r="P995" s="13"/>
    </row>
    <row r="996" spans="16:16" x14ac:dyDescent="0.25">
      <c r="P996" s="13"/>
    </row>
    <row r="997" spans="16:16" x14ac:dyDescent="0.25">
      <c r="P997" s="13"/>
    </row>
    <row r="998" spans="16:16" x14ac:dyDescent="0.25">
      <c r="P998" s="13"/>
    </row>
    <row r="999" spans="16:16" x14ac:dyDescent="0.25">
      <c r="P999" s="13"/>
    </row>
    <row r="1000" spans="16:16" x14ac:dyDescent="0.25">
      <c r="P1000" s="13"/>
    </row>
    <row r="1001" spans="16:16" x14ac:dyDescent="0.25">
      <c r="P1001" s="13"/>
    </row>
    <row r="1002" spans="16:16" x14ac:dyDescent="0.25">
      <c r="P1002" s="13"/>
    </row>
    <row r="1003" spans="16:16" x14ac:dyDescent="0.25">
      <c r="P1003" s="13"/>
    </row>
    <row r="1004" spans="16:16" x14ac:dyDescent="0.25">
      <c r="P1004" s="13"/>
    </row>
    <row r="1005" spans="16:16" x14ac:dyDescent="0.25">
      <c r="P1005" s="13"/>
    </row>
    <row r="1006" spans="16:16" x14ac:dyDescent="0.25">
      <c r="P1006" s="13"/>
    </row>
    <row r="1007" spans="16:16" x14ac:dyDescent="0.25">
      <c r="P1007" s="13"/>
    </row>
    <row r="1008" spans="16:16" x14ac:dyDescent="0.25">
      <c r="P1008" s="13"/>
    </row>
    <row r="1009" spans="16:16" x14ac:dyDescent="0.25">
      <c r="P1009" s="13"/>
    </row>
    <row r="1010" spans="16:16" x14ac:dyDescent="0.25">
      <c r="P1010" s="13"/>
    </row>
    <row r="1011" spans="16:16" x14ac:dyDescent="0.25">
      <c r="P1011" s="13"/>
    </row>
    <row r="1012" spans="16:16" x14ac:dyDescent="0.25">
      <c r="P1012" s="13"/>
    </row>
    <row r="1013" spans="16:16" x14ac:dyDescent="0.25">
      <c r="P1013" s="13"/>
    </row>
    <row r="1014" spans="16:16" x14ac:dyDescent="0.25">
      <c r="P1014" s="13"/>
    </row>
    <row r="1015" spans="16:16" x14ac:dyDescent="0.25">
      <c r="P1015" s="13"/>
    </row>
    <row r="1016" spans="16:16" x14ac:dyDescent="0.25">
      <c r="P1016" s="13"/>
    </row>
    <row r="1017" spans="16:16" x14ac:dyDescent="0.25">
      <c r="P1017" s="13"/>
    </row>
    <row r="1018" spans="16:16" x14ac:dyDescent="0.25">
      <c r="P1018" s="13"/>
    </row>
    <row r="1019" spans="16:16" x14ac:dyDescent="0.25">
      <c r="P1019" s="13"/>
    </row>
    <row r="1020" spans="16:16" x14ac:dyDescent="0.25">
      <c r="P1020" s="13"/>
    </row>
    <row r="1021" spans="16:16" x14ac:dyDescent="0.25">
      <c r="P1021" s="13"/>
    </row>
    <row r="1022" spans="16:16" x14ac:dyDescent="0.25">
      <c r="P1022" s="13"/>
    </row>
    <row r="1023" spans="16:16" x14ac:dyDescent="0.25">
      <c r="P1023" s="13"/>
    </row>
    <row r="1024" spans="16:16" x14ac:dyDescent="0.25">
      <c r="P1024" s="13"/>
    </row>
    <row r="1025" spans="16:16" x14ac:dyDescent="0.25">
      <c r="P1025" s="13"/>
    </row>
    <row r="1026" spans="16:16" x14ac:dyDescent="0.25">
      <c r="P1026" s="13"/>
    </row>
    <row r="1027" spans="16:16" x14ac:dyDescent="0.25">
      <c r="P1027" s="13"/>
    </row>
    <row r="1028" spans="16:16" x14ac:dyDescent="0.25">
      <c r="P1028" s="13"/>
    </row>
    <row r="1029" spans="16:16" x14ac:dyDescent="0.25">
      <c r="P1029" s="13"/>
    </row>
    <row r="1030" spans="16:16" x14ac:dyDescent="0.25">
      <c r="P1030" s="13"/>
    </row>
    <row r="1031" spans="16:16" x14ac:dyDescent="0.25">
      <c r="P1031" s="13"/>
    </row>
    <row r="1032" spans="16:16" x14ac:dyDescent="0.25">
      <c r="P1032" s="13"/>
    </row>
    <row r="1033" spans="16:16" x14ac:dyDescent="0.25">
      <c r="P1033" s="13"/>
    </row>
    <row r="1034" spans="16:16" x14ac:dyDescent="0.25">
      <c r="P1034" s="13"/>
    </row>
    <row r="1035" spans="16:16" x14ac:dyDescent="0.25">
      <c r="P1035" s="13"/>
    </row>
    <row r="1036" spans="16:16" x14ac:dyDescent="0.25">
      <c r="P1036" s="13"/>
    </row>
    <row r="1037" spans="16:16" x14ac:dyDescent="0.25">
      <c r="P1037" s="13"/>
    </row>
    <row r="1038" spans="16:16" x14ac:dyDescent="0.25">
      <c r="P1038" s="13"/>
    </row>
    <row r="1039" spans="16:16" x14ac:dyDescent="0.25">
      <c r="P1039" s="13"/>
    </row>
    <row r="1040" spans="16:16" x14ac:dyDescent="0.25">
      <c r="P1040" s="13"/>
    </row>
    <row r="1041" spans="16:16" x14ac:dyDescent="0.25">
      <c r="P1041" s="13"/>
    </row>
    <row r="1042" spans="16:16" x14ac:dyDescent="0.25">
      <c r="P1042" s="13"/>
    </row>
    <row r="1043" spans="16:16" x14ac:dyDescent="0.25">
      <c r="P1043" s="13"/>
    </row>
    <row r="1044" spans="16:16" x14ac:dyDescent="0.25">
      <c r="P1044" s="13"/>
    </row>
    <row r="1045" spans="16:16" x14ac:dyDescent="0.25">
      <c r="P1045" s="13"/>
    </row>
    <row r="1046" spans="16:16" x14ac:dyDescent="0.25">
      <c r="P1046" s="13"/>
    </row>
    <row r="1047" spans="16:16" x14ac:dyDescent="0.25">
      <c r="P1047" s="13"/>
    </row>
    <row r="1048" spans="16:16" x14ac:dyDescent="0.25">
      <c r="P1048" s="13"/>
    </row>
    <row r="1049" spans="16:16" x14ac:dyDescent="0.25">
      <c r="P1049" s="13"/>
    </row>
    <row r="1050" spans="16:16" x14ac:dyDescent="0.25">
      <c r="P1050" s="13"/>
    </row>
    <row r="1051" spans="16:16" x14ac:dyDescent="0.25">
      <c r="P1051" s="13"/>
    </row>
    <row r="1052" spans="16:16" x14ac:dyDescent="0.25">
      <c r="P1052" s="13"/>
    </row>
    <row r="1053" spans="16:16" x14ac:dyDescent="0.25">
      <c r="P1053" s="13"/>
    </row>
    <row r="1054" spans="16:16" x14ac:dyDescent="0.25">
      <c r="P1054" s="13"/>
    </row>
    <row r="1055" spans="16:16" x14ac:dyDescent="0.25">
      <c r="P1055" s="13"/>
    </row>
    <row r="1056" spans="16:16" x14ac:dyDescent="0.25">
      <c r="P1056" s="13"/>
    </row>
    <row r="1057" spans="16:16" x14ac:dyDescent="0.25">
      <c r="P1057" s="13"/>
    </row>
    <row r="1058" spans="16:16" x14ac:dyDescent="0.25">
      <c r="P1058" s="13"/>
    </row>
    <row r="1059" spans="16:16" x14ac:dyDescent="0.25">
      <c r="P1059" s="13"/>
    </row>
    <row r="1060" spans="16:16" x14ac:dyDescent="0.25">
      <c r="P1060" s="13"/>
    </row>
    <row r="1061" spans="16:16" x14ac:dyDescent="0.25">
      <c r="P1061" s="13"/>
    </row>
    <row r="1062" spans="16:16" x14ac:dyDescent="0.25">
      <c r="P1062" s="13"/>
    </row>
    <row r="1063" spans="16:16" x14ac:dyDescent="0.25">
      <c r="P1063" s="13"/>
    </row>
    <row r="1064" spans="16:16" x14ac:dyDescent="0.25">
      <c r="P1064" s="13"/>
    </row>
    <row r="1065" spans="16:16" x14ac:dyDescent="0.25">
      <c r="P1065" s="13"/>
    </row>
    <row r="1066" spans="16:16" x14ac:dyDescent="0.25">
      <c r="P1066" s="13"/>
    </row>
    <row r="1067" spans="16:16" x14ac:dyDescent="0.25">
      <c r="P1067" s="13"/>
    </row>
    <row r="1068" spans="16:16" x14ac:dyDescent="0.25">
      <c r="P1068" s="13"/>
    </row>
    <row r="1069" spans="16:16" x14ac:dyDescent="0.25">
      <c r="P1069" s="13"/>
    </row>
    <row r="1070" spans="16:16" x14ac:dyDescent="0.25">
      <c r="P1070" s="13"/>
    </row>
    <row r="1071" spans="16:16" x14ac:dyDescent="0.25">
      <c r="P1071" s="13"/>
    </row>
    <row r="1072" spans="16:16" x14ac:dyDescent="0.25">
      <c r="P1072" s="13"/>
    </row>
    <row r="1073" spans="16:16" x14ac:dyDescent="0.25">
      <c r="P1073" s="13"/>
    </row>
    <row r="1074" spans="16:16" x14ac:dyDescent="0.25">
      <c r="P1074" s="13"/>
    </row>
    <row r="1075" spans="16:16" x14ac:dyDescent="0.25">
      <c r="P1075" s="13"/>
    </row>
    <row r="1076" spans="16:16" x14ac:dyDescent="0.25">
      <c r="P1076" s="13"/>
    </row>
    <row r="1077" spans="16:16" x14ac:dyDescent="0.25">
      <c r="P1077" s="13"/>
    </row>
    <row r="1078" spans="16:16" x14ac:dyDescent="0.25">
      <c r="P1078" s="13"/>
    </row>
    <row r="1079" spans="16:16" x14ac:dyDescent="0.25">
      <c r="P1079" s="13"/>
    </row>
    <row r="1080" spans="16:16" x14ac:dyDescent="0.25">
      <c r="P1080" s="13"/>
    </row>
    <row r="1081" spans="16:16" x14ac:dyDescent="0.25">
      <c r="P1081" s="13"/>
    </row>
    <row r="1082" spans="16:16" x14ac:dyDescent="0.25">
      <c r="P1082" s="13"/>
    </row>
    <row r="1083" spans="16:16" x14ac:dyDescent="0.25">
      <c r="P1083" s="13"/>
    </row>
    <row r="1084" spans="16:16" x14ac:dyDescent="0.25">
      <c r="P1084" s="13"/>
    </row>
    <row r="1085" spans="16:16" x14ac:dyDescent="0.25">
      <c r="P1085" s="13"/>
    </row>
    <row r="1086" spans="16:16" x14ac:dyDescent="0.25">
      <c r="P1086" s="13"/>
    </row>
    <row r="1087" spans="16:16" x14ac:dyDescent="0.25">
      <c r="P1087" s="13"/>
    </row>
    <row r="1088" spans="16:16" x14ac:dyDescent="0.25">
      <c r="P1088" s="13"/>
    </row>
    <row r="1089" spans="16:16" x14ac:dyDescent="0.25">
      <c r="P1089" s="13"/>
    </row>
    <row r="1090" spans="16:16" x14ac:dyDescent="0.25">
      <c r="P1090" s="13"/>
    </row>
    <row r="1091" spans="16:16" x14ac:dyDescent="0.25">
      <c r="P1091" s="13"/>
    </row>
    <row r="1092" spans="16:16" x14ac:dyDescent="0.25">
      <c r="P1092" s="13"/>
    </row>
    <row r="1093" spans="16:16" x14ac:dyDescent="0.25">
      <c r="P1093" s="13"/>
    </row>
    <row r="1094" spans="16:16" x14ac:dyDescent="0.25">
      <c r="P1094" s="13"/>
    </row>
    <row r="1095" spans="16:16" x14ac:dyDescent="0.25">
      <c r="P1095" s="13"/>
    </row>
    <row r="1096" spans="16:16" x14ac:dyDescent="0.25">
      <c r="P1096" s="13"/>
    </row>
    <row r="1097" spans="16:16" x14ac:dyDescent="0.25">
      <c r="P1097" s="13"/>
    </row>
    <row r="1098" spans="16:16" x14ac:dyDescent="0.25">
      <c r="P1098" s="13"/>
    </row>
    <row r="1099" spans="16:16" x14ac:dyDescent="0.25">
      <c r="P1099" s="13"/>
    </row>
    <row r="1100" spans="16:16" x14ac:dyDescent="0.25">
      <c r="P1100" s="13"/>
    </row>
    <row r="1101" spans="16:16" x14ac:dyDescent="0.25">
      <c r="P1101" s="13"/>
    </row>
    <row r="1102" spans="16:16" x14ac:dyDescent="0.25">
      <c r="P1102" s="13"/>
    </row>
    <row r="1103" spans="16:16" x14ac:dyDescent="0.25">
      <c r="P1103" s="13"/>
    </row>
    <row r="1104" spans="16:16" x14ac:dyDescent="0.25">
      <c r="P1104" s="13"/>
    </row>
    <row r="1105" spans="16:16" x14ac:dyDescent="0.25">
      <c r="P1105" s="13"/>
    </row>
    <row r="1106" spans="16:16" x14ac:dyDescent="0.25">
      <c r="P1106" s="13"/>
    </row>
    <row r="1107" spans="16:16" x14ac:dyDescent="0.25">
      <c r="P1107" s="13"/>
    </row>
    <row r="1108" spans="16:16" x14ac:dyDescent="0.25">
      <c r="P1108" s="13"/>
    </row>
    <row r="1109" spans="16:16" x14ac:dyDescent="0.25">
      <c r="P1109" s="13"/>
    </row>
    <row r="1110" spans="16:16" x14ac:dyDescent="0.25">
      <c r="P1110" s="13"/>
    </row>
    <row r="1111" spans="16:16" x14ac:dyDescent="0.25">
      <c r="P1111" s="13"/>
    </row>
    <row r="1112" spans="16:16" x14ac:dyDescent="0.25">
      <c r="P1112" s="13"/>
    </row>
    <row r="1113" spans="16:16" x14ac:dyDescent="0.25">
      <c r="P1113" s="13"/>
    </row>
    <row r="1114" spans="16:16" x14ac:dyDescent="0.25">
      <c r="P1114" s="13"/>
    </row>
    <row r="1115" spans="16:16" x14ac:dyDescent="0.25">
      <c r="P1115" s="13"/>
    </row>
    <row r="1116" spans="16:16" x14ac:dyDescent="0.25">
      <c r="P1116" s="13"/>
    </row>
    <row r="1117" spans="16:16" x14ac:dyDescent="0.25">
      <c r="P1117" s="13"/>
    </row>
    <row r="1118" spans="16:16" x14ac:dyDescent="0.25">
      <c r="P1118" s="13"/>
    </row>
    <row r="1119" spans="16:16" x14ac:dyDescent="0.25">
      <c r="P1119" s="13"/>
    </row>
    <row r="1120" spans="16:16" x14ac:dyDescent="0.25">
      <c r="P1120" s="13"/>
    </row>
    <row r="1121" spans="16:16" x14ac:dyDescent="0.25">
      <c r="P1121" s="13"/>
    </row>
    <row r="1122" spans="16:16" x14ac:dyDescent="0.25">
      <c r="P1122" s="13"/>
    </row>
    <row r="1123" spans="16:16" x14ac:dyDescent="0.25">
      <c r="P1123" s="13"/>
    </row>
    <row r="1124" spans="16:16" x14ac:dyDescent="0.25">
      <c r="P1124" s="13"/>
    </row>
    <row r="1125" spans="16:16" x14ac:dyDescent="0.25">
      <c r="P1125" s="13"/>
    </row>
    <row r="1126" spans="16:16" x14ac:dyDescent="0.25">
      <c r="P1126" s="13"/>
    </row>
    <row r="1127" spans="16:16" x14ac:dyDescent="0.25">
      <c r="P1127" s="13"/>
    </row>
    <row r="1128" spans="16:16" x14ac:dyDescent="0.25">
      <c r="P1128" s="13"/>
    </row>
    <row r="1129" spans="16:16" x14ac:dyDescent="0.25">
      <c r="P1129" s="13"/>
    </row>
    <row r="1130" spans="16:16" x14ac:dyDescent="0.25">
      <c r="P1130" s="13"/>
    </row>
    <row r="1131" spans="16:16" x14ac:dyDescent="0.25">
      <c r="P1131" s="13"/>
    </row>
    <row r="1132" spans="16:16" x14ac:dyDescent="0.25">
      <c r="P1132" s="13"/>
    </row>
    <row r="1133" spans="16:16" x14ac:dyDescent="0.25">
      <c r="P1133" s="13"/>
    </row>
    <row r="1134" spans="16:16" x14ac:dyDescent="0.25">
      <c r="P1134" s="13"/>
    </row>
    <row r="1135" spans="16:16" x14ac:dyDescent="0.25">
      <c r="P1135" s="13"/>
    </row>
    <row r="1136" spans="16:16" x14ac:dyDescent="0.25">
      <c r="P1136" s="13"/>
    </row>
    <row r="1137" spans="16:16" x14ac:dyDescent="0.25">
      <c r="P1137" s="13"/>
    </row>
    <row r="1138" spans="16:16" x14ac:dyDescent="0.25">
      <c r="P1138" s="13"/>
    </row>
    <row r="1139" spans="16:16" x14ac:dyDescent="0.25">
      <c r="P1139" s="13"/>
    </row>
    <row r="1140" spans="16:16" x14ac:dyDescent="0.25">
      <c r="P1140" s="13"/>
    </row>
    <row r="1141" spans="16:16" x14ac:dyDescent="0.25">
      <c r="P1141" s="13"/>
    </row>
    <row r="1142" spans="16:16" x14ac:dyDescent="0.25">
      <c r="P1142" s="13"/>
    </row>
    <row r="1143" spans="16:16" x14ac:dyDescent="0.25">
      <c r="P1143" s="13"/>
    </row>
    <row r="1144" spans="16:16" x14ac:dyDescent="0.25">
      <c r="P1144" s="13"/>
    </row>
    <row r="1145" spans="16:16" x14ac:dyDescent="0.25">
      <c r="P1145" s="13"/>
    </row>
    <row r="1146" spans="16:16" x14ac:dyDescent="0.25">
      <c r="P1146" s="13"/>
    </row>
    <row r="1147" spans="16:16" x14ac:dyDescent="0.25">
      <c r="P1147" s="13"/>
    </row>
    <row r="1148" spans="16:16" x14ac:dyDescent="0.25">
      <c r="P1148" s="13"/>
    </row>
    <row r="1149" spans="16:16" x14ac:dyDescent="0.25">
      <c r="P1149" s="13"/>
    </row>
    <row r="1150" spans="16:16" x14ac:dyDescent="0.25">
      <c r="P1150" s="13"/>
    </row>
    <row r="1151" spans="16:16" x14ac:dyDescent="0.25">
      <c r="P1151" s="13"/>
    </row>
    <row r="1152" spans="16:16" x14ac:dyDescent="0.25">
      <c r="P1152" s="13"/>
    </row>
    <row r="1153" spans="16:16" x14ac:dyDescent="0.25">
      <c r="P1153" s="13"/>
    </row>
    <row r="1154" spans="16:16" x14ac:dyDescent="0.25">
      <c r="P1154" s="13"/>
    </row>
    <row r="1155" spans="16:16" x14ac:dyDescent="0.25">
      <c r="P1155" s="13"/>
    </row>
    <row r="1156" spans="16:16" x14ac:dyDescent="0.25">
      <c r="P1156" s="13"/>
    </row>
    <row r="1157" spans="16:16" x14ac:dyDescent="0.25">
      <c r="P1157" s="13"/>
    </row>
    <row r="1158" spans="16:16" x14ac:dyDescent="0.25">
      <c r="P1158" s="13"/>
    </row>
    <row r="1159" spans="16:16" x14ac:dyDescent="0.25">
      <c r="P1159" s="13"/>
    </row>
    <row r="1160" spans="16:16" x14ac:dyDescent="0.25">
      <c r="P1160" s="13"/>
    </row>
    <row r="1161" spans="16:16" x14ac:dyDescent="0.25">
      <c r="P1161" s="13"/>
    </row>
    <row r="1162" spans="16:16" x14ac:dyDescent="0.25">
      <c r="P1162" s="13"/>
    </row>
    <row r="1163" spans="16:16" x14ac:dyDescent="0.25">
      <c r="P1163" s="13"/>
    </row>
    <row r="1164" spans="16:16" x14ac:dyDescent="0.25">
      <c r="P1164" s="13"/>
    </row>
    <row r="1165" spans="16:16" x14ac:dyDescent="0.25">
      <c r="P1165" s="13"/>
    </row>
    <row r="1166" spans="16:16" x14ac:dyDescent="0.25">
      <c r="P1166" s="13"/>
    </row>
    <row r="1167" spans="16:16" x14ac:dyDescent="0.25">
      <c r="P1167" s="13"/>
    </row>
    <row r="1168" spans="16:16" x14ac:dyDescent="0.25">
      <c r="P1168" s="13"/>
    </row>
    <row r="1169" spans="16:16" x14ac:dyDescent="0.25">
      <c r="P1169" s="13"/>
    </row>
    <row r="1170" spans="16:16" x14ac:dyDescent="0.25">
      <c r="P1170" s="13"/>
    </row>
    <row r="1171" spans="16:16" x14ac:dyDescent="0.25">
      <c r="P1171" s="13"/>
    </row>
    <row r="1172" spans="16:16" x14ac:dyDescent="0.25">
      <c r="P1172" s="13"/>
    </row>
    <row r="1173" spans="16:16" x14ac:dyDescent="0.25">
      <c r="P1173" s="13"/>
    </row>
    <row r="1174" spans="16:16" x14ac:dyDescent="0.25">
      <c r="P1174" s="13"/>
    </row>
    <row r="1175" spans="16:16" x14ac:dyDescent="0.25">
      <c r="P1175" s="13"/>
    </row>
    <row r="1176" spans="16:16" x14ac:dyDescent="0.25">
      <c r="P1176" s="13"/>
    </row>
    <row r="1177" spans="16:16" x14ac:dyDescent="0.25">
      <c r="P1177" s="13"/>
    </row>
    <row r="1178" spans="16:16" x14ac:dyDescent="0.25">
      <c r="P1178" s="13"/>
    </row>
    <row r="1179" spans="16:16" x14ac:dyDescent="0.25">
      <c r="P1179" s="13"/>
    </row>
    <row r="1180" spans="16:16" x14ac:dyDescent="0.25">
      <c r="P1180" s="13"/>
    </row>
    <row r="1181" spans="16:16" x14ac:dyDescent="0.25">
      <c r="P1181" s="13"/>
    </row>
    <row r="1182" spans="16:16" x14ac:dyDescent="0.25">
      <c r="P1182" s="13"/>
    </row>
    <row r="1183" spans="16:16" x14ac:dyDescent="0.25">
      <c r="P1183" s="13"/>
    </row>
    <row r="1184" spans="16:16" x14ac:dyDescent="0.25">
      <c r="P1184" s="13"/>
    </row>
    <row r="1185" spans="16:16" x14ac:dyDescent="0.25">
      <c r="P1185" s="13"/>
    </row>
    <row r="1186" spans="16:16" x14ac:dyDescent="0.25">
      <c r="P1186" s="13"/>
    </row>
    <row r="1187" spans="16:16" x14ac:dyDescent="0.25">
      <c r="P1187" s="13"/>
    </row>
    <row r="1188" spans="16:16" x14ac:dyDescent="0.25">
      <c r="P1188" s="13"/>
    </row>
    <row r="1189" spans="16:16" x14ac:dyDescent="0.25">
      <c r="P1189" s="13"/>
    </row>
    <row r="1190" spans="16:16" x14ac:dyDescent="0.25">
      <c r="P1190" s="13"/>
    </row>
    <row r="1191" spans="16:16" x14ac:dyDescent="0.25">
      <c r="P1191" s="13"/>
    </row>
    <row r="1192" spans="16:16" x14ac:dyDescent="0.25">
      <c r="P1192" s="13"/>
    </row>
    <row r="1193" spans="16:16" x14ac:dyDescent="0.25">
      <c r="P1193" s="13"/>
    </row>
    <row r="1194" spans="16:16" x14ac:dyDescent="0.25">
      <c r="P1194" s="13"/>
    </row>
    <row r="1195" spans="16:16" x14ac:dyDescent="0.25">
      <c r="P1195" s="13"/>
    </row>
    <row r="1196" spans="16:16" x14ac:dyDescent="0.25">
      <c r="P1196" s="13"/>
    </row>
    <row r="1197" spans="16:16" x14ac:dyDescent="0.25">
      <c r="P1197" s="13"/>
    </row>
    <row r="1198" spans="16:16" x14ac:dyDescent="0.25">
      <c r="P1198" s="13"/>
    </row>
    <row r="1199" spans="16:16" x14ac:dyDescent="0.25">
      <c r="P1199" s="13"/>
    </row>
    <row r="1200" spans="16:16" x14ac:dyDescent="0.25">
      <c r="P1200" s="13"/>
    </row>
    <row r="1201" spans="16:16" x14ac:dyDescent="0.25">
      <c r="P1201" s="13"/>
    </row>
    <row r="1202" spans="16:16" x14ac:dyDescent="0.25">
      <c r="P1202" s="13"/>
    </row>
    <row r="1203" spans="16:16" x14ac:dyDescent="0.25">
      <c r="P1203" s="13"/>
    </row>
    <row r="1204" spans="16:16" x14ac:dyDescent="0.25">
      <c r="P1204" s="13"/>
    </row>
    <row r="1205" spans="16:16" x14ac:dyDescent="0.25">
      <c r="P1205" s="13"/>
    </row>
    <row r="1206" spans="16:16" x14ac:dyDescent="0.25">
      <c r="P1206" s="13"/>
    </row>
    <row r="1207" spans="16:16" x14ac:dyDescent="0.25">
      <c r="P1207" s="13"/>
    </row>
    <row r="1208" spans="16:16" x14ac:dyDescent="0.25">
      <c r="P1208" s="13"/>
    </row>
    <row r="1209" spans="16:16" x14ac:dyDescent="0.25">
      <c r="P1209" s="13"/>
    </row>
    <row r="1210" spans="16:16" x14ac:dyDescent="0.25">
      <c r="P1210" s="13"/>
    </row>
    <row r="1211" spans="16:16" x14ac:dyDescent="0.25">
      <c r="P1211" s="13"/>
    </row>
    <row r="1212" spans="16:16" x14ac:dyDescent="0.25">
      <c r="P1212" s="13"/>
    </row>
    <row r="1213" spans="16:16" x14ac:dyDescent="0.25">
      <c r="P1213" s="13"/>
    </row>
    <row r="1214" spans="16:16" x14ac:dyDescent="0.25">
      <c r="P1214" s="13"/>
    </row>
    <row r="1215" spans="16:16" x14ac:dyDescent="0.25">
      <c r="P1215" s="13"/>
    </row>
    <row r="1216" spans="16:16" x14ac:dyDescent="0.25">
      <c r="P1216" s="13"/>
    </row>
    <row r="1217" spans="16:16" x14ac:dyDescent="0.25">
      <c r="P1217" s="13"/>
    </row>
    <row r="1218" spans="16:16" x14ac:dyDescent="0.25">
      <c r="P1218" s="13"/>
    </row>
    <row r="1219" spans="16:16" x14ac:dyDescent="0.25">
      <c r="P1219" s="13"/>
    </row>
    <row r="1220" spans="16:16" x14ac:dyDescent="0.25">
      <c r="P1220" s="13"/>
    </row>
    <row r="1221" spans="16:16" x14ac:dyDescent="0.25">
      <c r="P1221" s="13"/>
    </row>
    <row r="1222" spans="16:16" x14ac:dyDescent="0.25">
      <c r="P1222" s="13"/>
    </row>
    <row r="1223" spans="16:16" x14ac:dyDescent="0.25">
      <c r="P1223" s="13"/>
    </row>
    <row r="1224" spans="16:16" x14ac:dyDescent="0.25">
      <c r="P1224" s="13"/>
    </row>
    <row r="1225" spans="16:16" x14ac:dyDescent="0.25">
      <c r="P1225" s="13"/>
    </row>
    <row r="1226" spans="16:16" x14ac:dyDescent="0.25">
      <c r="P1226" s="13"/>
    </row>
    <row r="1227" spans="16:16" x14ac:dyDescent="0.25">
      <c r="P1227" s="13"/>
    </row>
    <row r="1228" spans="16:16" x14ac:dyDescent="0.25">
      <c r="P1228" s="13"/>
    </row>
    <row r="1229" spans="16:16" x14ac:dyDescent="0.25">
      <c r="P1229" s="13"/>
    </row>
    <row r="1230" spans="16:16" x14ac:dyDescent="0.25">
      <c r="P1230" s="13"/>
    </row>
    <row r="1231" spans="16:16" x14ac:dyDescent="0.25">
      <c r="P1231" s="13"/>
    </row>
    <row r="1232" spans="16:16" x14ac:dyDescent="0.25">
      <c r="P1232" s="13"/>
    </row>
    <row r="1233" spans="16:16" x14ac:dyDescent="0.25">
      <c r="P1233" s="13"/>
    </row>
    <row r="1234" spans="16:16" x14ac:dyDescent="0.25">
      <c r="P1234" s="13"/>
    </row>
    <row r="1235" spans="16:16" x14ac:dyDescent="0.25">
      <c r="P1235" s="13"/>
    </row>
    <row r="1236" spans="16:16" x14ac:dyDescent="0.25">
      <c r="P1236" s="13"/>
    </row>
    <row r="1237" spans="16:16" x14ac:dyDescent="0.25">
      <c r="P1237" s="13"/>
    </row>
    <row r="1238" spans="16:16" x14ac:dyDescent="0.25">
      <c r="P1238" s="13"/>
    </row>
    <row r="1239" spans="16:16" x14ac:dyDescent="0.25">
      <c r="P1239" s="13"/>
    </row>
    <row r="1240" spans="16:16" x14ac:dyDescent="0.25">
      <c r="P1240" s="13"/>
    </row>
    <row r="1241" spans="16:16" x14ac:dyDescent="0.25">
      <c r="P1241" s="13"/>
    </row>
    <row r="1242" spans="16:16" x14ac:dyDescent="0.25">
      <c r="P1242" s="13"/>
    </row>
    <row r="1243" spans="16:16" x14ac:dyDescent="0.25">
      <c r="P1243" s="13"/>
    </row>
    <row r="1244" spans="16:16" x14ac:dyDescent="0.25">
      <c r="P1244" s="13"/>
    </row>
    <row r="1245" spans="16:16" x14ac:dyDescent="0.25">
      <c r="P1245" s="13"/>
    </row>
    <row r="1246" spans="16:16" x14ac:dyDescent="0.25">
      <c r="P1246" s="13"/>
    </row>
    <row r="1247" spans="16:16" x14ac:dyDescent="0.25">
      <c r="P1247" s="13"/>
    </row>
    <row r="1248" spans="16:16" x14ac:dyDescent="0.25">
      <c r="P1248" s="13"/>
    </row>
    <row r="1249" spans="16:16" x14ac:dyDescent="0.25">
      <c r="P1249" s="13"/>
    </row>
    <row r="1250" spans="16:16" x14ac:dyDescent="0.25">
      <c r="P1250" s="13"/>
    </row>
    <row r="1251" spans="16:16" x14ac:dyDescent="0.25">
      <c r="P1251" s="13"/>
    </row>
    <row r="1252" spans="16:16" x14ac:dyDescent="0.25">
      <c r="P1252" s="13"/>
    </row>
    <row r="1253" spans="16:16" x14ac:dyDescent="0.25">
      <c r="P1253" s="13"/>
    </row>
    <row r="1254" spans="16:16" x14ac:dyDescent="0.25">
      <c r="P1254" s="13"/>
    </row>
    <row r="1255" spans="16:16" x14ac:dyDescent="0.25">
      <c r="P1255" s="13"/>
    </row>
    <row r="1256" spans="16:16" x14ac:dyDescent="0.25">
      <c r="P1256" s="13"/>
    </row>
    <row r="1257" spans="16:16" x14ac:dyDescent="0.25">
      <c r="P1257" s="13"/>
    </row>
    <row r="1258" spans="16:16" x14ac:dyDescent="0.25">
      <c r="P1258" s="13"/>
    </row>
    <row r="1259" spans="16:16" x14ac:dyDescent="0.25">
      <c r="P1259" s="13"/>
    </row>
    <row r="1260" spans="16:16" x14ac:dyDescent="0.25">
      <c r="P1260" s="13"/>
    </row>
    <row r="1261" spans="16:16" x14ac:dyDescent="0.25">
      <c r="P1261" s="13"/>
    </row>
    <row r="1262" spans="16:16" x14ac:dyDescent="0.25">
      <c r="P1262" s="13"/>
    </row>
    <row r="1263" spans="16:16" x14ac:dyDescent="0.25">
      <c r="P1263" s="13"/>
    </row>
    <row r="1264" spans="16:16" x14ac:dyDescent="0.25">
      <c r="P1264" s="13"/>
    </row>
    <row r="1265" spans="16:16" x14ac:dyDescent="0.25">
      <c r="P1265" s="13"/>
    </row>
    <row r="1266" spans="16:16" x14ac:dyDescent="0.25">
      <c r="P1266" s="13"/>
    </row>
    <row r="1267" spans="16:16" x14ac:dyDescent="0.25">
      <c r="P1267" s="13"/>
    </row>
    <row r="1268" spans="16:16" x14ac:dyDescent="0.25">
      <c r="P1268" s="13"/>
    </row>
    <row r="1269" spans="16:16" x14ac:dyDescent="0.25">
      <c r="P1269" s="13"/>
    </row>
    <row r="1270" spans="16:16" x14ac:dyDescent="0.25">
      <c r="P1270" s="13"/>
    </row>
    <row r="1271" spans="16:16" x14ac:dyDescent="0.25">
      <c r="P1271" s="13"/>
    </row>
    <row r="1272" spans="16:16" x14ac:dyDescent="0.25">
      <c r="P1272" s="13"/>
    </row>
    <row r="1273" spans="16:16" x14ac:dyDescent="0.25">
      <c r="P1273" s="13"/>
    </row>
    <row r="1274" spans="16:16" x14ac:dyDescent="0.25">
      <c r="P1274" s="13"/>
    </row>
    <row r="1275" spans="16:16" x14ac:dyDescent="0.25">
      <c r="P1275" s="13"/>
    </row>
    <row r="1276" spans="16:16" x14ac:dyDescent="0.25">
      <c r="P1276" s="13"/>
    </row>
    <row r="1277" spans="16:16" x14ac:dyDescent="0.25">
      <c r="P1277" s="13"/>
    </row>
    <row r="1278" spans="16:16" x14ac:dyDescent="0.25">
      <c r="P1278" s="13"/>
    </row>
    <row r="1279" spans="16:16" x14ac:dyDescent="0.25">
      <c r="P1279" s="13"/>
    </row>
    <row r="1280" spans="16:16" x14ac:dyDescent="0.25">
      <c r="P1280" s="13"/>
    </row>
    <row r="1281" spans="16:16" x14ac:dyDescent="0.25">
      <c r="P1281" s="13"/>
    </row>
    <row r="1282" spans="16:16" x14ac:dyDescent="0.25">
      <c r="P1282" s="13"/>
    </row>
    <row r="1283" spans="16:16" x14ac:dyDescent="0.25">
      <c r="P1283" s="13"/>
    </row>
    <row r="1284" spans="16:16" x14ac:dyDescent="0.25">
      <c r="P1284" s="13"/>
    </row>
    <row r="1285" spans="16:16" x14ac:dyDescent="0.25">
      <c r="P1285" s="13"/>
    </row>
    <row r="1286" spans="16:16" x14ac:dyDescent="0.25">
      <c r="P1286" s="13"/>
    </row>
    <row r="1287" spans="16:16" x14ac:dyDescent="0.25">
      <c r="P1287" s="13"/>
    </row>
    <row r="1288" spans="16:16" x14ac:dyDescent="0.25">
      <c r="P1288" s="13"/>
    </row>
    <row r="1289" spans="16:16" x14ac:dyDescent="0.25">
      <c r="P1289" s="13"/>
    </row>
    <row r="1290" spans="16:16" x14ac:dyDescent="0.25">
      <c r="P1290" s="13"/>
    </row>
    <row r="1291" spans="16:16" x14ac:dyDescent="0.25">
      <c r="P1291" s="13"/>
    </row>
    <row r="1292" spans="16:16" x14ac:dyDescent="0.25">
      <c r="P1292" s="13"/>
    </row>
    <row r="1293" spans="16:16" x14ac:dyDescent="0.25">
      <c r="P1293" s="13"/>
    </row>
    <row r="1294" spans="16:16" x14ac:dyDescent="0.25">
      <c r="P1294" s="13"/>
    </row>
    <row r="1295" spans="16:16" x14ac:dyDescent="0.25">
      <c r="P1295" s="13"/>
    </row>
    <row r="1296" spans="16:16" x14ac:dyDescent="0.25">
      <c r="P1296" s="13"/>
    </row>
    <row r="1297" spans="16:16" x14ac:dyDescent="0.25">
      <c r="P1297" s="13"/>
    </row>
    <row r="1298" spans="16:16" x14ac:dyDescent="0.25">
      <c r="P1298" s="13"/>
    </row>
    <row r="1299" spans="16:16" x14ac:dyDescent="0.25">
      <c r="P1299" s="13"/>
    </row>
    <row r="1300" spans="16:16" x14ac:dyDescent="0.25">
      <c r="P1300" s="13"/>
    </row>
    <row r="1301" spans="16:16" x14ac:dyDescent="0.25">
      <c r="P1301" s="13"/>
    </row>
    <row r="1302" spans="16:16" x14ac:dyDescent="0.25">
      <c r="P1302" s="13"/>
    </row>
    <row r="1303" spans="16:16" x14ac:dyDescent="0.25">
      <c r="P1303" s="13"/>
    </row>
    <row r="1304" spans="16:16" x14ac:dyDescent="0.25">
      <c r="P1304" s="13"/>
    </row>
    <row r="1305" spans="16:16" x14ac:dyDescent="0.25">
      <c r="P1305" s="13"/>
    </row>
    <row r="1306" spans="16:16" x14ac:dyDescent="0.25">
      <c r="P1306" s="13"/>
    </row>
    <row r="1307" spans="16:16" x14ac:dyDescent="0.25">
      <c r="P1307" s="13"/>
    </row>
    <row r="1308" spans="16:16" x14ac:dyDescent="0.25">
      <c r="P1308" s="13"/>
    </row>
    <row r="1309" spans="16:16" x14ac:dyDescent="0.25">
      <c r="P1309" s="13"/>
    </row>
    <row r="1310" spans="16:16" x14ac:dyDescent="0.25">
      <c r="P1310" s="13"/>
    </row>
    <row r="1311" spans="16:16" x14ac:dyDescent="0.25">
      <c r="P1311" s="13"/>
    </row>
    <row r="1312" spans="16:16" x14ac:dyDescent="0.25">
      <c r="P1312" s="13"/>
    </row>
    <row r="1313" spans="16:16" x14ac:dyDescent="0.25">
      <c r="P1313" s="13"/>
    </row>
    <row r="1314" spans="16:16" x14ac:dyDescent="0.25">
      <c r="P1314" s="13"/>
    </row>
    <row r="1315" spans="16:16" x14ac:dyDescent="0.25">
      <c r="P1315" s="13"/>
    </row>
    <row r="1316" spans="16:16" x14ac:dyDescent="0.25">
      <c r="P1316" s="13"/>
    </row>
    <row r="1317" spans="16:16" x14ac:dyDescent="0.25">
      <c r="P1317" s="13"/>
    </row>
    <row r="1318" spans="16:16" x14ac:dyDescent="0.25">
      <c r="P1318" s="13"/>
    </row>
    <row r="1319" spans="16:16" x14ac:dyDescent="0.25">
      <c r="P1319" s="13"/>
    </row>
    <row r="1320" spans="16:16" x14ac:dyDescent="0.25">
      <c r="P1320" s="13"/>
    </row>
    <row r="1321" spans="16:16" x14ac:dyDescent="0.25">
      <c r="P1321" s="13"/>
    </row>
    <row r="1322" spans="16:16" x14ac:dyDescent="0.25">
      <c r="P1322" s="13"/>
    </row>
    <row r="1323" spans="16:16" x14ac:dyDescent="0.25">
      <c r="P1323" s="13"/>
    </row>
    <row r="1324" spans="16:16" x14ac:dyDescent="0.25">
      <c r="P1324" s="13"/>
    </row>
    <row r="1325" spans="16:16" x14ac:dyDescent="0.25">
      <c r="P1325" s="13"/>
    </row>
    <row r="1326" spans="16:16" x14ac:dyDescent="0.25">
      <c r="P1326" s="13"/>
    </row>
    <row r="1327" spans="16:16" x14ac:dyDescent="0.25">
      <c r="P1327" s="13"/>
    </row>
    <row r="1328" spans="16:16" x14ac:dyDescent="0.25">
      <c r="P1328" s="13"/>
    </row>
    <row r="1329" spans="16:16" x14ac:dyDescent="0.25">
      <c r="P1329" s="13"/>
    </row>
    <row r="1330" spans="16:16" x14ac:dyDescent="0.25">
      <c r="P1330" s="13"/>
    </row>
    <row r="1331" spans="16:16" x14ac:dyDescent="0.25">
      <c r="P1331" s="13"/>
    </row>
    <row r="1332" spans="16:16" x14ac:dyDescent="0.25">
      <c r="P1332" s="13"/>
    </row>
    <row r="1333" spans="16:16" x14ac:dyDescent="0.25">
      <c r="P1333" s="13"/>
    </row>
    <row r="1334" spans="16:16" x14ac:dyDescent="0.25">
      <c r="P1334" s="13"/>
    </row>
    <row r="1335" spans="16:16" x14ac:dyDescent="0.25">
      <c r="P1335" s="13"/>
    </row>
    <row r="1336" spans="16:16" x14ac:dyDescent="0.25">
      <c r="P1336" s="13"/>
    </row>
    <row r="1337" spans="16:16" x14ac:dyDescent="0.25">
      <c r="P1337" s="13"/>
    </row>
    <row r="1338" spans="16:16" x14ac:dyDescent="0.25">
      <c r="P1338" s="13"/>
    </row>
    <row r="1339" spans="16:16" x14ac:dyDescent="0.25">
      <c r="P1339" s="13"/>
    </row>
    <row r="1340" spans="16:16" x14ac:dyDescent="0.25">
      <c r="P1340" s="13"/>
    </row>
    <row r="1341" spans="16:16" x14ac:dyDescent="0.25">
      <c r="P1341" s="13"/>
    </row>
    <row r="1342" spans="16:16" x14ac:dyDescent="0.25">
      <c r="P1342" s="13"/>
    </row>
    <row r="1343" spans="16:16" x14ac:dyDescent="0.25">
      <c r="P1343" s="13"/>
    </row>
    <row r="1344" spans="16:16" x14ac:dyDescent="0.25">
      <c r="P1344" s="13"/>
    </row>
    <row r="1345" spans="16:16" x14ac:dyDescent="0.25">
      <c r="P1345" s="13"/>
    </row>
    <row r="1346" spans="16:16" x14ac:dyDescent="0.25">
      <c r="P1346" s="13"/>
    </row>
    <row r="1347" spans="16:16" x14ac:dyDescent="0.25">
      <c r="P1347" s="13"/>
    </row>
    <row r="1348" spans="16:16" x14ac:dyDescent="0.25">
      <c r="P1348" s="13"/>
    </row>
    <row r="1349" spans="16:16" x14ac:dyDescent="0.25">
      <c r="P1349" s="13"/>
    </row>
    <row r="1350" spans="16:16" x14ac:dyDescent="0.25">
      <c r="P1350" s="13"/>
    </row>
    <row r="1351" spans="16:16" x14ac:dyDescent="0.25">
      <c r="P1351" s="13"/>
    </row>
    <row r="1352" spans="16:16" x14ac:dyDescent="0.25">
      <c r="P1352" s="13"/>
    </row>
    <row r="1353" spans="16:16" x14ac:dyDescent="0.25">
      <c r="P1353" s="13"/>
    </row>
    <row r="1354" spans="16:16" x14ac:dyDescent="0.25">
      <c r="P1354" s="13"/>
    </row>
    <row r="1355" spans="16:16" x14ac:dyDescent="0.25">
      <c r="P1355" s="13"/>
    </row>
    <row r="1356" spans="16:16" x14ac:dyDescent="0.25">
      <c r="P1356" s="13"/>
    </row>
    <row r="1357" spans="16:16" x14ac:dyDescent="0.25">
      <c r="P1357" s="13"/>
    </row>
    <row r="1358" spans="16:16" x14ac:dyDescent="0.25">
      <c r="P1358" s="13"/>
    </row>
    <row r="1359" spans="16:16" x14ac:dyDescent="0.25">
      <c r="P1359" s="13"/>
    </row>
    <row r="1360" spans="16:16" x14ac:dyDescent="0.25">
      <c r="P1360" s="13"/>
    </row>
    <row r="1361" spans="16:16" x14ac:dyDescent="0.25">
      <c r="P1361" s="13"/>
    </row>
    <row r="1362" spans="16:16" x14ac:dyDescent="0.25">
      <c r="P1362" s="13"/>
    </row>
    <row r="1363" spans="16:16" x14ac:dyDescent="0.25">
      <c r="P1363" s="13"/>
    </row>
    <row r="1364" spans="16:16" x14ac:dyDescent="0.25">
      <c r="P1364" s="13"/>
    </row>
    <row r="1365" spans="16:16" x14ac:dyDescent="0.25">
      <c r="P1365" s="13"/>
    </row>
    <row r="1366" spans="16:16" x14ac:dyDescent="0.25">
      <c r="P1366" s="13"/>
    </row>
    <row r="1367" spans="16:16" x14ac:dyDescent="0.25">
      <c r="P1367" s="13"/>
    </row>
    <row r="1368" spans="16:16" x14ac:dyDescent="0.25">
      <c r="P1368" s="13"/>
    </row>
    <row r="1369" spans="16:16" x14ac:dyDescent="0.25">
      <c r="P1369" s="13"/>
    </row>
    <row r="1370" spans="16:16" x14ac:dyDescent="0.25">
      <c r="P1370" s="13"/>
    </row>
    <row r="1371" spans="16:16" x14ac:dyDescent="0.25">
      <c r="P1371" s="13"/>
    </row>
    <row r="1372" spans="16:16" x14ac:dyDescent="0.25">
      <c r="P1372" s="13"/>
    </row>
    <row r="1373" spans="16:16" x14ac:dyDescent="0.25">
      <c r="P1373" s="13"/>
    </row>
    <row r="1374" spans="16:16" x14ac:dyDescent="0.25">
      <c r="P1374" s="13"/>
    </row>
    <row r="1375" spans="16:16" x14ac:dyDescent="0.25">
      <c r="P1375" s="13"/>
    </row>
    <row r="1376" spans="16:16" x14ac:dyDescent="0.25">
      <c r="P1376" s="13"/>
    </row>
    <row r="1377" spans="16:16" x14ac:dyDescent="0.25">
      <c r="P1377" s="13"/>
    </row>
    <row r="1378" spans="16:16" x14ac:dyDescent="0.25">
      <c r="P1378" s="13"/>
    </row>
    <row r="1379" spans="16:16" x14ac:dyDescent="0.25">
      <c r="P1379" s="13"/>
    </row>
    <row r="1380" spans="16:16" x14ac:dyDescent="0.25">
      <c r="P1380" s="13"/>
    </row>
    <row r="1381" spans="16:16" x14ac:dyDescent="0.25">
      <c r="P1381" s="13"/>
    </row>
    <row r="1382" spans="16:16" x14ac:dyDescent="0.25">
      <c r="P1382" s="13"/>
    </row>
    <row r="1383" spans="16:16" x14ac:dyDescent="0.25">
      <c r="P1383" s="13"/>
    </row>
    <row r="1384" spans="16:16" x14ac:dyDescent="0.25">
      <c r="P1384" s="13"/>
    </row>
    <row r="1385" spans="16:16" x14ac:dyDescent="0.25">
      <c r="P1385" s="13"/>
    </row>
    <row r="1386" spans="16:16" x14ac:dyDescent="0.25">
      <c r="P1386" s="13"/>
    </row>
    <row r="1387" spans="16:16" x14ac:dyDescent="0.25">
      <c r="P1387" s="13"/>
    </row>
    <row r="1388" spans="16:16" x14ac:dyDescent="0.25">
      <c r="P1388" s="13"/>
    </row>
    <row r="1389" spans="16:16" x14ac:dyDescent="0.25">
      <c r="P1389" s="13"/>
    </row>
    <row r="1390" spans="16:16" x14ac:dyDescent="0.25">
      <c r="P1390" s="13"/>
    </row>
    <row r="1391" spans="16:16" x14ac:dyDescent="0.25">
      <c r="P1391" s="13"/>
    </row>
    <row r="1392" spans="16:16" x14ac:dyDescent="0.25">
      <c r="P1392" s="13"/>
    </row>
    <row r="1393" spans="16:16" x14ac:dyDescent="0.25">
      <c r="P1393" s="13"/>
    </row>
    <row r="1394" spans="16:16" x14ac:dyDescent="0.25">
      <c r="P1394" s="13"/>
    </row>
    <row r="1395" spans="16:16" x14ac:dyDescent="0.25">
      <c r="P1395" s="13"/>
    </row>
    <row r="1396" spans="16:16" x14ac:dyDescent="0.25">
      <c r="P1396" s="13"/>
    </row>
    <row r="1397" spans="16:16" x14ac:dyDescent="0.25">
      <c r="P1397" s="13"/>
    </row>
    <row r="1398" spans="16:16" x14ac:dyDescent="0.25">
      <c r="P1398" s="13"/>
    </row>
    <row r="1399" spans="16:16" x14ac:dyDescent="0.25">
      <c r="P1399" s="13"/>
    </row>
    <row r="1400" spans="16:16" x14ac:dyDescent="0.25">
      <c r="P1400" s="13"/>
    </row>
    <row r="1401" spans="16:16" x14ac:dyDescent="0.25">
      <c r="P1401" s="13"/>
    </row>
    <row r="1402" spans="16:16" x14ac:dyDescent="0.25">
      <c r="P1402" s="13"/>
    </row>
    <row r="1403" spans="16:16" x14ac:dyDescent="0.25">
      <c r="P1403" s="13"/>
    </row>
    <row r="1404" spans="16:16" x14ac:dyDescent="0.25">
      <c r="P1404" s="13"/>
    </row>
    <row r="1405" spans="16:16" x14ac:dyDescent="0.25">
      <c r="P1405" s="13"/>
    </row>
    <row r="1406" spans="16:16" x14ac:dyDescent="0.25">
      <c r="P1406" s="13"/>
    </row>
    <row r="1407" spans="16:16" x14ac:dyDescent="0.25">
      <c r="P1407" s="13"/>
    </row>
    <row r="1408" spans="16:16" x14ac:dyDescent="0.25">
      <c r="P1408" s="13"/>
    </row>
    <row r="1409" spans="16:16" x14ac:dyDescent="0.25">
      <c r="P1409" s="13"/>
    </row>
    <row r="1410" spans="16:16" x14ac:dyDescent="0.25">
      <c r="P1410" s="13"/>
    </row>
    <row r="1411" spans="16:16" x14ac:dyDescent="0.25">
      <c r="P1411" s="13"/>
    </row>
    <row r="1412" spans="16:16" x14ac:dyDescent="0.25">
      <c r="P1412" s="13"/>
    </row>
    <row r="1413" spans="16:16" x14ac:dyDescent="0.25">
      <c r="P1413" s="13"/>
    </row>
    <row r="1414" spans="16:16" x14ac:dyDescent="0.25">
      <c r="P1414" s="13"/>
    </row>
    <row r="1415" spans="16:16" x14ac:dyDescent="0.25">
      <c r="P1415" s="13"/>
    </row>
    <row r="1416" spans="16:16" x14ac:dyDescent="0.25">
      <c r="P1416" s="13"/>
    </row>
    <row r="1417" spans="16:16" x14ac:dyDescent="0.25">
      <c r="P1417" s="13"/>
    </row>
    <row r="1418" spans="16:16" x14ac:dyDescent="0.25">
      <c r="P1418" s="13"/>
    </row>
    <row r="1419" spans="16:16" x14ac:dyDescent="0.25">
      <c r="P1419" s="13"/>
    </row>
    <row r="1420" spans="16:16" x14ac:dyDescent="0.25">
      <c r="P1420" s="13"/>
    </row>
    <row r="1421" spans="16:16" x14ac:dyDescent="0.25">
      <c r="P1421" s="13"/>
    </row>
    <row r="1422" spans="16:16" x14ac:dyDescent="0.25">
      <c r="P1422" s="13"/>
    </row>
    <row r="1423" spans="16:16" x14ac:dyDescent="0.25">
      <c r="P1423" s="13"/>
    </row>
    <row r="1424" spans="16:16" x14ac:dyDescent="0.25">
      <c r="P1424" s="13"/>
    </row>
    <row r="1425" spans="16:16" x14ac:dyDescent="0.25">
      <c r="P1425" s="13"/>
    </row>
    <row r="1426" spans="16:16" x14ac:dyDescent="0.25">
      <c r="P1426" s="13"/>
    </row>
    <row r="1427" spans="16:16" x14ac:dyDescent="0.25">
      <c r="P1427" s="13"/>
    </row>
    <row r="1428" spans="16:16" x14ac:dyDescent="0.25">
      <c r="P1428" s="13"/>
    </row>
    <row r="1429" spans="16:16" x14ac:dyDescent="0.25">
      <c r="P1429" s="13"/>
    </row>
    <row r="1430" spans="16:16" x14ac:dyDescent="0.25">
      <c r="P1430" s="13"/>
    </row>
    <row r="1431" spans="16:16" x14ac:dyDescent="0.25">
      <c r="P1431" s="13"/>
    </row>
    <row r="1432" spans="16:16" x14ac:dyDescent="0.25">
      <c r="P1432" s="13"/>
    </row>
    <row r="1433" spans="16:16" x14ac:dyDescent="0.25">
      <c r="P1433" s="13"/>
    </row>
    <row r="1434" spans="16:16" x14ac:dyDescent="0.25">
      <c r="P1434" s="13"/>
    </row>
    <row r="1435" spans="16:16" x14ac:dyDescent="0.25">
      <c r="P1435" s="13"/>
    </row>
    <row r="1436" spans="16:16" x14ac:dyDescent="0.25">
      <c r="P1436" s="13"/>
    </row>
    <row r="1437" spans="16:16" x14ac:dyDescent="0.25">
      <c r="P1437" s="13"/>
    </row>
    <row r="1438" spans="16:16" x14ac:dyDescent="0.25">
      <c r="P1438" s="13"/>
    </row>
    <row r="1439" spans="16:16" x14ac:dyDescent="0.25">
      <c r="P1439" s="13"/>
    </row>
    <row r="1440" spans="16:16" x14ac:dyDescent="0.25">
      <c r="P1440" s="13"/>
    </row>
    <row r="1441" spans="16:16" x14ac:dyDescent="0.25">
      <c r="P1441" s="13"/>
    </row>
    <row r="1442" spans="16:16" x14ac:dyDescent="0.25">
      <c r="P1442" s="13"/>
    </row>
    <row r="1443" spans="16:16" x14ac:dyDescent="0.25">
      <c r="P1443" s="13"/>
    </row>
    <row r="1444" spans="16:16" x14ac:dyDescent="0.25">
      <c r="P1444" s="13"/>
    </row>
    <row r="1445" spans="16:16" x14ac:dyDescent="0.25">
      <c r="P1445" s="13"/>
    </row>
    <row r="1446" spans="16:16" x14ac:dyDescent="0.25">
      <c r="P1446" s="13"/>
    </row>
    <row r="1447" spans="16:16" x14ac:dyDescent="0.25">
      <c r="P1447" s="13"/>
    </row>
    <row r="1448" spans="16:16" x14ac:dyDescent="0.25">
      <c r="P1448" s="13"/>
    </row>
    <row r="1449" spans="16:16" x14ac:dyDescent="0.25">
      <c r="P1449" s="13"/>
    </row>
    <row r="1450" spans="16:16" x14ac:dyDescent="0.25">
      <c r="P1450" s="13"/>
    </row>
    <row r="1451" spans="16:16" x14ac:dyDescent="0.25">
      <c r="P1451" s="13"/>
    </row>
    <row r="1452" spans="16:16" x14ac:dyDescent="0.25">
      <c r="P1452" s="13"/>
    </row>
    <row r="1453" spans="16:16" x14ac:dyDescent="0.25">
      <c r="P1453" s="13"/>
    </row>
    <row r="1454" spans="16:16" x14ac:dyDescent="0.25">
      <c r="P1454" s="13"/>
    </row>
    <row r="1455" spans="16:16" x14ac:dyDescent="0.25">
      <c r="P1455" s="13"/>
    </row>
    <row r="1456" spans="16:16" x14ac:dyDescent="0.25">
      <c r="P1456" s="13"/>
    </row>
    <row r="1457" spans="16:16" x14ac:dyDescent="0.25">
      <c r="P1457" s="13"/>
    </row>
    <row r="1458" spans="16:16" x14ac:dyDescent="0.25">
      <c r="P1458" s="13"/>
    </row>
    <row r="1459" spans="16:16" x14ac:dyDescent="0.25">
      <c r="P1459" s="13"/>
    </row>
    <row r="1460" spans="16:16" x14ac:dyDescent="0.25">
      <c r="P1460" s="13"/>
    </row>
    <row r="1461" spans="16:16" x14ac:dyDescent="0.25">
      <c r="P1461" s="13"/>
    </row>
    <row r="1462" spans="16:16" x14ac:dyDescent="0.25">
      <c r="P1462" s="13"/>
    </row>
    <row r="1463" spans="16:16" x14ac:dyDescent="0.25">
      <c r="P1463" s="13"/>
    </row>
    <row r="1464" spans="16:16" x14ac:dyDescent="0.25">
      <c r="P1464" s="13"/>
    </row>
    <row r="1465" spans="16:16" x14ac:dyDescent="0.25">
      <c r="P1465" s="13"/>
    </row>
    <row r="1466" spans="16:16" x14ac:dyDescent="0.25">
      <c r="P1466" s="13"/>
    </row>
    <row r="1467" spans="16:16" x14ac:dyDescent="0.25">
      <c r="P1467" s="13"/>
    </row>
    <row r="1468" spans="16:16" x14ac:dyDescent="0.25">
      <c r="P1468" s="13"/>
    </row>
    <row r="1469" spans="16:16" x14ac:dyDescent="0.25">
      <c r="P1469" s="13"/>
    </row>
    <row r="1470" spans="16:16" x14ac:dyDescent="0.25">
      <c r="P1470" s="13"/>
    </row>
    <row r="1471" spans="16:16" x14ac:dyDescent="0.25">
      <c r="P1471" s="13"/>
    </row>
    <row r="1472" spans="16:16" x14ac:dyDescent="0.25">
      <c r="P1472" s="13"/>
    </row>
    <row r="1473" spans="16:16" x14ac:dyDescent="0.25">
      <c r="P1473" s="13"/>
    </row>
    <row r="1474" spans="16:16" x14ac:dyDescent="0.25">
      <c r="P1474" s="13"/>
    </row>
    <row r="1475" spans="16:16" x14ac:dyDescent="0.25">
      <c r="P1475" s="13"/>
    </row>
    <row r="1476" spans="16:16" x14ac:dyDescent="0.25">
      <c r="P1476" s="13"/>
    </row>
    <row r="1477" spans="16:16" x14ac:dyDescent="0.25">
      <c r="P1477" s="13"/>
    </row>
    <row r="1478" spans="16:16" x14ac:dyDescent="0.25">
      <c r="P1478" s="13"/>
    </row>
    <row r="1479" spans="16:16" x14ac:dyDescent="0.25">
      <c r="P1479" s="13"/>
    </row>
    <row r="1480" spans="16:16" x14ac:dyDescent="0.25">
      <c r="P1480" s="13"/>
    </row>
    <row r="1481" spans="16:16" x14ac:dyDescent="0.25">
      <c r="P1481" s="13"/>
    </row>
    <row r="1482" spans="16:16" x14ac:dyDescent="0.25">
      <c r="P1482" s="13"/>
    </row>
    <row r="1483" spans="16:16" x14ac:dyDescent="0.25">
      <c r="P1483" s="13"/>
    </row>
    <row r="1484" spans="16:16" x14ac:dyDescent="0.25">
      <c r="P1484" s="13"/>
    </row>
    <row r="1485" spans="16:16" x14ac:dyDescent="0.25">
      <c r="P1485" s="13"/>
    </row>
    <row r="1486" spans="16:16" x14ac:dyDescent="0.25">
      <c r="P1486" s="13"/>
    </row>
    <row r="1487" spans="16:16" x14ac:dyDescent="0.25">
      <c r="P1487" s="13"/>
    </row>
    <row r="1488" spans="16:16" x14ac:dyDescent="0.25">
      <c r="P1488" s="13"/>
    </row>
    <row r="1489" spans="16:16" x14ac:dyDescent="0.25">
      <c r="P1489" s="13"/>
    </row>
    <row r="1490" spans="16:16" x14ac:dyDescent="0.25">
      <c r="P1490" s="13"/>
    </row>
    <row r="1491" spans="16:16" x14ac:dyDescent="0.25">
      <c r="P1491" s="13"/>
    </row>
    <row r="1492" spans="16:16" x14ac:dyDescent="0.25">
      <c r="P1492" s="13"/>
    </row>
    <row r="1493" spans="16:16" x14ac:dyDescent="0.25">
      <c r="P1493" s="13"/>
    </row>
    <row r="1494" spans="16:16" x14ac:dyDescent="0.25">
      <c r="P1494" s="13"/>
    </row>
    <row r="1495" spans="16:16" x14ac:dyDescent="0.25">
      <c r="P1495" s="13"/>
    </row>
    <row r="1496" spans="16:16" x14ac:dyDescent="0.25">
      <c r="P1496" s="13"/>
    </row>
    <row r="1497" spans="16:16" x14ac:dyDescent="0.25">
      <c r="P1497" s="13"/>
    </row>
    <row r="1498" spans="16:16" x14ac:dyDescent="0.25">
      <c r="P1498" s="13"/>
    </row>
    <row r="1499" spans="16:16" x14ac:dyDescent="0.25">
      <c r="P1499" s="13"/>
    </row>
    <row r="1500" spans="16:16" x14ac:dyDescent="0.25">
      <c r="P1500" s="13"/>
    </row>
    <row r="1501" spans="16:16" x14ac:dyDescent="0.25">
      <c r="P1501" s="13"/>
    </row>
    <row r="1502" spans="16:16" x14ac:dyDescent="0.25">
      <c r="P1502" s="13"/>
    </row>
    <row r="1503" spans="16:16" x14ac:dyDescent="0.25">
      <c r="P1503" s="13"/>
    </row>
    <row r="1504" spans="16:16" x14ac:dyDescent="0.25">
      <c r="P1504" s="13"/>
    </row>
    <row r="1505" spans="16:16" x14ac:dyDescent="0.25">
      <c r="P1505" s="13"/>
    </row>
    <row r="1506" spans="16:16" x14ac:dyDescent="0.25">
      <c r="P1506" s="13"/>
    </row>
    <row r="1507" spans="16:16" x14ac:dyDescent="0.25">
      <c r="P1507" s="13"/>
    </row>
    <row r="1508" spans="16:16" x14ac:dyDescent="0.25">
      <c r="P1508" s="13"/>
    </row>
    <row r="1509" spans="16:16" x14ac:dyDescent="0.25">
      <c r="P1509" s="13"/>
    </row>
    <row r="1510" spans="16:16" x14ac:dyDescent="0.25">
      <c r="P1510" s="13"/>
    </row>
    <row r="1511" spans="16:16" x14ac:dyDescent="0.25">
      <c r="P1511" s="13"/>
    </row>
    <row r="1512" spans="16:16" x14ac:dyDescent="0.25">
      <c r="P1512" s="13"/>
    </row>
    <row r="1513" spans="16:16" x14ac:dyDescent="0.25">
      <c r="P1513" s="13"/>
    </row>
    <row r="1514" spans="16:16" x14ac:dyDescent="0.25">
      <c r="P1514" s="13"/>
    </row>
    <row r="1515" spans="16:16" x14ac:dyDescent="0.25">
      <c r="P1515" s="13"/>
    </row>
    <row r="1516" spans="16:16" x14ac:dyDescent="0.25">
      <c r="P1516" s="13"/>
    </row>
    <row r="1517" spans="16:16" x14ac:dyDescent="0.25">
      <c r="P1517" s="13"/>
    </row>
    <row r="1518" spans="16:16" x14ac:dyDescent="0.25">
      <c r="P1518" s="13"/>
    </row>
    <row r="1519" spans="16:16" x14ac:dyDescent="0.25">
      <c r="P1519" s="13"/>
    </row>
    <row r="1520" spans="16:16" x14ac:dyDescent="0.25">
      <c r="P1520" s="13"/>
    </row>
    <row r="1521" spans="16:16" x14ac:dyDescent="0.25">
      <c r="P1521" s="13"/>
    </row>
    <row r="1522" spans="16:16" x14ac:dyDescent="0.25">
      <c r="P1522" s="13"/>
    </row>
    <row r="1523" spans="16:16" x14ac:dyDescent="0.25">
      <c r="P1523" s="13"/>
    </row>
    <row r="1524" spans="16:16" x14ac:dyDescent="0.25">
      <c r="P1524" s="13"/>
    </row>
    <row r="1525" spans="16:16" x14ac:dyDescent="0.25">
      <c r="P1525" s="13"/>
    </row>
    <row r="1526" spans="16:16" x14ac:dyDescent="0.25">
      <c r="P1526" s="13"/>
    </row>
    <row r="1527" spans="16:16" x14ac:dyDescent="0.25">
      <c r="P1527" s="13"/>
    </row>
    <row r="1528" spans="16:16" x14ac:dyDescent="0.25">
      <c r="P1528" s="13"/>
    </row>
    <row r="1529" spans="16:16" x14ac:dyDescent="0.25">
      <c r="P1529" s="13"/>
    </row>
    <row r="1530" spans="16:16" x14ac:dyDescent="0.25">
      <c r="P1530" s="13"/>
    </row>
    <row r="1531" spans="16:16" x14ac:dyDescent="0.25">
      <c r="P1531" s="13"/>
    </row>
    <row r="1532" spans="16:16" x14ac:dyDescent="0.25">
      <c r="P1532" s="13"/>
    </row>
    <row r="1533" spans="16:16" x14ac:dyDescent="0.25">
      <c r="P1533" s="13"/>
    </row>
    <row r="1534" spans="16:16" x14ac:dyDescent="0.25">
      <c r="P1534" s="13"/>
    </row>
    <row r="1535" spans="16:16" x14ac:dyDescent="0.25">
      <c r="P1535" s="13"/>
    </row>
    <row r="1536" spans="16:16" x14ac:dyDescent="0.25">
      <c r="P1536" s="13"/>
    </row>
    <row r="1537" spans="16:16" x14ac:dyDescent="0.25">
      <c r="P1537" s="13"/>
    </row>
    <row r="1538" spans="16:16" x14ac:dyDescent="0.25">
      <c r="P1538" s="13"/>
    </row>
    <row r="1539" spans="16:16" x14ac:dyDescent="0.25">
      <c r="P1539" s="13"/>
    </row>
    <row r="1540" spans="16:16" x14ac:dyDescent="0.25">
      <c r="P1540" s="13"/>
    </row>
    <row r="1541" spans="16:16" x14ac:dyDescent="0.25">
      <c r="P1541" s="13"/>
    </row>
    <row r="1542" spans="16:16" x14ac:dyDescent="0.25">
      <c r="P1542" s="13"/>
    </row>
    <row r="1543" spans="16:16" x14ac:dyDescent="0.25">
      <c r="P1543" s="13"/>
    </row>
    <row r="1544" spans="16:16" x14ac:dyDescent="0.25">
      <c r="P1544" s="13"/>
    </row>
    <row r="1545" spans="16:16" x14ac:dyDescent="0.25">
      <c r="P1545" s="13"/>
    </row>
    <row r="1546" spans="16:16" x14ac:dyDescent="0.25">
      <c r="P1546" s="13"/>
    </row>
    <row r="1547" spans="16:16" x14ac:dyDescent="0.25">
      <c r="P1547" s="13"/>
    </row>
    <row r="1548" spans="16:16" x14ac:dyDescent="0.25">
      <c r="P1548" s="13"/>
    </row>
    <row r="1549" spans="16:16" x14ac:dyDescent="0.25">
      <c r="P1549" s="13"/>
    </row>
    <row r="1550" spans="16:16" x14ac:dyDescent="0.25">
      <c r="P1550" s="13"/>
    </row>
    <row r="1551" spans="16:16" x14ac:dyDescent="0.25">
      <c r="P1551" s="13"/>
    </row>
    <row r="1552" spans="16:16" x14ac:dyDescent="0.25">
      <c r="P1552" s="13"/>
    </row>
    <row r="1553" spans="16:16" x14ac:dyDescent="0.25">
      <c r="P1553" s="13"/>
    </row>
    <row r="1554" spans="16:16" x14ac:dyDescent="0.25">
      <c r="P1554" s="13"/>
    </row>
    <row r="1555" spans="16:16" x14ac:dyDescent="0.25">
      <c r="P1555" s="13"/>
    </row>
    <row r="1556" spans="16:16" x14ac:dyDescent="0.25">
      <c r="P1556" s="13"/>
    </row>
    <row r="1557" spans="16:16" x14ac:dyDescent="0.25">
      <c r="P1557" s="13"/>
    </row>
    <row r="1558" spans="16:16" x14ac:dyDescent="0.25">
      <c r="P1558" s="13"/>
    </row>
    <row r="1559" spans="16:16" x14ac:dyDescent="0.25">
      <c r="P1559" s="13"/>
    </row>
    <row r="1560" spans="16:16" x14ac:dyDescent="0.25">
      <c r="P1560" s="13"/>
    </row>
    <row r="1561" spans="16:16" x14ac:dyDescent="0.25">
      <c r="P1561" s="13"/>
    </row>
    <row r="1562" spans="16:16" x14ac:dyDescent="0.25">
      <c r="P1562" s="13"/>
    </row>
    <row r="1563" spans="16:16" x14ac:dyDescent="0.25">
      <c r="P1563" s="13"/>
    </row>
    <row r="1564" spans="16:16" x14ac:dyDescent="0.25">
      <c r="P1564" s="13"/>
    </row>
    <row r="1565" spans="16:16" x14ac:dyDescent="0.25">
      <c r="P1565" s="13"/>
    </row>
    <row r="1566" spans="16:16" x14ac:dyDescent="0.25">
      <c r="P1566" s="13"/>
    </row>
    <row r="1567" spans="16:16" x14ac:dyDescent="0.25">
      <c r="P1567" s="13"/>
    </row>
    <row r="1568" spans="16:16" x14ac:dyDescent="0.25">
      <c r="P1568" s="13"/>
    </row>
    <row r="1569" spans="16:16" x14ac:dyDescent="0.25">
      <c r="P1569" s="13"/>
    </row>
    <row r="1570" spans="16:16" x14ac:dyDescent="0.25">
      <c r="P1570" s="13"/>
    </row>
    <row r="1571" spans="16:16" x14ac:dyDescent="0.25">
      <c r="P1571" s="13"/>
    </row>
    <row r="1572" spans="16:16" x14ac:dyDescent="0.25">
      <c r="P1572" s="13"/>
    </row>
    <row r="1573" spans="16:16" x14ac:dyDescent="0.25">
      <c r="P1573" s="13"/>
    </row>
    <row r="1574" spans="16:16" x14ac:dyDescent="0.25">
      <c r="P1574" s="13"/>
    </row>
    <row r="1575" spans="16:16" x14ac:dyDescent="0.25">
      <c r="P1575" s="13"/>
    </row>
    <row r="1576" spans="16:16" x14ac:dyDescent="0.25">
      <c r="P1576" s="13"/>
    </row>
    <row r="1577" spans="16:16" x14ac:dyDescent="0.25">
      <c r="P1577" s="13"/>
    </row>
    <row r="1578" spans="16:16" x14ac:dyDescent="0.25">
      <c r="P1578" s="13"/>
    </row>
    <row r="1579" spans="16:16" x14ac:dyDescent="0.25">
      <c r="P1579" s="13"/>
    </row>
    <row r="1580" spans="16:16" x14ac:dyDescent="0.25">
      <c r="P1580" s="13"/>
    </row>
    <row r="1581" spans="16:16" x14ac:dyDescent="0.25">
      <c r="P1581" s="13"/>
    </row>
    <row r="1582" spans="16:16" x14ac:dyDescent="0.25">
      <c r="P1582" s="13"/>
    </row>
    <row r="1583" spans="16:16" x14ac:dyDescent="0.25">
      <c r="P1583" s="13"/>
    </row>
    <row r="1584" spans="16:16" x14ac:dyDescent="0.25">
      <c r="P1584" s="13"/>
    </row>
    <row r="1585" spans="16:16" x14ac:dyDescent="0.25">
      <c r="P1585" s="13"/>
    </row>
    <row r="1586" spans="16:16" x14ac:dyDescent="0.25">
      <c r="P1586" s="13"/>
    </row>
    <row r="1587" spans="16:16" x14ac:dyDescent="0.25">
      <c r="P1587" s="13"/>
    </row>
    <row r="1588" spans="16:16" x14ac:dyDescent="0.25">
      <c r="P1588" s="13"/>
    </row>
    <row r="1589" spans="16:16" x14ac:dyDescent="0.25">
      <c r="P1589" s="13"/>
    </row>
    <row r="1590" spans="16:16" x14ac:dyDescent="0.25">
      <c r="P1590" s="13"/>
    </row>
    <row r="1591" spans="16:16" x14ac:dyDescent="0.25">
      <c r="P1591" s="13"/>
    </row>
    <row r="1592" spans="16:16" x14ac:dyDescent="0.25">
      <c r="P1592" s="13"/>
    </row>
    <row r="1593" spans="16:16" x14ac:dyDescent="0.25">
      <c r="P1593" s="13"/>
    </row>
    <row r="1594" spans="16:16" x14ac:dyDescent="0.25">
      <c r="P1594" s="13"/>
    </row>
    <row r="1595" spans="16:16" x14ac:dyDescent="0.25">
      <c r="P1595" s="13"/>
    </row>
    <row r="1596" spans="16:16" x14ac:dyDescent="0.25">
      <c r="P1596" s="13"/>
    </row>
    <row r="1597" spans="16:16" x14ac:dyDescent="0.25">
      <c r="P1597" s="13"/>
    </row>
    <row r="1598" spans="16:16" x14ac:dyDescent="0.25">
      <c r="P1598" s="13"/>
    </row>
    <row r="1599" spans="16:16" x14ac:dyDescent="0.25">
      <c r="P1599" s="13"/>
    </row>
    <row r="1600" spans="16:16" x14ac:dyDescent="0.25">
      <c r="P1600" s="13"/>
    </row>
    <row r="1601" spans="16:16" x14ac:dyDescent="0.25">
      <c r="P1601" s="13"/>
    </row>
    <row r="1602" spans="16:16" x14ac:dyDescent="0.25">
      <c r="P1602" s="13"/>
    </row>
    <row r="1603" spans="16:16" x14ac:dyDescent="0.25">
      <c r="P1603" s="13"/>
    </row>
    <row r="1604" spans="16:16" x14ac:dyDescent="0.25">
      <c r="P1604" s="13"/>
    </row>
    <row r="1605" spans="16:16" x14ac:dyDescent="0.25">
      <c r="P1605" s="13"/>
    </row>
    <row r="1606" spans="16:16" x14ac:dyDescent="0.25">
      <c r="P1606" s="13"/>
    </row>
    <row r="1607" spans="16:16" x14ac:dyDescent="0.25">
      <c r="P1607" s="13"/>
    </row>
    <row r="1608" spans="16:16" x14ac:dyDescent="0.25">
      <c r="P1608" s="13"/>
    </row>
    <row r="1609" spans="16:16" x14ac:dyDescent="0.25">
      <c r="P1609" s="13"/>
    </row>
    <row r="1610" spans="16:16" x14ac:dyDescent="0.25">
      <c r="P1610" s="13"/>
    </row>
    <row r="1611" spans="16:16" x14ac:dyDescent="0.25">
      <c r="P1611" s="13"/>
    </row>
    <row r="1612" spans="16:16" x14ac:dyDescent="0.25">
      <c r="P1612" s="13"/>
    </row>
    <row r="1613" spans="16:16" x14ac:dyDescent="0.25">
      <c r="P1613" s="13"/>
    </row>
    <row r="1614" spans="16:16" x14ac:dyDescent="0.25">
      <c r="P1614" s="13"/>
    </row>
    <row r="1615" spans="16:16" x14ac:dyDescent="0.25">
      <c r="P1615" s="13"/>
    </row>
    <row r="1616" spans="16:16" x14ac:dyDescent="0.25">
      <c r="P1616" s="13"/>
    </row>
    <row r="1617" spans="16:16" x14ac:dyDescent="0.25">
      <c r="P1617" s="13"/>
    </row>
    <row r="1618" spans="16:16" x14ac:dyDescent="0.25">
      <c r="P1618" s="13"/>
    </row>
    <row r="1619" spans="16:16" x14ac:dyDescent="0.25">
      <c r="P1619" s="13"/>
    </row>
    <row r="1620" spans="16:16" x14ac:dyDescent="0.25">
      <c r="P1620" s="13"/>
    </row>
    <row r="1621" spans="16:16" x14ac:dyDescent="0.25">
      <c r="P1621" s="13"/>
    </row>
    <row r="1622" spans="16:16" x14ac:dyDescent="0.25">
      <c r="P1622" s="13"/>
    </row>
    <row r="1623" spans="16:16" x14ac:dyDescent="0.25">
      <c r="P1623" s="13"/>
    </row>
    <row r="1624" spans="16:16" x14ac:dyDescent="0.25">
      <c r="P1624" s="13"/>
    </row>
    <row r="1625" spans="16:16" x14ac:dyDescent="0.25">
      <c r="P1625" s="13"/>
    </row>
    <row r="1626" spans="16:16" x14ac:dyDescent="0.25">
      <c r="P1626" s="13"/>
    </row>
    <row r="1627" spans="16:16" x14ac:dyDescent="0.25">
      <c r="P1627" s="13"/>
    </row>
    <row r="1628" spans="16:16" x14ac:dyDescent="0.25">
      <c r="P1628" s="13"/>
    </row>
    <row r="1629" spans="16:16" x14ac:dyDescent="0.25">
      <c r="P1629" s="13"/>
    </row>
    <row r="1630" spans="16:16" x14ac:dyDescent="0.25">
      <c r="P1630" s="13"/>
    </row>
    <row r="1631" spans="16:16" x14ac:dyDescent="0.25">
      <c r="P1631" s="13"/>
    </row>
    <row r="1632" spans="16:16" x14ac:dyDescent="0.25">
      <c r="P1632" s="13"/>
    </row>
    <row r="1633" spans="16:16" x14ac:dyDescent="0.25">
      <c r="P1633" s="13"/>
    </row>
    <row r="1634" spans="16:16" x14ac:dyDescent="0.25">
      <c r="P1634" s="13"/>
    </row>
    <row r="1635" spans="16:16" x14ac:dyDescent="0.25">
      <c r="P1635" s="13"/>
    </row>
    <row r="1636" spans="16:16" x14ac:dyDescent="0.25">
      <c r="P1636" s="13"/>
    </row>
    <row r="1637" spans="16:16" x14ac:dyDescent="0.25">
      <c r="P1637" s="13"/>
    </row>
    <row r="1638" spans="16:16" x14ac:dyDescent="0.25">
      <c r="P1638" s="13"/>
    </row>
    <row r="1639" spans="16:16" x14ac:dyDescent="0.25">
      <c r="P1639" s="13"/>
    </row>
    <row r="1640" spans="16:16" x14ac:dyDescent="0.25">
      <c r="P1640" s="13"/>
    </row>
    <row r="1641" spans="16:16" x14ac:dyDescent="0.25">
      <c r="P1641" s="13"/>
    </row>
    <row r="1642" spans="16:16" x14ac:dyDescent="0.25">
      <c r="P1642" s="13"/>
    </row>
    <row r="1643" spans="16:16" x14ac:dyDescent="0.25">
      <c r="P1643" s="13"/>
    </row>
    <row r="1644" spans="16:16" x14ac:dyDescent="0.25">
      <c r="P1644" s="13"/>
    </row>
    <row r="1645" spans="16:16" x14ac:dyDescent="0.25">
      <c r="P1645" s="13"/>
    </row>
    <row r="1646" spans="16:16" x14ac:dyDescent="0.25">
      <c r="P1646" s="13"/>
    </row>
    <row r="1647" spans="16:16" x14ac:dyDescent="0.25">
      <c r="P1647" s="13"/>
    </row>
    <row r="1648" spans="16:16" x14ac:dyDescent="0.25">
      <c r="P1648" s="13"/>
    </row>
    <row r="1649" spans="16:16" x14ac:dyDescent="0.25">
      <c r="P1649" s="13"/>
    </row>
    <row r="1650" spans="16:16" x14ac:dyDescent="0.25">
      <c r="P1650" s="13"/>
    </row>
    <row r="1651" spans="16:16" x14ac:dyDescent="0.25">
      <c r="P1651" s="13"/>
    </row>
    <row r="1652" spans="16:16" x14ac:dyDescent="0.25">
      <c r="P1652" s="13"/>
    </row>
    <row r="1653" spans="16:16" x14ac:dyDescent="0.25">
      <c r="P1653" s="13"/>
    </row>
    <row r="1654" spans="16:16" x14ac:dyDescent="0.25">
      <c r="P1654" s="13"/>
    </row>
    <row r="1655" spans="16:16" x14ac:dyDescent="0.25">
      <c r="P1655" s="13"/>
    </row>
    <row r="1656" spans="16:16" x14ac:dyDescent="0.25">
      <c r="P1656" s="13"/>
    </row>
    <row r="1657" spans="16:16" x14ac:dyDescent="0.25">
      <c r="P1657" s="13"/>
    </row>
    <row r="1658" spans="16:16" x14ac:dyDescent="0.25">
      <c r="P1658" s="13"/>
    </row>
    <row r="1659" spans="16:16" x14ac:dyDescent="0.25">
      <c r="P1659" s="13"/>
    </row>
    <row r="1660" spans="16:16" x14ac:dyDescent="0.25">
      <c r="P1660" s="13"/>
    </row>
    <row r="1661" spans="16:16" x14ac:dyDescent="0.25">
      <c r="P1661" s="13"/>
    </row>
    <row r="1662" spans="16:16" x14ac:dyDescent="0.25">
      <c r="P1662" s="13"/>
    </row>
    <row r="1663" spans="16:16" x14ac:dyDescent="0.25">
      <c r="P1663" s="13"/>
    </row>
    <row r="1664" spans="16:16" x14ac:dyDescent="0.25">
      <c r="P1664" s="13"/>
    </row>
    <row r="1665" spans="16:16" x14ac:dyDescent="0.25">
      <c r="P1665" s="13"/>
    </row>
    <row r="1666" spans="16:16" x14ac:dyDescent="0.25">
      <c r="P1666" s="13"/>
    </row>
    <row r="1667" spans="16:16" x14ac:dyDescent="0.25">
      <c r="P1667" s="13"/>
    </row>
    <row r="1668" spans="16:16" x14ac:dyDescent="0.25">
      <c r="P1668" s="13"/>
    </row>
    <row r="1669" spans="16:16" x14ac:dyDescent="0.25">
      <c r="P1669" s="13"/>
    </row>
    <row r="1670" spans="16:16" x14ac:dyDescent="0.25">
      <c r="P1670" s="13"/>
    </row>
    <row r="1671" spans="16:16" x14ac:dyDescent="0.25">
      <c r="P1671" s="13"/>
    </row>
    <row r="1672" spans="16:16" x14ac:dyDescent="0.25">
      <c r="P1672" s="13"/>
    </row>
    <row r="1673" spans="16:16" x14ac:dyDescent="0.25">
      <c r="P1673" s="13"/>
    </row>
    <row r="1674" spans="16:16" x14ac:dyDescent="0.25">
      <c r="P1674" s="13"/>
    </row>
    <row r="1675" spans="16:16" x14ac:dyDescent="0.25">
      <c r="P1675" s="13"/>
    </row>
    <row r="1676" spans="16:16" x14ac:dyDescent="0.25">
      <c r="P1676" s="13"/>
    </row>
    <row r="1677" spans="16:16" x14ac:dyDescent="0.25">
      <c r="P1677" s="13"/>
    </row>
    <row r="1678" spans="16:16" x14ac:dyDescent="0.25">
      <c r="P1678" s="13"/>
    </row>
    <row r="1679" spans="16:16" x14ac:dyDescent="0.25">
      <c r="P1679" s="13"/>
    </row>
    <row r="1680" spans="16:16" x14ac:dyDescent="0.25">
      <c r="P1680" s="13"/>
    </row>
    <row r="1681" spans="16:16" x14ac:dyDescent="0.25">
      <c r="P1681" s="13"/>
    </row>
    <row r="1682" spans="16:16" x14ac:dyDescent="0.25">
      <c r="P1682" s="13"/>
    </row>
    <row r="1683" spans="16:16" x14ac:dyDescent="0.25">
      <c r="P1683" s="13"/>
    </row>
    <row r="1684" spans="16:16" x14ac:dyDescent="0.25">
      <c r="P1684" s="13"/>
    </row>
    <row r="1685" spans="16:16" x14ac:dyDescent="0.25">
      <c r="P1685" s="13"/>
    </row>
    <row r="1686" spans="16:16" x14ac:dyDescent="0.25">
      <c r="P1686" s="13"/>
    </row>
    <row r="1687" spans="16:16" x14ac:dyDescent="0.25">
      <c r="P1687" s="13"/>
    </row>
    <row r="1688" spans="16:16" x14ac:dyDescent="0.25">
      <c r="P1688" s="13"/>
    </row>
    <row r="1689" spans="16:16" x14ac:dyDescent="0.25">
      <c r="P1689" s="13"/>
    </row>
    <row r="1690" spans="16:16" x14ac:dyDescent="0.25">
      <c r="P1690" s="13"/>
    </row>
    <row r="1691" spans="16:16" x14ac:dyDescent="0.25">
      <c r="P1691" s="13"/>
    </row>
    <row r="1692" spans="16:16" x14ac:dyDescent="0.25">
      <c r="P1692" s="13"/>
    </row>
    <row r="1693" spans="16:16" x14ac:dyDescent="0.25">
      <c r="P1693" s="13"/>
    </row>
    <row r="1694" spans="16:16" x14ac:dyDescent="0.25">
      <c r="P1694" s="13"/>
    </row>
    <row r="1695" spans="16:16" x14ac:dyDescent="0.25">
      <c r="P1695" s="13"/>
    </row>
    <row r="1696" spans="16:16" x14ac:dyDescent="0.25">
      <c r="P1696" s="13"/>
    </row>
    <row r="1697" spans="16:16" x14ac:dyDescent="0.25">
      <c r="P1697" s="13"/>
    </row>
    <row r="1698" spans="16:16" x14ac:dyDescent="0.25">
      <c r="P1698" s="13"/>
    </row>
    <row r="1699" spans="16:16" x14ac:dyDescent="0.25">
      <c r="P1699" s="13"/>
    </row>
    <row r="1700" spans="16:16" x14ac:dyDescent="0.25">
      <c r="P1700" s="13"/>
    </row>
    <row r="1701" spans="16:16" x14ac:dyDescent="0.25">
      <c r="P1701" s="13"/>
    </row>
    <row r="1702" spans="16:16" x14ac:dyDescent="0.25">
      <c r="P1702" s="13"/>
    </row>
    <row r="1703" spans="16:16" x14ac:dyDescent="0.25">
      <c r="P1703" s="13"/>
    </row>
    <row r="1704" spans="16:16" x14ac:dyDescent="0.25">
      <c r="P1704" s="13"/>
    </row>
    <row r="1705" spans="16:16" x14ac:dyDescent="0.25">
      <c r="P1705" s="13"/>
    </row>
    <row r="1706" spans="16:16" x14ac:dyDescent="0.25">
      <c r="P1706" s="13"/>
    </row>
    <row r="1707" spans="16:16" x14ac:dyDescent="0.25">
      <c r="P1707" s="13"/>
    </row>
    <row r="1708" spans="16:16" x14ac:dyDescent="0.25">
      <c r="P1708" s="13"/>
    </row>
    <row r="1709" spans="16:16" x14ac:dyDescent="0.25">
      <c r="P1709" s="13"/>
    </row>
    <row r="1710" spans="16:16" x14ac:dyDescent="0.25">
      <c r="P1710" s="13"/>
    </row>
    <row r="1711" spans="16:16" x14ac:dyDescent="0.25">
      <c r="P1711" s="13"/>
    </row>
    <row r="1712" spans="16:16" x14ac:dyDescent="0.25">
      <c r="P1712" s="13"/>
    </row>
    <row r="1713" spans="16:16" x14ac:dyDescent="0.25">
      <c r="P1713" s="13"/>
    </row>
    <row r="1714" spans="16:16" x14ac:dyDescent="0.25">
      <c r="P1714" s="13"/>
    </row>
    <row r="1715" spans="16:16" x14ac:dyDescent="0.25">
      <c r="P1715" s="13"/>
    </row>
    <row r="1716" spans="16:16" x14ac:dyDescent="0.25">
      <c r="P1716" s="13"/>
    </row>
    <row r="1717" spans="16:16" x14ac:dyDescent="0.25">
      <c r="P1717" s="13"/>
    </row>
    <row r="1718" spans="16:16" x14ac:dyDescent="0.25">
      <c r="P1718" s="13"/>
    </row>
    <row r="1719" spans="16:16" x14ac:dyDescent="0.25">
      <c r="P1719" s="13"/>
    </row>
    <row r="1720" spans="16:16" x14ac:dyDescent="0.25">
      <c r="P1720" s="13"/>
    </row>
    <row r="1721" spans="16:16" x14ac:dyDescent="0.25">
      <c r="P1721" s="13"/>
    </row>
    <row r="1722" spans="16:16" x14ac:dyDescent="0.25">
      <c r="P1722" s="13"/>
    </row>
    <row r="1723" spans="16:16" x14ac:dyDescent="0.25">
      <c r="P1723" s="13"/>
    </row>
    <row r="1724" spans="16:16" x14ac:dyDescent="0.25">
      <c r="P1724" s="13"/>
    </row>
    <row r="1725" spans="16:16" x14ac:dyDescent="0.25">
      <c r="P1725" s="13"/>
    </row>
    <row r="1726" spans="16:16" x14ac:dyDescent="0.25">
      <c r="P1726" s="13"/>
    </row>
    <row r="1727" spans="16:16" x14ac:dyDescent="0.25">
      <c r="P1727" s="13"/>
    </row>
    <row r="1728" spans="16:16" x14ac:dyDescent="0.25">
      <c r="P1728" s="13"/>
    </row>
    <row r="1729" spans="16:16" x14ac:dyDescent="0.25">
      <c r="P1729" s="13"/>
    </row>
    <row r="1730" spans="16:16" x14ac:dyDescent="0.25">
      <c r="P1730" s="13"/>
    </row>
    <row r="1731" spans="16:16" x14ac:dyDescent="0.25">
      <c r="P1731" s="13"/>
    </row>
    <row r="1732" spans="16:16" x14ac:dyDescent="0.25">
      <c r="P1732" s="13"/>
    </row>
    <row r="1733" spans="16:16" x14ac:dyDescent="0.25">
      <c r="P1733" s="13"/>
    </row>
    <row r="1734" spans="16:16" x14ac:dyDescent="0.25">
      <c r="P1734" s="13"/>
    </row>
    <row r="1735" spans="16:16" x14ac:dyDescent="0.25">
      <c r="P1735" s="13"/>
    </row>
    <row r="1736" spans="16:16" x14ac:dyDescent="0.25">
      <c r="P1736" s="13"/>
    </row>
    <row r="1737" spans="16:16" x14ac:dyDescent="0.25">
      <c r="P1737" s="13"/>
    </row>
    <row r="1738" spans="16:16" x14ac:dyDescent="0.25">
      <c r="P1738" s="13"/>
    </row>
    <row r="1739" spans="16:16" x14ac:dyDescent="0.25">
      <c r="P1739" s="13"/>
    </row>
    <row r="1740" spans="16:16" x14ac:dyDescent="0.25">
      <c r="P1740" s="13"/>
    </row>
    <row r="1741" spans="16:16" x14ac:dyDescent="0.25">
      <c r="P1741" s="13"/>
    </row>
    <row r="1742" spans="16:16" x14ac:dyDescent="0.25">
      <c r="P1742" s="13"/>
    </row>
    <row r="1743" spans="16:16" x14ac:dyDescent="0.25">
      <c r="P1743" s="13"/>
    </row>
    <row r="1744" spans="16:16" x14ac:dyDescent="0.25">
      <c r="P1744" s="13"/>
    </row>
    <row r="1745" spans="16:16" x14ac:dyDescent="0.25">
      <c r="P1745" s="13"/>
    </row>
    <row r="1746" spans="16:16" x14ac:dyDescent="0.25">
      <c r="P1746" s="13"/>
    </row>
    <row r="1747" spans="16:16" x14ac:dyDescent="0.25">
      <c r="P1747" s="13"/>
    </row>
    <row r="1748" spans="16:16" x14ac:dyDescent="0.25">
      <c r="P1748" s="13"/>
    </row>
    <row r="1749" spans="16:16" x14ac:dyDescent="0.25">
      <c r="P1749" s="13"/>
    </row>
    <row r="1750" spans="16:16" x14ac:dyDescent="0.25">
      <c r="P1750" s="13"/>
    </row>
    <row r="1751" spans="16:16" x14ac:dyDescent="0.25">
      <c r="P1751" s="13"/>
    </row>
    <row r="1752" spans="16:16" x14ac:dyDescent="0.25">
      <c r="P1752" s="13"/>
    </row>
    <row r="1753" spans="16:16" x14ac:dyDescent="0.25">
      <c r="P1753" s="13"/>
    </row>
    <row r="1754" spans="16:16" x14ac:dyDescent="0.25">
      <c r="P1754" s="13"/>
    </row>
    <row r="1755" spans="16:16" x14ac:dyDescent="0.25">
      <c r="P1755" s="13"/>
    </row>
    <row r="1756" spans="16:16" x14ac:dyDescent="0.25">
      <c r="P1756" s="13"/>
    </row>
    <row r="1757" spans="16:16" x14ac:dyDescent="0.25">
      <c r="P1757" s="13"/>
    </row>
    <row r="1758" spans="16:16" x14ac:dyDescent="0.25">
      <c r="P1758" s="13"/>
    </row>
    <row r="1759" spans="16:16" x14ac:dyDescent="0.25">
      <c r="P1759" s="13"/>
    </row>
    <row r="1760" spans="16:16" x14ac:dyDescent="0.25">
      <c r="P1760" s="13"/>
    </row>
    <row r="1761" spans="16:16" x14ac:dyDescent="0.25">
      <c r="P1761" s="13"/>
    </row>
    <row r="1762" spans="16:16" x14ac:dyDescent="0.25">
      <c r="P1762" s="13"/>
    </row>
    <row r="1763" spans="16:16" x14ac:dyDescent="0.25">
      <c r="P1763" s="13"/>
    </row>
    <row r="1764" spans="16:16" x14ac:dyDescent="0.25">
      <c r="P1764" s="13"/>
    </row>
    <row r="1765" spans="16:16" x14ac:dyDescent="0.25">
      <c r="P1765" s="13"/>
    </row>
    <row r="1766" spans="16:16" x14ac:dyDescent="0.25">
      <c r="P1766" s="13"/>
    </row>
    <row r="1767" spans="16:16" x14ac:dyDescent="0.25">
      <c r="P1767" s="13"/>
    </row>
    <row r="1768" spans="16:16" x14ac:dyDescent="0.25">
      <c r="P1768" s="13"/>
    </row>
    <row r="1769" spans="16:16" x14ac:dyDescent="0.25">
      <c r="P1769" s="13"/>
    </row>
  </sheetData>
  <mergeCells count="53">
    <mergeCell ref="H448:I448"/>
    <mergeCell ref="O455:P455"/>
    <mergeCell ref="L455:N455"/>
    <mergeCell ref="H435:I435"/>
    <mergeCell ref="Q1:Q38"/>
    <mergeCell ref="Q39:Q73"/>
    <mergeCell ref="Q85:Q109"/>
    <mergeCell ref="Q110:Q199"/>
    <mergeCell ref="Q200:Q239"/>
    <mergeCell ref="H436:I436"/>
    <mergeCell ref="H438:I438"/>
    <mergeCell ref="H439:I439"/>
    <mergeCell ref="H442:I442"/>
    <mergeCell ref="H443:I443"/>
    <mergeCell ref="H437:I437"/>
    <mergeCell ref="H451:I451"/>
    <mergeCell ref="H444:I444"/>
    <mergeCell ref="H445:I445"/>
    <mergeCell ref="H446:I446"/>
    <mergeCell ref="H447:I447"/>
    <mergeCell ref="F434:F435"/>
    <mergeCell ref="H449:I449"/>
    <mergeCell ref="K5:P5"/>
    <mergeCell ref="K7:P7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  <mergeCell ref="A10:P10"/>
    <mergeCell ref="A455:E456"/>
    <mergeCell ref="K4:P4"/>
    <mergeCell ref="Q413:Q457"/>
    <mergeCell ref="Q365:Q409"/>
    <mergeCell ref="Q312:Q360"/>
    <mergeCell ref="A11:P11"/>
    <mergeCell ref="M14:N14"/>
    <mergeCell ref="O14:O15"/>
    <mergeCell ref="F14:F15"/>
    <mergeCell ref="E13:I13"/>
    <mergeCell ref="L14:L15"/>
    <mergeCell ref="D427:D430"/>
    <mergeCell ref="H432:I432"/>
    <mergeCell ref="H433:I433"/>
    <mergeCell ref="H434:I434"/>
    <mergeCell ref="H450:I450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9" orientation="landscape" useFirstPageNumber="1" r:id="rId1"/>
  <headerFooter scaleWithDoc="0" alignWithMargins="0">
    <oddFooter>&amp;R&amp;8Сторінка &amp;P</oddFooter>
  </headerFooter>
  <rowBreaks count="1" manualBreakCount="1">
    <brk id="38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4"/>
  <sheetViews>
    <sheetView showGridLines="0" showZeros="0" tabSelected="1" view="pageBreakPreview" topLeftCell="C1" zoomScale="70" zoomScaleNormal="87" zoomScaleSheetLayoutView="70" workbookViewId="0">
      <selection activeCell="K7" sqref="K7"/>
    </sheetView>
  </sheetViews>
  <sheetFormatPr defaultColWidth="9.1640625" defaultRowHeight="15.75" x14ac:dyDescent="0.25"/>
  <cols>
    <col min="1" max="1" width="19.1640625" style="30" customWidth="1"/>
    <col min="2" max="2" width="22.1640625" style="31" customWidth="1"/>
    <col min="3" max="3" width="74.1640625" style="32" customWidth="1"/>
    <col min="4" max="4" width="23.1640625" style="33" customWidth="1"/>
    <col min="5" max="5" width="23.83203125" style="33" customWidth="1"/>
    <col min="6" max="6" width="23.6640625" style="33" customWidth="1"/>
    <col min="7" max="7" width="20.83203125" style="33" customWidth="1"/>
    <col min="8" max="8" width="21.1640625" style="33" customWidth="1"/>
    <col min="9" max="9" width="22.5" style="33" customWidth="1"/>
    <col min="10" max="10" width="21.1640625" style="33" customWidth="1"/>
    <col min="11" max="11" width="21.33203125" style="33" customWidth="1"/>
    <col min="12" max="12" width="19.1640625" style="33" customWidth="1"/>
    <col min="13" max="13" width="18.83203125" style="33" customWidth="1"/>
    <col min="14" max="14" width="23" style="33" customWidth="1"/>
    <col min="15" max="15" width="22.83203125" style="33" customWidth="1"/>
    <col min="16" max="16" width="7.6640625" style="109" customWidth="1"/>
    <col min="17" max="17" width="0.1640625" style="31" customWidth="1"/>
    <col min="18" max="18" width="11.1640625" style="31" customWidth="1"/>
    <col min="19" max="19" width="12.1640625" style="31" customWidth="1"/>
    <col min="20" max="20" width="11.33203125" style="31" customWidth="1"/>
    <col min="21" max="21" width="10.83203125" style="31" customWidth="1"/>
    <col min="22" max="16384" width="9.1640625" style="31"/>
  </cols>
  <sheetData>
    <row r="1" spans="1:17" ht="27.75" customHeight="1" x14ac:dyDescent="0.4">
      <c r="J1" s="34" t="s">
        <v>733</v>
      </c>
      <c r="K1" s="34"/>
      <c r="L1" s="34"/>
      <c r="M1" s="34"/>
      <c r="N1" s="34"/>
      <c r="O1" s="34"/>
      <c r="P1" s="228"/>
      <c r="Q1" s="228"/>
    </row>
    <row r="2" spans="1:17" ht="24" customHeight="1" x14ac:dyDescent="0.25">
      <c r="J2" s="35" t="s">
        <v>738</v>
      </c>
      <c r="K2" s="35"/>
      <c r="L2" s="35"/>
      <c r="M2" s="35"/>
      <c r="N2" s="35"/>
      <c r="O2" s="35"/>
      <c r="P2" s="228"/>
      <c r="Q2" s="228"/>
    </row>
    <row r="3" spans="1:17" ht="26.25" customHeight="1" x14ac:dyDescent="0.25">
      <c r="J3" s="35" t="s">
        <v>732</v>
      </c>
      <c r="K3" s="35"/>
      <c r="L3" s="35"/>
      <c r="M3" s="35"/>
      <c r="N3" s="35"/>
      <c r="O3" s="35"/>
      <c r="P3" s="228"/>
      <c r="Q3" s="228"/>
    </row>
    <row r="4" spans="1:17" ht="26.25" customHeight="1" x14ac:dyDescent="0.4">
      <c r="J4" s="196" t="s">
        <v>739</v>
      </c>
      <c r="K4" s="196"/>
      <c r="L4" s="196"/>
      <c r="M4" s="196"/>
      <c r="N4" s="196"/>
      <c r="O4" s="196"/>
      <c r="P4" s="228"/>
      <c r="Q4" s="228"/>
    </row>
    <row r="5" spans="1:17" ht="26.25" customHeight="1" x14ac:dyDescent="0.4">
      <c r="J5" s="36"/>
      <c r="K5" s="36"/>
      <c r="L5" s="36"/>
      <c r="M5" s="36"/>
      <c r="N5" s="36"/>
      <c r="O5" s="36"/>
      <c r="P5" s="228"/>
      <c r="Q5" s="228"/>
    </row>
    <row r="6" spans="1:17" ht="26.25" customHeight="1" x14ac:dyDescent="0.4">
      <c r="J6" s="213"/>
      <c r="K6" s="213"/>
      <c r="L6" s="213"/>
      <c r="M6" s="213"/>
      <c r="N6" s="213"/>
      <c r="O6" s="213"/>
      <c r="P6" s="228"/>
      <c r="Q6" s="228"/>
    </row>
    <row r="7" spans="1:17" ht="26.25" customHeight="1" x14ac:dyDescent="0.4">
      <c r="J7" s="34"/>
      <c r="K7" s="34"/>
      <c r="L7" s="34"/>
      <c r="M7" s="34"/>
      <c r="N7" s="34"/>
      <c r="O7" s="34"/>
      <c r="P7" s="228"/>
      <c r="Q7" s="228"/>
    </row>
    <row r="8" spans="1:17" ht="105.75" customHeight="1" x14ac:dyDescent="0.25">
      <c r="A8" s="232" t="s">
        <v>712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28"/>
      <c r="Q8" s="228"/>
    </row>
    <row r="9" spans="1:17" ht="23.25" customHeight="1" x14ac:dyDescent="0.25">
      <c r="A9" s="231" t="s">
        <v>677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28"/>
      <c r="Q9" s="228"/>
    </row>
    <row r="10" spans="1:17" ht="21" customHeight="1" x14ac:dyDescent="0.25">
      <c r="A10" s="199" t="s">
        <v>531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28"/>
      <c r="Q10" s="228"/>
    </row>
    <row r="11" spans="1:17" s="42" customFormat="1" ht="20.25" customHeight="1" x14ac:dyDescent="0.3">
      <c r="A11" s="37"/>
      <c r="B11" s="38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 t="s">
        <v>352</v>
      </c>
      <c r="P11" s="228"/>
      <c r="Q11" s="228"/>
    </row>
    <row r="12" spans="1:17" s="43" customFormat="1" ht="21.75" customHeight="1" x14ac:dyDescent="0.25">
      <c r="A12" s="233" t="s">
        <v>331</v>
      </c>
      <c r="B12" s="233" t="s">
        <v>321</v>
      </c>
      <c r="C12" s="233" t="s">
        <v>333</v>
      </c>
      <c r="D12" s="202" t="s">
        <v>221</v>
      </c>
      <c r="E12" s="202"/>
      <c r="F12" s="202"/>
      <c r="G12" s="202"/>
      <c r="H12" s="202"/>
      <c r="I12" s="202" t="s">
        <v>222</v>
      </c>
      <c r="J12" s="202"/>
      <c r="K12" s="202"/>
      <c r="L12" s="202"/>
      <c r="M12" s="202"/>
      <c r="N12" s="202"/>
      <c r="O12" s="202" t="s">
        <v>223</v>
      </c>
      <c r="P12" s="228"/>
      <c r="Q12" s="228"/>
    </row>
    <row r="13" spans="1:17" s="43" customFormat="1" ht="29.25" customHeight="1" x14ac:dyDescent="0.25">
      <c r="A13" s="233"/>
      <c r="B13" s="233"/>
      <c r="C13" s="233"/>
      <c r="D13" s="230" t="s">
        <v>322</v>
      </c>
      <c r="E13" s="230" t="s">
        <v>224</v>
      </c>
      <c r="F13" s="200" t="s">
        <v>225</v>
      </c>
      <c r="G13" s="200"/>
      <c r="H13" s="230" t="s">
        <v>226</v>
      </c>
      <c r="I13" s="230" t="s">
        <v>322</v>
      </c>
      <c r="J13" s="230" t="s">
        <v>323</v>
      </c>
      <c r="K13" s="230" t="s">
        <v>224</v>
      </c>
      <c r="L13" s="200" t="s">
        <v>225</v>
      </c>
      <c r="M13" s="200"/>
      <c r="N13" s="230" t="s">
        <v>226</v>
      </c>
      <c r="O13" s="202"/>
      <c r="P13" s="228"/>
      <c r="Q13" s="228"/>
    </row>
    <row r="14" spans="1:17" s="43" customFormat="1" ht="60.75" customHeight="1" x14ac:dyDescent="0.25">
      <c r="A14" s="233"/>
      <c r="B14" s="233"/>
      <c r="C14" s="233"/>
      <c r="D14" s="230"/>
      <c r="E14" s="230"/>
      <c r="F14" s="44" t="s">
        <v>227</v>
      </c>
      <c r="G14" s="44" t="s">
        <v>228</v>
      </c>
      <c r="H14" s="230"/>
      <c r="I14" s="230"/>
      <c r="J14" s="230"/>
      <c r="K14" s="230"/>
      <c r="L14" s="44" t="s">
        <v>227</v>
      </c>
      <c r="M14" s="44" t="s">
        <v>228</v>
      </c>
      <c r="N14" s="230"/>
      <c r="O14" s="202"/>
      <c r="P14" s="228"/>
      <c r="Q14" s="228"/>
    </row>
    <row r="15" spans="1:17" s="43" customFormat="1" ht="21" customHeight="1" x14ac:dyDescent="0.25">
      <c r="A15" s="45" t="s">
        <v>42</v>
      </c>
      <c r="B15" s="46"/>
      <c r="C15" s="47" t="s">
        <v>43</v>
      </c>
      <c r="D15" s="48">
        <f>D17+D18+D19+D20</f>
        <v>314185900</v>
      </c>
      <c r="E15" s="48">
        <f t="shared" ref="E15:O15" si="0">E17+E18+E19+E20</f>
        <v>314185900</v>
      </c>
      <c r="F15" s="48">
        <f>F17+F18+F19+F20</f>
        <v>233487000</v>
      </c>
      <c r="G15" s="48">
        <f t="shared" si="0"/>
        <v>11292400</v>
      </c>
      <c r="H15" s="48">
        <f t="shared" si="0"/>
        <v>0</v>
      </c>
      <c r="I15" s="48">
        <f t="shared" si="0"/>
        <v>15309879</v>
      </c>
      <c r="J15" s="48">
        <f t="shared" si="0"/>
        <v>14940879</v>
      </c>
      <c r="K15" s="48">
        <f t="shared" si="0"/>
        <v>369000</v>
      </c>
      <c r="L15" s="48">
        <f t="shared" si="0"/>
        <v>0</v>
      </c>
      <c r="M15" s="48">
        <f t="shared" si="0"/>
        <v>208200</v>
      </c>
      <c r="N15" s="48">
        <f t="shared" si="0"/>
        <v>14940879</v>
      </c>
      <c r="O15" s="48">
        <f t="shared" si="0"/>
        <v>329495779</v>
      </c>
      <c r="P15" s="228"/>
      <c r="Q15" s="228"/>
    </row>
    <row r="16" spans="1:17" s="43" customFormat="1" ht="61.5" hidden="1" customHeight="1" x14ac:dyDescent="0.25">
      <c r="A16" s="45"/>
      <c r="B16" s="46"/>
      <c r="C16" s="47" t="s">
        <v>423</v>
      </c>
      <c r="D16" s="48">
        <f>D21</f>
        <v>0</v>
      </c>
      <c r="E16" s="48">
        <f t="shared" ref="E16:O16" si="1">E21</f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48">
        <f t="shared" si="1"/>
        <v>0</v>
      </c>
      <c r="N16" s="48">
        <f t="shared" si="1"/>
        <v>0</v>
      </c>
      <c r="O16" s="48">
        <f t="shared" si="1"/>
        <v>0</v>
      </c>
      <c r="P16" s="228"/>
      <c r="Q16" s="228"/>
    </row>
    <row r="17" spans="1:17" ht="37.5" customHeight="1" x14ac:dyDescent="0.25">
      <c r="A17" s="49" t="s">
        <v>117</v>
      </c>
      <c r="B17" s="49" t="s">
        <v>45</v>
      </c>
      <c r="C17" s="4" t="s">
        <v>469</v>
      </c>
      <c r="D17" s="50">
        <f>'дод 3 '!E20+'дод 3 '!E85+'дод 3 '!E161+'дод 3 '!E197+'дод 3 '!E239+'дод 3 '!E247+'дод 3 '!E267+'дод 3 '!E322+'дод 3 '!E332+'дод 3 '!E359+'дод 3 '!E367+'дод 3 '!E374+'дод 3 '!E401+'дод 3 '!E325+'дод 3 '!E382+'дод 3 '!E390+'дод 3 '!E370+'дод 3 '!E412</f>
        <v>312215900</v>
      </c>
      <c r="E17" s="50">
        <f>'дод 3 '!F20+'дод 3 '!F85+'дод 3 '!F161+'дод 3 '!F197+'дод 3 '!F239+'дод 3 '!F247+'дод 3 '!F267+'дод 3 '!F322+'дод 3 '!F332+'дод 3 '!F359+'дод 3 '!F367+'дод 3 '!F374+'дод 3 '!F401+'дод 3 '!F325+'дод 3 '!F382+'дод 3 '!F390+'дод 3 '!F370+'дод 3 '!F412</f>
        <v>312215900</v>
      </c>
      <c r="F17" s="50">
        <f>'дод 3 '!G20+'дод 3 '!G85+'дод 3 '!G161+'дод 3 '!G197+'дод 3 '!G239+'дод 3 '!G247+'дод 3 '!G267+'дод 3 '!G322+'дод 3 '!G332+'дод 3 '!G359+'дод 3 '!G367+'дод 3 '!G374+'дод 3 '!G401+'дод 3 '!G325+'дод 3 '!G382+'дод 3 '!G390+'дод 3 '!G370+'дод 3 '!G412</f>
        <v>233487000</v>
      </c>
      <c r="G17" s="50">
        <f>'дод 3 '!H20+'дод 3 '!H85+'дод 3 '!H161+'дод 3 '!H197+'дод 3 '!H239+'дод 3 '!H247+'дод 3 '!H267+'дод 3 '!H322+'дод 3 '!H332+'дод 3 '!H359+'дод 3 '!H367+'дод 3 '!H374+'дод 3 '!H401+'дод 3 '!H325+'дод 3 '!H382+'дод 3 '!H390+'дод 3 '!H370+'дод 3 '!H412</f>
        <v>11292400</v>
      </c>
      <c r="H17" s="50">
        <f>'дод 3 '!I20+'дод 3 '!I85+'дод 3 '!I161+'дод 3 '!I197+'дод 3 '!I239+'дод 3 '!I247+'дод 3 '!I267+'дод 3 '!I322+'дод 3 '!I332+'дод 3 '!I359+'дод 3 '!I367+'дод 3 '!I374+'дод 3 '!I401+'дод 3 '!I325+'дод 3 '!I382+'дод 3 '!I390+'дод 3 '!I370+'дод 3 '!I412</f>
        <v>0</v>
      </c>
      <c r="I17" s="50">
        <f>'дод 3 '!J20+'дод 3 '!J85+'дод 3 '!J161+'дод 3 '!J197+'дод 3 '!J239+'дод 3 '!J247+'дод 3 '!J267+'дод 3 '!J322+'дод 3 '!J332+'дод 3 '!J359+'дод 3 '!J367+'дод 3 '!J374+'дод 3 '!J401+'дод 3 '!J325+'дод 3 '!J382+'дод 3 '!J390+'дод 3 '!J370+'дод 3 '!J412</f>
        <v>15309879</v>
      </c>
      <c r="J17" s="50">
        <f>'дод 3 '!K20+'дод 3 '!K85+'дод 3 '!K161+'дод 3 '!K197+'дод 3 '!K239+'дод 3 '!K247+'дод 3 '!K267+'дод 3 '!K322+'дод 3 '!K332+'дод 3 '!K359+'дод 3 '!K367+'дод 3 '!K374+'дод 3 '!K401+'дод 3 '!K325+'дод 3 '!K382+'дод 3 '!K390+'дод 3 '!K370+'дод 3 '!K412</f>
        <v>14940879</v>
      </c>
      <c r="K17" s="50">
        <f>'дод 3 '!L20+'дод 3 '!L85+'дод 3 '!L161+'дод 3 '!L197+'дод 3 '!L239+'дод 3 '!L247+'дод 3 '!L267+'дод 3 '!L322+'дод 3 '!L332+'дод 3 '!L359+'дод 3 '!L367+'дод 3 '!L374+'дод 3 '!L401+'дод 3 '!L325+'дод 3 '!L382+'дод 3 '!L390+'дод 3 '!L370+'дод 3 '!L412</f>
        <v>369000</v>
      </c>
      <c r="L17" s="50">
        <f>'дод 3 '!M20+'дод 3 '!M85+'дод 3 '!M161+'дод 3 '!M197+'дод 3 '!M239+'дод 3 '!M247+'дод 3 '!M267+'дод 3 '!M322+'дод 3 '!M332+'дод 3 '!M359+'дод 3 '!M367+'дод 3 '!M374+'дод 3 '!M401+'дод 3 '!M325+'дод 3 '!M382+'дод 3 '!M390+'дод 3 '!M370+'дод 3 '!M412</f>
        <v>0</v>
      </c>
      <c r="M17" s="50">
        <f>'дод 3 '!N20+'дод 3 '!N85+'дод 3 '!N161+'дод 3 '!N197+'дод 3 '!N239+'дод 3 '!N247+'дод 3 '!N267+'дод 3 '!N322+'дод 3 '!N332+'дод 3 '!N359+'дод 3 '!N367+'дод 3 '!N374+'дод 3 '!N401+'дод 3 '!N325+'дод 3 '!N382+'дод 3 '!N390+'дод 3 '!N370+'дод 3 '!N412</f>
        <v>208200</v>
      </c>
      <c r="N17" s="50">
        <f>'дод 3 '!O20+'дод 3 '!O85+'дод 3 '!O161+'дод 3 '!O197+'дод 3 '!O239+'дод 3 '!O247+'дод 3 '!O267+'дод 3 '!O322+'дод 3 '!O332+'дод 3 '!O359+'дод 3 '!O367+'дод 3 '!O374+'дод 3 '!O401+'дод 3 '!O325+'дод 3 '!O382+'дод 3 '!O390+'дод 3 '!O370+'дод 3 '!O412</f>
        <v>14940879</v>
      </c>
      <c r="O17" s="50">
        <f>'дод 3 '!P20+'дод 3 '!P85+'дод 3 '!P161+'дод 3 '!P197+'дод 3 '!P239+'дод 3 '!P247+'дод 3 '!P267+'дод 3 '!P322+'дод 3 '!P332+'дод 3 '!P359+'дод 3 '!P367+'дод 3 '!P374+'дод 3 '!P401+'дод 3 '!P325+'дод 3 '!P382+'дод 3 '!P390+'дод 3 '!P370+'дод 3 '!P412</f>
        <v>327525779</v>
      </c>
      <c r="P17" s="228"/>
      <c r="Q17" s="228"/>
    </row>
    <row r="18" spans="1:17" ht="33" hidden="1" customHeight="1" x14ac:dyDescent="0.25">
      <c r="A18" s="51" t="s">
        <v>89</v>
      </c>
      <c r="B18" s="51" t="s">
        <v>440</v>
      </c>
      <c r="C18" s="4" t="s">
        <v>431</v>
      </c>
      <c r="D18" s="50">
        <f>'дод 3 '!E21</f>
        <v>0</v>
      </c>
      <c r="E18" s="50">
        <f>'дод 3 '!F21</f>
        <v>0</v>
      </c>
      <c r="F18" s="50">
        <f>'дод 3 '!G21</f>
        <v>0</v>
      </c>
      <c r="G18" s="50">
        <f>'дод 3 '!H21</f>
        <v>0</v>
      </c>
      <c r="H18" s="50">
        <f>'дод 3 '!I21</f>
        <v>0</v>
      </c>
      <c r="I18" s="50">
        <f>'дод 3 '!J21</f>
        <v>0</v>
      </c>
      <c r="J18" s="50">
        <f>'дод 3 '!K21</f>
        <v>0</v>
      </c>
      <c r="K18" s="50">
        <f>'дод 3 '!L21</f>
        <v>0</v>
      </c>
      <c r="L18" s="50">
        <f>'дод 3 '!M21</f>
        <v>0</v>
      </c>
      <c r="M18" s="50">
        <f>'дод 3 '!N21</f>
        <v>0</v>
      </c>
      <c r="N18" s="50">
        <f>'дод 3 '!O21</f>
        <v>0</v>
      </c>
      <c r="O18" s="50">
        <f>'дод 3 '!P21</f>
        <v>0</v>
      </c>
      <c r="P18" s="228"/>
      <c r="Q18" s="228"/>
    </row>
    <row r="19" spans="1:17" ht="22.5" customHeight="1" x14ac:dyDescent="0.25">
      <c r="A19" s="49" t="s">
        <v>44</v>
      </c>
      <c r="B19" s="49" t="s">
        <v>92</v>
      </c>
      <c r="C19" s="4" t="s">
        <v>239</v>
      </c>
      <c r="D19" s="50">
        <f>'дод 3 '!E22+'дод 3 '!E198+'дод 3 '!E268</f>
        <v>1970000</v>
      </c>
      <c r="E19" s="50">
        <f>'дод 3 '!F22+'дод 3 '!F198+'дод 3 '!F268</f>
        <v>1970000</v>
      </c>
      <c r="F19" s="50">
        <f>'дод 3 '!G22+'дод 3 '!G198+'дод 3 '!G268</f>
        <v>0</v>
      </c>
      <c r="G19" s="50">
        <f>'дод 3 '!H22+'дод 3 '!H198+'дод 3 '!H268</f>
        <v>0</v>
      </c>
      <c r="H19" s="50">
        <f>'дод 3 '!I22+'дод 3 '!I198+'дод 3 '!I268</f>
        <v>0</v>
      </c>
      <c r="I19" s="50">
        <f>'дод 3 '!J22+'дод 3 '!J198+'дод 3 '!J268</f>
        <v>0</v>
      </c>
      <c r="J19" s="50">
        <f>'дод 3 '!K22+'дод 3 '!K198+'дод 3 '!K268</f>
        <v>0</v>
      </c>
      <c r="K19" s="50">
        <f>'дод 3 '!L22+'дод 3 '!L198+'дод 3 '!L268</f>
        <v>0</v>
      </c>
      <c r="L19" s="50">
        <f>'дод 3 '!M22+'дод 3 '!M198+'дод 3 '!M268</f>
        <v>0</v>
      </c>
      <c r="M19" s="50">
        <f>'дод 3 '!N22+'дод 3 '!N198+'дод 3 '!N268</f>
        <v>0</v>
      </c>
      <c r="N19" s="50">
        <f>'дод 3 '!O22+'дод 3 '!O198+'дод 3 '!O268</f>
        <v>0</v>
      </c>
      <c r="O19" s="50">
        <f>'дод 3 '!P22+'дод 3 '!P198+'дод 3 '!P268</f>
        <v>1970000</v>
      </c>
      <c r="P19" s="228"/>
      <c r="Q19" s="228"/>
    </row>
    <row r="20" spans="1:17" ht="27" hidden="1" customHeight="1" x14ac:dyDescent="0.25">
      <c r="A20" s="51" t="s">
        <v>419</v>
      </c>
      <c r="B20" s="51" t="s">
        <v>117</v>
      </c>
      <c r="C20" s="4" t="s">
        <v>420</v>
      </c>
      <c r="D20" s="50">
        <f>'дод 3 '!E23</f>
        <v>0</v>
      </c>
      <c r="E20" s="50">
        <f>'дод 3 '!F23</f>
        <v>0</v>
      </c>
      <c r="F20" s="50">
        <f>'дод 3 '!G23</f>
        <v>0</v>
      </c>
      <c r="G20" s="50">
        <f>'дод 3 '!H23</f>
        <v>0</v>
      </c>
      <c r="H20" s="50">
        <f>'дод 3 '!I23</f>
        <v>0</v>
      </c>
      <c r="I20" s="50">
        <f>'дод 3 '!J23</f>
        <v>0</v>
      </c>
      <c r="J20" s="50">
        <f>'дод 3 '!K23</f>
        <v>0</v>
      </c>
      <c r="K20" s="50">
        <f>'дод 3 '!L23</f>
        <v>0</v>
      </c>
      <c r="L20" s="50">
        <f>'дод 3 '!M23</f>
        <v>0</v>
      </c>
      <c r="M20" s="50">
        <f>'дод 3 '!N23</f>
        <v>0</v>
      </c>
      <c r="N20" s="50">
        <f>'дод 3 '!O23</f>
        <v>0</v>
      </c>
      <c r="O20" s="50">
        <f>'дод 3 '!P23</f>
        <v>0</v>
      </c>
      <c r="P20" s="228"/>
      <c r="Q20" s="228"/>
    </row>
    <row r="21" spans="1:17" s="56" customFormat="1" ht="63" hidden="1" customHeight="1" x14ac:dyDescent="0.25">
      <c r="A21" s="52"/>
      <c r="B21" s="53"/>
      <c r="C21" s="54" t="s">
        <v>423</v>
      </c>
      <c r="D21" s="55">
        <f>'дод 3 '!E24</f>
        <v>0</v>
      </c>
      <c r="E21" s="55">
        <f>'дод 3 '!F24</f>
        <v>0</v>
      </c>
      <c r="F21" s="55">
        <f>'дод 3 '!G24</f>
        <v>0</v>
      </c>
      <c r="G21" s="55">
        <f>'дод 3 '!H24</f>
        <v>0</v>
      </c>
      <c r="H21" s="55">
        <f>'дод 3 '!I24</f>
        <v>0</v>
      </c>
      <c r="I21" s="55">
        <f>'дод 3 '!J24</f>
        <v>0</v>
      </c>
      <c r="J21" s="55">
        <f>'дод 3 '!K24</f>
        <v>0</v>
      </c>
      <c r="K21" s="55">
        <f>'дод 3 '!L24</f>
        <v>0</v>
      </c>
      <c r="L21" s="55">
        <f>'дод 3 '!M24</f>
        <v>0</v>
      </c>
      <c r="M21" s="55">
        <f>'дод 3 '!N24</f>
        <v>0</v>
      </c>
      <c r="N21" s="55">
        <f>'дод 3 '!O24</f>
        <v>0</v>
      </c>
      <c r="O21" s="55">
        <f>'дод 3 '!P24</f>
        <v>0</v>
      </c>
      <c r="P21" s="228"/>
      <c r="Q21" s="228"/>
    </row>
    <row r="22" spans="1:17" s="43" customFormat="1" ht="18.75" customHeight="1" x14ac:dyDescent="0.25">
      <c r="A22" s="57" t="s">
        <v>46</v>
      </c>
      <c r="B22" s="58"/>
      <c r="C22" s="47" t="s">
        <v>660</v>
      </c>
      <c r="D22" s="48">
        <f>D36+D38+D46+D48+D49+D52+D54+D56+D59+D61+D62+D66+D67+D68+D69+D71+D72+D73+D75+D77+D79+D81+D63+D64+D83+D84</f>
        <v>1528523402.8900001</v>
      </c>
      <c r="E22" s="48">
        <f t="shared" ref="E22:O22" si="2">E36+E38+E46+E48+E49+E52+E54+E56+E59+E61+E62+E66+E67+E68+E69+E71+E72+E73+E75+E77+E79+E81+E63+E64+E83+E84</f>
        <v>1528523402.8900001</v>
      </c>
      <c r="F22" s="48">
        <f t="shared" si="2"/>
        <v>1069869670</v>
      </c>
      <c r="G22" s="48">
        <f t="shared" si="2"/>
        <v>142376600</v>
      </c>
      <c r="H22" s="48">
        <f t="shared" si="2"/>
        <v>0</v>
      </c>
      <c r="I22" s="48">
        <f t="shared" si="2"/>
        <v>204414919</v>
      </c>
      <c r="J22" s="48">
        <f t="shared" si="2"/>
        <v>98604217.650000006</v>
      </c>
      <c r="K22" s="48">
        <f t="shared" si="2"/>
        <v>104825160</v>
      </c>
      <c r="L22" s="48">
        <f t="shared" si="2"/>
        <v>9759935</v>
      </c>
      <c r="M22" s="48">
        <f t="shared" si="2"/>
        <v>5594400</v>
      </c>
      <c r="N22" s="48">
        <f t="shared" si="2"/>
        <v>99589759</v>
      </c>
      <c r="O22" s="48">
        <f t="shared" si="2"/>
        <v>1732938321.8900001</v>
      </c>
      <c r="P22" s="228"/>
      <c r="Q22" s="228"/>
    </row>
    <row r="23" spans="1:17" s="62" customFormat="1" ht="25.9" customHeight="1" x14ac:dyDescent="0.25">
      <c r="A23" s="59"/>
      <c r="B23" s="8"/>
      <c r="C23" s="60" t="s">
        <v>383</v>
      </c>
      <c r="D23" s="61">
        <f>D50+D53+D55+D65</f>
        <v>551078300</v>
      </c>
      <c r="E23" s="61">
        <f t="shared" ref="E23:O23" si="3">E50+E53+E55+E65</f>
        <v>551078300</v>
      </c>
      <c r="F23" s="61">
        <f t="shared" si="3"/>
        <v>452384600</v>
      </c>
      <c r="G23" s="61">
        <f t="shared" si="3"/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  <c r="M23" s="61">
        <f t="shared" si="3"/>
        <v>0</v>
      </c>
      <c r="N23" s="61">
        <f t="shared" si="3"/>
        <v>0</v>
      </c>
      <c r="O23" s="61">
        <f t="shared" si="3"/>
        <v>551078300</v>
      </c>
      <c r="P23" s="228"/>
      <c r="Q23" s="228"/>
    </row>
    <row r="24" spans="1:17" s="62" customFormat="1" ht="31.5" customHeight="1" x14ac:dyDescent="0.25">
      <c r="A24" s="59"/>
      <c r="B24" s="8"/>
      <c r="C24" s="9" t="s">
        <v>599</v>
      </c>
      <c r="D24" s="61">
        <f>D58</f>
        <v>351767.89</v>
      </c>
      <c r="E24" s="61">
        <f t="shared" ref="E24:O24" si="4">E58</f>
        <v>351767.89</v>
      </c>
      <c r="F24" s="61">
        <f t="shared" si="4"/>
        <v>290000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4"/>
        <v>0</v>
      </c>
      <c r="M24" s="61">
        <f t="shared" si="4"/>
        <v>0</v>
      </c>
      <c r="N24" s="61">
        <f t="shared" si="4"/>
        <v>0</v>
      </c>
      <c r="O24" s="61">
        <f t="shared" si="4"/>
        <v>351767.89</v>
      </c>
      <c r="P24" s="228"/>
      <c r="Q24" s="228"/>
    </row>
    <row r="25" spans="1:17" s="62" customFormat="1" ht="34.9" customHeight="1" x14ac:dyDescent="0.25">
      <c r="A25" s="59"/>
      <c r="B25" s="8"/>
      <c r="C25" s="60" t="s">
        <v>378</v>
      </c>
      <c r="D25" s="61">
        <f>D51+D70</f>
        <v>4320175</v>
      </c>
      <c r="E25" s="61">
        <f t="shared" ref="E25:O25" si="5">E51+E70</f>
        <v>4320175</v>
      </c>
      <c r="F25" s="61">
        <f t="shared" si="5"/>
        <v>1714570</v>
      </c>
      <c r="G25" s="61">
        <f t="shared" si="5"/>
        <v>0</v>
      </c>
      <c r="H25" s="61">
        <f t="shared" si="5"/>
        <v>0</v>
      </c>
      <c r="I25" s="61">
        <f t="shared" si="5"/>
        <v>0</v>
      </c>
      <c r="J25" s="61">
        <f t="shared" si="5"/>
        <v>0</v>
      </c>
      <c r="K25" s="61">
        <f t="shared" si="5"/>
        <v>0</v>
      </c>
      <c r="L25" s="61">
        <f t="shared" si="5"/>
        <v>0</v>
      </c>
      <c r="M25" s="61">
        <f t="shared" si="5"/>
        <v>0</v>
      </c>
      <c r="N25" s="61">
        <f t="shared" si="5"/>
        <v>0</v>
      </c>
      <c r="O25" s="61">
        <f t="shared" si="5"/>
        <v>4320175</v>
      </c>
      <c r="P25" s="228"/>
      <c r="Q25" s="228"/>
    </row>
    <row r="26" spans="1:17" s="62" customFormat="1" ht="47.25" hidden="1" customHeight="1" x14ac:dyDescent="0.25">
      <c r="A26" s="59"/>
      <c r="B26" s="8"/>
      <c r="C26" s="60" t="s">
        <v>380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228"/>
      <c r="Q26" s="228"/>
    </row>
    <row r="27" spans="1:17" s="62" customFormat="1" ht="53.25" hidden="1" customHeight="1" x14ac:dyDescent="0.25">
      <c r="A27" s="59"/>
      <c r="B27" s="8"/>
      <c r="C27" s="9" t="s">
        <v>377</v>
      </c>
      <c r="D27" s="61">
        <f>D80</f>
        <v>0</v>
      </c>
      <c r="E27" s="61">
        <f t="shared" ref="E27:O27" si="6">E80</f>
        <v>0</v>
      </c>
      <c r="F27" s="61">
        <f t="shared" si="6"/>
        <v>0</v>
      </c>
      <c r="G27" s="61">
        <f t="shared" si="6"/>
        <v>0</v>
      </c>
      <c r="H27" s="61">
        <f t="shared" si="6"/>
        <v>0</v>
      </c>
      <c r="I27" s="61">
        <f t="shared" si="6"/>
        <v>0</v>
      </c>
      <c r="J27" s="61">
        <f t="shared" si="6"/>
        <v>0</v>
      </c>
      <c r="K27" s="61">
        <f t="shared" si="6"/>
        <v>0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1">
        <f t="shared" si="6"/>
        <v>0</v>
      </c>
      <c r="P27" s="228"/>
      <c r="Q27" s="228"/>
    </row>
    <row r="28" spans="1:17" s="62" customFormat="1" ht="63" hidden="1" customHeight="1" x14ac:dyDescent="0.25">
      <c r="A28" s="59"/>
      <c r="B28" s="8"/>
      <c r="C28" s="60" t="s">
        <v>379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228"/>
      <c r="Q28" s="228"/>
    </row>
    <row r="29" spans="1:17" s="62" customFormat="1" ht="63" hidden="1" customHeight="1" x14ac:dyDescent="0.25">
      <c r="A29" s="59"/>
      <c r="B29" s="59"/>
      <c r="C29" s="9" t="s">
        <v>488</v>
      </c>
      <c r="D29" s="61">
        <f>D82</f>
        <v>0</v>
      </c>
      <c r="E29" s="61">
        <f t="shared" ref="E29:O29" si="7">E82</f>
        <v>0</v>
      </c>
      <c r="F29" s="61">
        <f t="shared" si="7"/>
        <v>0</v>
      </c>
      <c r="G29" s="61">
        <f t="shared" si="7"/>
        <v>0</v>
      </c>
      <c r="H29" s="61">
        <f t="shared" si="7"/>
        <v>0</v>
      </c>
      <c r="I29" s="61">
        <f t="shared" si="7"/>
        <v>0</v>
      </c>
      <c r="J29" s="61">
        <f t="shared" si="7"/>
        <v>0</v>
      </c>
      <c r="K29" s="61">
        <f t="shared" si="7"/>
        <v>0</v>
      </c>
      <c r="L29" s="61">
        <f t="shared" si="7"/>
        <v>0</v>
      </c>
      <c r="M29" s="61">
        <f t="shared" si="7"/>
        <v>0</v>
      </c>
      <c r="N29" s="61">
        <f t="shared" si="7"/>
        <v>0</v>
      </c>
      <c r="O29" s="61">
        <f t="shared" si="7"/>
        <v>0</v>
      </c>
      <c r="P29" s="228"/>
      <c r="Q29" s="228"/>
    </row>
    <row r="30" spans="1:17" s="62" customFormat="1" ht="31.5" hidden="1" customHeight="1" x14ac:dyDescent="0.25">
      <c r="A30" s="59"/>
      <c r="B30" s="59"/>
      <c r="C30" s="9" t="s">
        <v>502</v>
      </c>
      <c r="D30" s="61">
        <f>D58+D60</f>
        <v>351767.89</v>
      </c>
      <c r="E30" s="61">
        <f t="shared" ref="E30:O30" si="8">E58+E60</f>
        <v>351767.89</v>
      </c>
      <c r="F30" s="61">
        <f t="shared" si="8"/>
        <v>290000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351767.89</v>
      </c>
      <c r="P30" s="228"/>
      <c r="Q30" s="228"/>
    </row>
    <row r="31" spans="1:17" s="62" customFormat="1" ht="55.5" hidden="1" customHeight="1" x14ac:dyDescent="0.25">
      <c r="A31" s="59"/>
      <c r="B31" s="59"/>
      <c r="C31" s="9" t="s">
        <v>539</v>
      </c>
      <c r="D31" s="61">
        <f>D74</f>
        <v>0</v>
      </c>
      <c r="E31" s="61">
        <f t="shared" ref="E31:O31" si="9">E74</f>
        <v>0</v>
      </c>
      <c r="F31" s="61">
        <f t="shared" si="9"/>
        <v>0</v>
      </c>
      <c r="G31" s="61">
        <f t="shared" si="9"/>
        <v>0</v>
      </c>
      <c r="H31" s="61">
        <f t="shared" si="9"/>
        <v>0</v>
      </c>
      <c r="I31" s="61">
        <f t="shared" si="9"/>
        <v>0</v>
      </c>
      <c r="J31" s="61">
        <f t="shared" si="9"/>
        <v>0</v>
      </c>
      <c r="K31" s="61">
        <f t="shared" si="9"/>
        <v>0</v>
      </c>
      <c r="L31" s="61">
        <f t="shared" si="9"/>
        <v>0</v>
      </c>
      <c r="M31" s="61">
        <f t="shared" si="9"/>
        <v>0</v>
      </c>
      <c r="N31" s="61">
        <f t="shared" si="9"/>
        <v>0</v>
      </c>
      <c r="O31" s="61">
        <f t="shared" si="9"/>
        <v>0</v>
      </c>
      <c r="P31" s="228"/>
      <c r="Q31" s="228"/>
    </row>
    <row r="32" spans="1:17" s="62" customFormat="1" ht="63" hidden="1" customHeight="1" x14ac:dyDescent="0.25">
      <c r="A32" s="59"/>
      <c r="B32" s="59"/>
      <c r="C32" s="9" t="s">
        <v>519</v>
      </c>
      <c r="D32" s="61">
        <f>D78</f>
        <v>0</v>
      </c>
      <c r="E32" s="61">
        <f t="shared" ref="E32:O32" si="10">E78</f>
        <v>0</v>
      </c>
      <c r="F32" s="61">
        <f t="shared" si="10"/>
        <v>0</v>
      </c>
      <c r="G32" s="61">
        <f t="shared" si="10"/>
        <v>0</v>
      </c>
      <c r="H32" s="61">
        <f t="shared" si="10"/>
        <v>0</v>
      </c>
      <c r="I32" s="61">
        <f t="shared" si="10"/>
        <v>0</v>
      </c>
      <c r="J32" s="61">
        <f t="shared" si="10"/>
        <v>0</v>
      </c>
      <c r="K32" s="61">
        <f t="shared" si="10"/>
        <v>0</v>
      </c>
      <c r="L32" s="61">
        <f t="shared" si="10"/>
        <v>0</v>
      </c>
      <c r="M32" s="61">
        <f t="shared" si="10"/>
        <v>0</v>
      </c>
      <c r="N32" s="61">
        <f t="shared" si="10"/>
        <v>0</v>
      </c>
      <c r="O32" s="61">
        <f t="shared" si="10"/>
        <v>0</v>
      </c>
      <c r="P32" s="228"/>
      <c r="Q32" s="228"/>
    </row>
    <row r="33" spans="1:17" s="62" customFormat="1" ht="15.75" hidden="1" customHeight="1" x14ac:dyDescent="0.25">
      <c r="A33" s="59"/>
      <c r="B33" s="59"/>
      <c r="C33" s="9" t="s">
        <v>388</v>
      </c>
      <c r="D33" s="61">
        <f>D76</f>
        <v>0</v>
      </c>
      <c r="E33" s="61">
        <f t="shared" ref="E33:O33" si="11">E76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0</v>
      </c>
      <c r="J33" s="61">
        <f t="shared" si="11"/>
        <v>0</v>
      </c>
      <c r="K33" s="61">
        <f t="shared" si="11"/>
        <v>0</v>
      </c>
      <c r="L33" s="61">
        <f t="shared" si="11"/>
        <v>0</v>
      </c>
      <c r="M33" s="61">
        <f t="shared" si="11"/>
        <v>0</v>
      </c>
      <c r="N33" s="61">
        <f t="shared" si="11"/>
        <v>0</v>
      </c>
      <c r="O33" s="61">
        <f t="shared" si="11"/>
        <v>0</v>
      </c>
      <c r="P33" s="228"/>
      <c r="Q33" s="228"/>
    </row>
    <row r="34" spans="1:17" s="62" customFormat="1" ht="61.5" hidden="1" customHeight="1" x14ac:dyDescent="0.25">
      <c r="A34" s="59"/>
      <c r="B34" s="59"/>
      <c r="C34" s="9" t="str">
        <f>'дод 3 '!D80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4" s="61">
        <f>D40</f>
        <v>0</v>
      </c>
      <c r="E34" s="61">
        <f t="shared" ref="E34:O34" si="12">E40</f>
        <v>0</v>
      </c>
      <c r="F34" s="61">
        <f t="shared" si="12"/>
        <v>0</v>
      </c>
      <c r="G34" s="61">
        <f t="shared" si="12"/>
        <v>0</v>
      </c>
      <c r="H34" s="61">
        <f t="shared" si="12"/>
        <v>0</v>
      </c>
      <c r="I34" s="61">
        <f t="shared" si="12"/>
        <v>0</v>
      </c>
      <c r="J34" s="61">
        <f t="shared" si="12"/>
        <v>0</v>
      </c>
      <c r="K34" s="61">
        <f t="shared" si="12"/>
        <v>0</v>
      </c>
      <c r="L34" s="61">
        <f t="shared" si="12"/>
        <v>0</v>
      </c>
      <c r="M34" s="61">
        <f t="shared" si="12"/>
        <v>0</v>
      </c>
      <c r="N34" s="61">
        <f t="shared" si="12"/>
        <v>0</v>
      </c>
      <c r="O34" s="61">
        <f t="shared" si="12"/>
        <v>0</v>
      </c>
      <c r="P34" s="228"/>
      <c r="Q34" s="228"/>
    </row>
    <row r="35" spans="1:17" s="62" customFormat="1" ht="48.75" hidden="1" customHeight="1" x14ac:dyDescent="0.25">
      <c r="A35" s="59"/>
      <c r="B35" s="59"/>
      <c r="C35" s="9" t="s">
        <v>688</v>
      </c>
      <c r="D35" s="61">
        <f>D85</f>
        <v>0</v>
      </c>
      <c r="E35" s="61">
        <f t="shared" ref="E35:O35" si="13">E85</f>
        <v>0</v>
      </c>
      <c r="F35" s="61">
        <f t="shared" si="13"/>
        <v>0</v>
      </c>
      <c r="G35" s="61">
        <f t="shared" si="13"/>
        <v>0</v>
      </c>
      <c r="H35" s="61">
        <f t="shared" si="13"/>
        <v>0</v>
      </c>
      <c r="I35" s="61">
        <f>I85</f>
        <v>0</v>
      </c>
      <c r="J35" s="61">
        <f t="shared" si="13"/>
        <v>0</v>
      </c>
      <c r="K35" s="61">
        <f t="shared" si="13"/>
        <v>0</v>
      </c>
      <c r="L35" s="61">
        <f t="shared" si="13"/>
        <v>0</v>
      </c>
      <c r="M35" s="61">
        <f t="shared" si="13"/>
        <v>0</v>
      </c>
      <c r="N35" s="61">
        <f t="shared" si="13"/>
        <v>0</v>
      </c>
      <c r="O35" s="61">
        <f t="shared" si="13"/>
        <v>0</v>
      </c>
      <c r="P35" s="228"/>
      <c r="Q35" s="228"/>
    </row>
    <row r="36" spans="1:17" ht="17.25" customHeight="1" x14ac:dyDescent="0.25">
      <c r="A36" s="49" t="s">
        <v>47</v>
      </c>
      <c r="B36" s="49" t="s">
        <v>48</v>
      </c>
      <c r="C36" s="4" t="s">
        <v>477</v>
      </c>
      <c r="D36" s="50">
        <f>'дод 3 '!E86+'дод 3 '!E333</f>
        <v>375262720</v>
      </c>
      <c r="E36" s="50">
        <f>'дод 3 '!F86+'дод 3 '!F333</f>
        <v>375262720</v>
      </c>
      <c r="F36" s="50">
        <f>'дод 3 '!G86+'дод 3 '!G333</f>
        <v>260000000</v>
      </c>
      <c r="G36" s="50">
        <f>'дод 3 '!H86+'дод 3 '!H333</f>
        <v>46095800</v>
      </c>
      <c r="H36" s="50">
        <f>'дод 3 '!I86+'дод 3 '!I333</f>
        <v>0</v>
      </c>
      <c r="I36" s="50">
        <f>'дод 3 '!J86+'дод 3 '!J333</f>
        <v>110412975</v>
      </c>
      <c r="J36" s="50">
        <f>'дод 3 '!K86+'дод 3 '!K333</f>
        <v>79660483.650000006</v>
      </c>
      <c r="K36" s="50">
        <f>'дод 3 '!L86+'дод 3 '!L333</f>
        <v>29919150</v>
      </c>
      <c r="L36" s="50">
        <f>'дод 3 '!M86+'дод 3 '!M333</f>
        <v>0</v>
      </c>
      <c r="M36" s="50">
        <f>'дод 3 '!N86+'дод 3 '!N333</f>
        <v>0</v>
      </c>
      <c r="N36" s="50">
        <f>'дод 3 '!O86+'дод 3 '!O333</f>
        <v>80493825</v>
      </c>
      <c r="O36" s="50">
        <f>'дод 3 '!P86+'дод 3 '!P333</f>
        <v>485675695</v>
      </c>
      <c r="P36" s="228"/>
      <c r="Q36" s="228"/>
    </row>
    <row r="37" spans="1:17" s="56" customFormat="1" ht="47.25" hidden="1" customHeight="1" x14ac:dyDescent="0.25">
      <c r="A37" s="52"/>
      <c r="B37" s="52"/>
      <c r="C37" s="54" t="s">
        <v>377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28"/>
      <c r="Q37" s="228"/>
    </row>
    <row r="38" spans="1:17" ht="38.25" customHeight="1" x14ac:dyDescent="0.25">
      <c r="A38" s="49">
        <v>1021</v>
      </c>
      <c r="B38" s="49" t="s">
        <v>50</v>
      </c>
      <c r="C38" s="63" t="s">
        <v>661</v>
      </c>
      <c r="D38" s="50">
        <f>'дод 3 '!E87+'дод 3 '!E334</f>
        <v>268265640</v>
      </c>
      <c r="E38" s="50">
        <f>'дод 3 '!F87+'дод 3 '!F334</f>
        <v>268265640</v>
      </c>
      <c r="F38" s="50">
        <f>'дод 3 '!G87+'дод 3 '!G334</f>
        <v>146950000</v>
      </c>
      <c r="G38" s="50">
        <f>'дод 3 '!H87+'дод 3 '!H334</f>
        <v>63822800</v>
      </c>
      <c r="H38" s="50">
        <f>'дод 3 '!I87+'дод 3 '!I334</f>
        <v>0</v>
      </c>
      <c r="I38" s="50">
        <f>'дод 3 '!J87+'дод 3 '!J334</f>
        <v>70173484</v>
      </c>
      <c r="J38" s="50">
        <f>'дод 3 '!K87+'дод 3 '!K334</f>
        <v>13388734</v>
      </c>
      <c r="K38" s="50">
        <f>'дод 3 '!L87+'дод 3 '!L334</f>
        <v>56784750</v>
      </c>
      <c r="L38" s="50">
        <f>'дод 3 '!M87+'дод 3 '!M334</f>
        <v>2197510</v>
      </c>
      <c r="M38" s="50">
        <f>'дод 3 '!N87+'дод 3 '!N334</f>
        <v>276700</v>
      </c>
      <c r="N38" s="50">
        <f>'дод 3 '!O87+'дод 3 '!O334</f>
        <v>13388734</v>
      </c>
      <c r="O38" s="50">
        <f>'дод 3 '!P87+'дод 3 '!P334</f>
        <v>338439124</v>
      </c>
      <c r="P38" s="228"/>
      <c r="Q38" s="228"/>
    </row>
    <row r="39" spans="1:17" s="56" customFormat="1" ht="63" hidden="1" customHeight="1" x14ac:dyDescent="0.25">
      <c r="A39" s="52"/>
      <c r="B39" s="52"/>
      <c r="C39" s="54" t="s">
        <v>381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228"/>
      <c r="Q39" s="228"/>
    </row>
    <row r="40" spans="1:17" s="56" customFormat="1" ht="50.25" hidden="1" customHeight="1" x14ac:dyDescent="0.25">
      <c r="A40" s="52"/>
      <c r="B40" s="52"/>
      <c r="C40" s="64" t="str">
        <f>'дод 3 '!D88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0" s="55">
        <f>'дод 3 '!E88</f>
        <v>0</v>
      </c>
      <c r="E40" s="55">
        <f>'дод 3 '!F88</f>
        <v>0</v>
      </c>
      <c r="F40" s="55">
        <f>'дод 3 '!G88</f>
        <v>0</v>
      </c>
      <c r="G40" s="55">
        <f>'дод 3 '!H88</f>
        <v>0</v>
      </c>
      <c r="H40" s="55">
        <f>'дод 3 '!I88</f>
        <v>0</v>
      </c>
      <c r="I40" s="55">
        <f>'дод 3 '!J88</f>
        <v>0</v>
      </c>
      <c r="J40" s="55">
        <f>'дод 3 '!K88</f>
        <v>0</v>
      </c>
      <c r="K40" s="55">
        <f>'дод 3 '!L88</f>
        <v>0</v>
      </c>
      <c r="L40" s="55">
        <f>'дод 3 '!M88</f>
        <v>0</v>
      </c>
      <c r="M40" s="55">
        <f>'дод 3 '!N88</f>
        <v>0</v>
      </c>
      <c r="N40" s="55">
        <f>'дод 3 '!O88</f>
        <v>0</v>
      </c>
      <c r="O40" s="55">
        <f>'дод 3 '!P88</f>
        <v>0</v>
      </c>
      <c r="P40" s="228"/>
      <c r="Q40" s="228"/>
    </row>
    <row r="41" spans="1:17" s="56" customFormat="1" ht="47.25" hidden="1" customHeight="1" x14ac:dyDescent="0.25">
      <c r="A41" s="52"/>
      <c r="B41" s="52"/>
      <c r="C41" s="54" t="s">
        <v>378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28"/>
      <c r="Q41" s="228"/>
    </row>
    <row r="42" spans="1:17" s="56" customFormat="1" ht="47.25" hidden="1" customHeight="1" x14ac:dyDescent="0.25">
      <c r="A42" s="52"/>
      <c r="B42" s="52"/>
      <c r="C42" s="54" t="s">
        <v>380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28"/>
      <c r="Q42" s="228"/>
    </row>
    <row r="43" spans="1:17" s="56" customFormat="1" ht="58.5" hidden="1" customHeight="1" x14ac:dyDescent="0.25">
      <c r="A43" s="52"/>
      <c r="B43" s="52"/>
      <c r="C43" s="54" t="s">
        <v>377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228"/>
      <c r="Q43" s="228"/>
    </row>
    <row r="44" spans="1:17" s="56" customFormat="1" ht="31.5" hidden="1" customHeight="1" x14ac:dyDescent="0.25">
      <c r="A44" s="52"/>
      <c r="B44" s="52"/>
      <c r="C44" s="54" t="s">
        <v>383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228"/>
      <c r="Q44" s="228"/>
    </row>
    <row r="45" spans="1:17" s="56" customFormat="1" ht="63" hidden="1" customHeight="1" x14ac:dyDescent="0.25">
      <c r="A45" s="52"/>
      <c r="B45" s="52"/>
      <c r="C45" s="54" t="s">
        <v>379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228"/>
      <c r="Q45" s="228"/>
    </row>
    <row r="46" spans="1:17" ht="64.150000000000006" customHeight="1" x14ac:dyDescent="0.25">
      <c r="A46" s="49">
        <v>1022</v>
      </c>
      <c r="B46" s="1" t="s">
        <v>54</v>
      </c>
      <c r="C46" s="63" t="s">
        <v>662</v>
      </c>
      <c r="D46" s="50">
        <f>'дод 3 '!E89+'дод 3 '!E335</f>
        <v>19640200</v>
      </c>
      <c r="E46" s="50">
        <f>'дод 3 '!F89+'дод 3 '!F335</f>
        <v>19640200</v>
      </c>
      <c r="F46" s="50">
        <f>'дод 3 '!G89+'дод 3 '!G335</f>
        <v>11259000</v>
      </c>
      <c r="G46" s="50">
        <f>'дод 3 '!H89+'дод 3 '!H335</f>
        <v>2667000</v>
      </c>
      <c r="H46" s="50">
        <f>'дод 3 '!I89+'дод 3 '!I335</f>
        <v>0</v>
      </c>
      <c r="I46" s="50">
        <f>'дод 3 '!J89+'дод 3 '!J335</f>
        <v>0</v>
      </c>
      <c r="J46" s="50">
        <f>'дод 3 '!K89+'дод 3 '!K335</f>
        <v>0</v>
      </c>
      <c r="K46" s="50">
        <f>'дод 3 '!L89+'дод 3 '!L335</f>
        <v>0</v>
      </c>
      <c r="L46" s="50">
        <f>'дод 3 '!M89+'дод 3 '!M335</f>
        <v>0</v>
      </c>
      <c r="M46" s="50">
        <f>'дод 3 '!N89+'дод 3 '!N335</f>
        <v>0</v>
      </c>
      <c r="N46" s="50">
        <f>'дод 3 '!O89+'дод 3 '!O335</f>
        <v>0</v>
      </c>
      <c r="O46" s="50">
        <f>'дод 3 '!P89+'дод 3 '!P335</f>
        <v>19640200</v>
      </c>
      <c r="P46" s="228"/>
      <c r="Q46" s="228"/>
    </row>
    <row r="47" spans="1:17" ht="78.75" hidden="1" customHeight="1" x14ac:dyDescent="0.25">
      <c r="A47" s="49"/>
      <c r="B47" s="49"/>
      <c r="C47" s="54" t="s">
        <v>381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228"/>
      <c r="Q47" s="228"/>
    </row>
    <row r="48" spans="1:17" ht="64.5" customHeight="1" x14ac:dyDescent="0.25">
      <c r="A48" s="49">
        <v>1025</v>
      </c>
      <c r="B48" s="49" t="s">
        <v>54</v>
      </c>
      <c r="C48" s="65" t="s">
        <v>663</v>
      </c>
      <c r="D48" s="50">
        <f>'дод 3 '!E90</f>
        <v>14028100</v>
      </c>
      <c r="E48" s="50">
        <f>'дод 3 '!F90</f>
        <v>14028100</v>
      </c>
      <c r="F48" s="50">
        <f>'дод 3 '!G90</f>
        <v>9815000</v>
      </c>
      <c r="G48" s="50">
        <f>'дод 3 '!H90</f>
        <v>1219000</v>
      </c>
      <c r="H48" s="50">
        <f>'дод 3 '!I90</f>
        <v>0</v>
      </c>
      <c r="I48" s="50">
        <f>'дод 3 '!J90</f>
        <v>0</v>
      </c>
      <c r="J48" s="50">
        <f>'дод 3 '!K90</f>
        <v>0</v>
      </c>
      <c r="K48" s="50">
        <f>'дод 3 '!L90</f>
        <v>0</v>
      </c>
      <c r="L48" s="50">
        <f>'дод 3 '!M90</f>
        <v>0</v>
      </c>
      <c r="M48" s="50">
        <f>'дод 3 '!N90</f>
        <v>0</v>
      </c>
      <c r="N48" s="50">
        <f>'дод 3 '!O90</f>
        <v>0</v>
      </c>
      <c r="O48" s="50">
        <f>'дод 3 '!P90</f>
        <v>14028100</v>
      </c>
      <c r="P48" s="228"/>
      <c r="Q48" s="228"/>
    </row>
    <row r="49" spans="1:17" s="56" customFormat="1" ht="47.25" x14ac:dyDescent="0.25">
      <c r="A49" s="3">
        <v>1031</v>
      </c>
      <c r="B49" s="1" t="s">
        <v>50</v>
      </c>
      <c r="C49" s="63" t="s">
        <v>664</v>
      </c>
      <c r="D49" s="50">
        <f>'дод 3 '!E91</f>
        <v>508400300</v>
      </c>
      <c r="E49" s="50">
        <f>'дод 3 '!F91</f>
        <v>508400300</v>
      </c>
      <c r="F49" s="50">
        <f>'дод 3 '!G91</f>
        <v>415576000</v>
      </c>
      <c r="G49" s="50">
        <f>'дод 3 '!H91</f>
        <v>0</v>
      </c>
      <c r="H49" s="50">
        <f>'дод 3 '!I91</f>
        <v>0</v>
      </c>
      <c r="I49" s="50">
        <f>'дод 3 '!J91</f>
        <v>0</v>
      </c>
      <c r="J49" s="50">
        <f>'дод 3 '!K91</f>
        <v>0</v>
      </c>
      <c r="K49" s="50">
        <f>'дод 3 '!L91</f>
        <v>0</v>
      </c>
      <c r="L49" s="50">
        <f>'дод 3 '!M91</f>
        <v>0</v>
      </c>
      <c r="M49" s="50">
        <f>'дод 3 '!N91</f>
        <v>0</v>
      </c>
      <c r="N49" s="50">
        <f>'дод 3 '!O91</f>
        <v>0</v>
      </c>
      <c r="O49" s="50">
        <f>'дод 3 '!P91</f>
        <v>508400300</v>
      </c>
      <c r="P49" s="228"/>
      <c r="Q49" s="228"/>
    </row>
    <row r="50" spans="1:17" s="56" customFormat="1" ht="18.75" customHeight="1" x14ac:dyDescent="0.25">
      <c r="A50" s="52"/>
      <c r="B50" s="52"/>
      <c r="C50" s="64" t="s">
        <v>383</v>
      </c>
      <c r="D50" s="55">
        <f>'дод 3 '!E92</f>
        <v>506171900</v>
      </c>
      <c r="E50" s="55">
        <f>'дод 3 '!F92</f>
        <v>506171900</v>
      </c>
      <c r="F50" s="55">
        <f>'дод 3 '!G92</f>
        <v>415576000</v>
      </c>
      <c r="G50" s="55">
        <f>'дод 3 '!H92</f>
        <v>0</v>
      </c>
      <c r="H50" s="55">
        <f>'дод 3 '!I92</f>
        <v>0</v>
      </c>
      <c r="I50" s="55">
        <f>'дод 3 '!J92</f>
        <v>0</v>
      </c>
      <c r="J50" s="55">
        <f>'дод 3 '!K92</f>
        <v>0</v>
      </c>
      <c r="K50" s="55">
        <f>'дод 3 '!L92</f>
        <v>0</v>
      </c>
      <c r="L50" s="55">
        <f>'дод 3 '!M92</f>
        <v>0</v>
      </c>
      <c r="M50" s="55">
        <f>'дод 3 '!N92</f>
        <v>0</v>
      </c>
      <c r="N50" s="55">
        <f>'дод 3 '!O92</f>
        <v>0</v>
      </c>
      <c r="O50" s="55">
        <f>'дод 3 '!P92</f>
        <v>506171900</v>
      </c>
      <c r="P50" s="228"/>
      <c r="Q50" s="228"/>
    </row>
    <row r="51" spans="1:17" ht="36" customHeight="1" x14ac:dyDescent="0.25">
      <c r="A51" s="49"/>
      <c r="B51" s="49"/>
      <c r="C51" s="64" t="s">
        <v>378</v>
      </c>
      <c r="D51" s="55">
        <f>'дод 3 '!E93</f>
        <v>2228400</v>
      </c>
      <c r="E51" s="55">
        <f>'дод 3 '!F93</f>
        <v>2228400</v>
      </c>
      <c r="F51" s="55">
        <f>'дод 3 '!G93</f>
        <v>0</v>
      </c>
      <c r="G51" s="55">
        <f>'дод 3 '!H93</f>
        <v>0</v>
      </c>
      <c r="H51" s="55">
        <f>'дод 3 '!I93</f>
        <v>0</v>
      </c>
      <c r="I51" s="55">
        <f>'дод 3 '!J93</f>
        <v>0</v>
      </c>
      <c r="J51" s="55">
        <f>'дод 3 '!K93</f>
        <v>0</v>
      </c>
      <c r="K51" s="55">
        <f>'дод 3 '!L93</f>
        <v>0</v>
      </c>
      <c r="L51" s="55">
        <f>'дод 3 '!M93</f>
        <v>0</v>
      </c>
      <c r="M51" s="55">
        <f>'дод 3 '!N93</f>
        <v>0</v>
      </c>
      <c r="N51" s="55">
        <f>'дод 3 '!O93</f>
        <v>0</v>
      </c>
      <c r="O51" s="55">
        <f>'дод 3 '!P93</f>
        <v>2228400</v>
      </c>
      <c r="P51" s="228"/>
      <c r="Q51" s="228"/>
    </row>
    <row r="52" spans="1:17" ht="52.5" customHeight="1" x14ac:dyDescent="0.25">
      <c r="A52" s="1" t="s">
        <v>451</v>
      </c>
      <c r="B52" s="1" t="s">
        <v>54</v>
      </c>
      <c r="C52" s="63" t="s">
        <v>665</v>
      </c>
      <c r="D52" s="50">
        <f>'дод 3 '!E94</f>
        <v>20154300</v>
      </c>
      <c r="E52" s="50">
        <f>'дод 3 '!F94</f>
        <v>20154300</v>
      </c>
      <c r="F52" s="50">
        <f>'дод 3 '!G94</f>
        <v>16520000</v>
      </c>
      <c r="G52" s="50">
        <f>'дод 3 '!H94</f>
        <v>0</v>
      </c>
      <c r="H52" s="50">
        <f>'дод 3 '!I94</f>
        <v>0</v>
      </c>
      <c r="I52" s="50">
        <f>'дод 3 '!J94</f>
        <v>0</v>
      </c>
      <c r="J52" s="50">
        <f>'дод 3 '!K94</f>
        <v>0</v>
      </c>
      <c r="K52" s="50">
        <f>'дод 3 '!L94</f>
        <v>0</v>
      </c>
      <c r="L52" s="50">
        <f>'дод 3 '!M94</f>
        <v>0</v>
      </c>
      <c r="M52" s="50">
        <f>'дод 3 '!N94</f>
        <v>0</v>
      </c>
      <c r="N52" s="50">
        <f>'дод 3 '!O94</f>
        <v>0</v>
      </c>
      <c r="O52" s="50">
        <f>'дод 3 '!P94</f>
        <v>20154300</v>
      </c>
      <c r="P52" s="228"/>
      <c r="Q52" s="228"/>
    </row>
    <row r="53" spans="1:17" ht="31.5" customHeight="1" x14ac:dyDescent="0.25">
      <c r="A53" s="49"/>
      <c r="B53" s="49"/>
      <c r="C53" s="64" t="s">
        <v>383</v>
      </c>
      <c r="D53" s="55">
        <f>'дод 3 '!E95</f>
        <v>20154300</v>
      </c>
      <c r="E53" s="55">
        <f>'дод 3 '!F95</f>
        <v>20154300</v>
      </c>
      <c r="F53" s="55">
        <f>'дод 3 '!G95</f>
        <v>16520000</v>
      </c>
      <c r="G53" s="55">
        <f>'дод 3 '!H95</f>
        <v>0</v>
      </c>
      <c r="H53" s="55">
        <f>'дод 3 '!I95</f>
        <v>0</v>
      </c>
      <c r="I53" s="55">
        <f>'дод 3 '!J95</f>
        <v>0</v>
      </c>
      <c r="J53" s="55">
        <f>'дод 3 '!K95</f>
        <v>0</v>
      </c>
      <c r="K53" s="55">
        <f>'дод 3 '!L95</f>
        <v>0</v>
      </c>
      <c r="L53" s="55">
        <f>'дод 3 '!M95</f>
        <v>0</v>
      </c>
      <c r="M53" s="55">
        <f>'дод 3 '!N95</f>
        <v>0</v>
      </c>
      <c r="N53" s="55">
        <f>'дод 3 '!O95</f>
        <v>0</v>
      </c>
      <c r="O53" s="55">
        <f>'дод 3 '!P95</f>
        <v>20154300</v>
      </c>
      <c r="P53" s="227"/>
      <c r="Q53" s="228"/>
    </row>
    <row r="54" spans="1:17" ht="69.400000000000006" customHeight="1" x14ac:dyDescent="0.25">
      <c r="A54" s="49">
        <v>1035</v>
      </c>
      <c r="B54" s="49" t="s">
        <v>54</v>
      </c>
      <c r="C54" s="63" t="s">
        <v>666</v>
      </c>
      <c r="D54" s="50">
        <f>'дод 3 '!E96</f>
        <v>1773800</v>
      </c>
      <c r="E54" s="50">
        <f>'дод 3 '!F96</f>
        <v>1773800</v>
      </c>
      <c r="F54" s="50">
        <f>'дод 3 '!G96</f>
        <v>1454000</v>
      </c>
      <c r="G54" s="50">
        <f>'дод 3 '!H96</f>
        <v>0</v>
      </c>
      <c r="H54" s="50">
        <f>'дод 3 '!I96</f>
        <v>0</v>
      </c>
      <c r="I54" s="50">
        <f>'дод 3 '!J96</f>
        <v>0</v>
      </c>
      <c r="J54" s="50">
        <f>'дод 3 '!K96</f>
        <v>0</v>
      </c>
      <c r="K54" s="50">
        <f>'дод 3 '!L96</f>
        <v>0</v>
      </c>
      <c r="L54" s="50">
        <f>'дод 3 '!M96</f>
        <v>0</v>
      </c>
      <c r="M54" s="50">
        <f>'дод 3 '!N96</f>
        <v>0</v>
      </c>
      <c r="N54" s="50">
        <f>'дод 3 '!O96</f>
        <v>0</v>
      </c>
      <c r="O54" s="50">
        <f>'дод 3 '!P96</f>
        <v>1773800</v>
      </c>
      <c r="P54" s="227"/>
      <c r="Q54" s="228"/>
    </row>
    <row r="55" spans="1:17" ht="31.5" customHeight="1" x14ac:dyDescent="0.25">
      <c r="A55" s="49"/>
      <c r="B55" s="49"/>
      <c r="C55" s="64" t="s">
        <v>383</v>
      </c>
      <c r="D55" s="55">
        <f>'дод 3 '!E97</f>
        <v>1773800</v>
      </c>
      <c r="E55" s="55">
        <f>'дод 3 '!F97</f>
        <v>1773800</v>
      </c>
      <c r="F55" s="55">
        <f>'дод 3 '!G97</f>
        <v>1454000</v>
      </c>
      <c r="G55" s="55">
        <f>'дод 3 '!H97</f>
        <v>0</v>
      </c>
      <c r="H55" s="55">
        <f>'дод 3 '!I97</f>
        <v>0</v>
      </c>
      <c r="I55" s="55">
        <f>'дод 3 '!J97</f>
        <v>0</v>
      </c>
      <c r="J55" s="55">
        <f>'дод 3 '!K97</f>
        <v>0</v>
      </c>
      <c r="K55" s="55">
        <f>'дод 3 '!L97</f>
        <v>0</v>
      </c>
      <c r="L55" s="55">
        <f>'дод 3 '!M97</f>
        <v>0</v>
      </c>
      <c r="M55" s="55">
        <f>'дод 3 '!N97</f>
        <v>0</v>
      </c>
      <c r="N55" s="55">
        <f>'дод 3 '!O97</f>
        <v>0</v>
      </c>
      <c r="O55" s="55">
        <f>'дод 3 '!P97</f>
        <v>1773800</v>
      </c>
      <c r="P55" s="227"/>
      <c r="Q55" s="228"/>
    </row>
    <row r="56" spans="1:17" ht="31.5" customHeight="1" x14ac:dyDescent="0.25">
      <c r="A56" s="49">
        <v>1061</v>
      </c>
      <c r="B56" s="1" t="s">
        <v>50</v>
      </c>
      <c r="C56" s="63" t="s">
        <v>495</v>
      </c>
      <c r="D56" s="50">
        <f>'дод 3 '!E98</f>
        <v>351767.89</v>
      </c>
      <c r="E56" s="50">
        <f>'дод 3 '!F98</f>
        <v>351767.89</v>
      </c>
      <c r="F56" s="50">
        <f>'дод 3 '!G98</f>
        <v>290000</v>
      </c>
      <c r="G56" s="50">
        <f>'дод 3 '!H98</f>
        <v>0</v>
      </c>
      <c r="H56" s="50">
        <f>'дод 3 '!I98</f>
        <v>0</v>
      </c>
      <c r="I56" s="50">
        <f>'дод 3 '!J98</f>
        <v>0</v>
      </c>
      <c r="J56" s="50">
        <f>'дод 3 '!K98</f>
        <v>0</v>
      </c>
      <c r="K56" s="50">
        <f>'дод 3 '!L98</f>
        <v>0</v>
      </c>
      <c r="L56" s="50">
        <f>'дод 3 '!M98</f>
        <v>0</v>
      </c>
      <c r="M56" s="50">
        <f>'дод 3 '!N98</f>
        <v>0</v>
      </c>
      <c r="N56" s="50">
        <f>'дод 3 '!O98</f>
        <v>0</v>
      </c>
      <c r="O56" s="50">
        <f>'дод 3 '!P98</f>
        <v>351767.89</v>
      </c>
      <c r="P56" s="227"/>
      <c r="Q56" s="228"/>
    </row>
    <row r="57" spans="1:17" ht="47.25" hidden="1" customHeight="1" x14ac:dyDescent="0.25">
      <c r="A57" s="49"/>
      <c r="B57" s="1"/>
      <c r="C57" s="64" t="s">
        <v>505</v>
      </c>
      <c r="D57" s="55">
        <f>'дод 3 '!E99</f>
        <v>0</v>
      </c>
      <c r="E57" s="55">
        <f>'дод 3 '!F99</f>
        <v>0</v>
      </c>
      <c r="F57" s="55">
        <f>'дод 3 '!G99</f>
        <v>0</v>
      </c>
      <c r="G57" s="55">
        <f>'дод 3 '!H99</f>
        <v>0</v>
      </c>
      <c r="H57" s="55">
        <f>'дод 3 '!I99</f>
        <v>0</v>
      </c>
      <c r="I57" s="55">
        <f>'дод 3 '!J99</f>
        <v>0</v>
      </c>
      <c r="J57" s="55">
        <f>'дод 3 '!K99</f>
        <v>0</v>
      </c>
      <c r="K57" s="55">
        <f>'дод 3 '!L99</f>
        <v>0</v>
      </c>
      <c r="L57" s="55">
        <f>'дод 3 '!M99</f>
        <v>0</v>
      </c>
      <c r="M57" s="55">
        <f>'дод 3 '!N99</f>
        <v>0</v>
      </c>
      <c r="N57" s="55">
        <f>'дод 3 '!O99</f>
        <v>0</v>
      </c>
      <c r="O57" s="55">
        <f>'дод 3 '!P99</f>
        <v>0</v>
      </c>
      <c r="P57" s="227"/>
      <c r="Q57" s="228"/>
    </row>
    <row r="58" spans="1:17" s="56" customFormat="1" ht="31.5" customHeight="1" x14ac:dyDescent="0.25">
      <c r="A58" s="52"/>
      <c r="B58" s="66"/>
      <c r="C58" s="64" t="s">
        <v>502</v>
      </c>
      <c r="D58" s="55">
        <f>'дод 3 '!E100</f>
        <v>351767.89</v>
      </c>
      <c r="E58" s="55">
        <f>'дод 3 '!F100</f>
        <v>351767.89</v>
      </c>
      <c r="F58" s="55">
        <f>'дод 3 '!G100</f>
        <v>290000</v>
      </c>
      <c r="G58" s="55">
        <f>'дод 3 '!H100</f>
        <v>0</v>
      </c>
      <c r="H58" s="55">
        <f>'дод 3 '!I100</f>
        <v>0</v>
      </c>
      <c r="I58" s="55">
        <f>'дод 3 '!J100</f>
        <v>0</v>
      </c>
      <c r="J58" s="55">
        <f>'дод 3 '!K100</f>
        <v>0</v>
      </c>
      <c r="K58" s="55">
        <f>'дод 3 '!L100</f>
        <v>0</v>
      </c>
      <c r="L58" s="55">
        <f>'дод 3 '!M100</f>
        <v>0</v>
      </c>
      <c r="M58" s="55">
        <f>'дод 3 '!N100</f>
        <v>0</v>
      </c>
      <c r="N58" s="55">
        <f>'дод 3 '!O100</f>
        <v>0</v>
      </c>
      <c r="O58" s="55">
        <f>'дод 3 '!P100</f>
        <v>351767.89</v>
      </c>
      <c r="P58" s="227"/>
      <c r="Q58" s="228"/>
    </row>
    <row r="59" spans="1:17" s="56" customFormat="1" ht="63" hidden="1" customHeight="1" x14ac:dyDescent="0.25">
      <c r="A59" s="49">
        <v>1062</v>
      </c>
      <c r="B59" s="1" t="s">
        <v>54</v>
      </c>
      <c r="C59" s="63" t="s">
        <v>478</v>
      </c>
      <c r="D59" s="50">
        <f>'дод 3 '!E101</f>
        <v>0</v>
      </c>
      <c r="E59" s="50">
        <f>'дод 3 '!F101</f>
        <v>0</v>
      </c>
      <c r="F59" s="50">
        <f>'дод 3 '!G101</f>
        <v>0</v>
      </c>
      <c r="G59" s="50">
        <f>'дод 3 '!H101</f>
        <v>0</v>
      </c>
      <c r="H59" s="50">
        <f>'дод 3 '!I101</f>
        <v>0</v>
      </c>
      <c r="I59" s="50">
        <f>'дод 3 '!J101</f>
        <v>0</v>
      </c>
      <c r="J59" s="50">
        <f>'дод 3 '!K101</f>
        <v>0</v>
      </c>
      <c r="K59" s="50">
        <f>'дод 3 '!L101</f>
        <v>0</v>
      </c>
      <c r="L59" s="50">
        <f>'дод 3 '!M101</f>
        <v>0</v>
      </c>
      <c r="M59" s="50">
        <f>'дод 3 '!N101</f>
        <v>0</v>
      </c>
      <c r="N59" s="50">
        <f>'дод 3 '!O101</f>
        <v>0</v>
      </c>
      <c r="O59" s="50">
        <f>'дод 3 '!P101</f>
        <v>0</v>
      </c>
      <c r="P59" s="227"/>
      <c r="Q59" s="228"/>
    </row>
    <row r="60" spans="1:17" s="56" customFormat="1" ht="31.5" hidden="1" customHeight="1" x14ac:dyDescent="0.25">
      <c r="A60" s="52"/>
      <c r="B60" s="66"/>
      <c r="C60" s="64" t="str">
        <f>'дод 3 '!D102</f>
        <v>залишку коштів освітньої субвенції , що утворився на початок бюджетного періоду</v>
      </c>
      <c r="D60" s="55">
        <f>'дод 3 '!E102</f>
        <v>0</v>
      </c>
      <c r="E60" s="55">
        <f>'дод 3 '!F102</f>
        <v>0</v>
      </c>
      <c r="F60" s="55">
        <f>'дод 3 '!G102</f>
        <v>0</v>
      </c>
      <c r="G60" s="55">
        <f>'дод 3 '!H102</f>
        <v>0</v>
      </c>
      <c r="H60" s="55">
        <f>'дод 3 '!I102</f>
        <v>0</v>
      </c>
      <c r="I60" s="55">
        <f>'дод 3 '!J102</f>
        <v>0</v>
      </c>
      <c r="J60" s="55">
        <f>'дод 3 '!K102</f>
        <v>0</v>
      </c>
      <c r="K60" s="55">
        <f>'дод 3 '!L102</f>
        <v>0</v>
      </c>
      <c r="L60" s="55">
        <f>'дод 3 '!M102</f>
        <v>0</v>
      </c>
      <c r="M60" s="55">
        <f>'дод 3 '!N102</f>
        <v>0</v>
      </c>
      <c r="N60" s="55">
        <f>'дод 3 '!O102</f>
        <v>0</v>
      </c>
      <c r="O60" s="55">
        <f>'дод 3 '!P102</f>
        <v>0</v>
      </c>
      <c r="P60" s="227"/>
      <c r="Q60" s="228"/>
    </row>
    <row r="61" spans="1:17" s="56" customFormat="1" ht="38.25" customHeight="1" x14ac:dyDescent="0.25">
      <c r="A61" s="1" t="s">
        <v>53</v>
      </c>
      <c r="B61" s="1" t="s">
        <v>56</v>
      </c>
      <c r="C61" s="63" t="s">
        <v>359</v>
      </c>
      <c r="D61" s="50">
        <f>'дод 3 '!E103</f>
        <v>49233900</v>
      </c>
      <c r="E61" s="50">
        <f>'дод 3 '!F103</f>
        <v>49233900</v>
      </c>
      <c r="F61" s="50">
        <f>'дод 3 '!G103</f>
        <v>34500000</v>
      </c>
      <c r="G61" s="50">
        <f>'дод 3 '!H103</f>
        <v>6479900</v>
      </c>
      <c r="H61" s="50">
        <f>'дод 3 '!I103</f>
        <v>0</v>
      </c>
      <c r="I61" s="50">
        <f>'дод 3 '!J103</f>
        <v>3255000</v>
      </c>
      <c r="J61" s="50">
        <f>'дод 3 '!K103</f>
        <v>3255000</v>
      </c>
      <c r="K61" s="50">
        <f>'дод 3 '!L103</f>
        <v>0</v>
      </c>
      <c r="L61" s="50">
        <f>'дод 3 '!M103</f>
        <v>0</v>
      </c>
      <c r="M61" s="50">
        <f>'дод 3 '!N103</f>
        <v>0</v>
      </c>
      <c r="N61" s="50">
        <f>'дод 3 '!O103</f>
        <v>3255000</v>
      </c>
      <c r="O61" s="50">
        <f>'дод 3 '!P103</f>
        <v>52488900</v>
      </c>
      <c r="P61" s="227"/>
      <c r="Q61" s="228"/>
    </row>
    <row r="62" spans="1:17" s="56" customFormat="1" ht="27.75" customHeight="1" x14ac:dyDescent="0.25">
      <c r="A62" s="3">
        <v>1080</v>
      </c>
      <c r="B62" s="1" t="s">
        <v>56</v>
      </c>
      <c r="C62" s="63" t="s">
        <v>546</v>
      </c>
      <c r="D62" s="50">
        <f>'дод 3 '!E248</f>
        <v>63714300</v>
      </c>
      <c r="E62" s="50">
        <f>'дод 3 '!F248</f>
        <v>63714300</v>
      </c>
      <c r="F62" s="50">
        <f>'дод 3 '!G248</f>
        <v>49963100</v>
      </c>
      <c r="G62" s="50">
        <f>'дод 3 '!H248</f>
        <v>1633100</v>
      </c>
      <c r="H62" s="50">
        <f>'дод 3 '!I248</f>
        <v>0</v>
      </c>
      <c r="I62" s="50">
        <f>'дод 3 '!J248</f>
        <v>3692735</v>
      </c>
      <c r="J62" s="50">
        <f>'дод 3 '!K248</f>
        <v>0</v>
      </c>
      <c r="K62" s="50">
        <f>'дод 3 '!L248</f>
        <v>3690535</v>
      </c>
      <c r="L62" s="50">
        <f>'дод 3 '!M248</f>
        <v>3020273</v>
      </c>
      <c r="M62" s="50">
        <f>'дод 3 '!N248</f>
        <v>0</v>
      </c>
      <c r="N62" s="50">
        <f>'дод 3 '!O248</f>
        <v>2200</v>
      </c>
      <c r="O62" s="50">
        <f>'дод 3 '!P248</f>
        <v>67407035</v>
      </c>
      <c r="P62" s="227"/>
      <c r="Q62" s="228"/>
    </row>
    <row r="63" spans="1:17" s="56" customFormat="1" ht="47.25" x14ac:dyDescent="0.25">
      <c r="A63" s="3">
        <v>1091</v>
      </c>
      <c r="B63" s="1" t="s">
        <v>567</v>
      </c>
      <c r="C63" s="63" t="s">
        <v>568</v>
      </c>
      <c r="D63" s="50">
        <f>'дод 3 '!E104</f>
        <v>164761300</v>
      </c>
      <c r="E63" s="50">
        <f>'дод 3 '!F104</f>
        <v>164761300</v>
      </c>
      <c r="F63" s="50">
        <f>'дод 3 '!G104</f>
        <v>90606400</v>
      </c>
      <c r="G63" s="50">
        <f>'дод 3 '!H104</f>
        <v>18732100</v>
      </c>
      <c r="H63" s="50">
        <f>'дод 3 '!I104</f>
        <v>0</v>
      </c>
      <c r="I63" s="50">
        <f>'дод 3 '!J104</f>
        <v>14580725</v>
      </c>
      <c r="J63" s="50">
        <f>'дод 3 '!K104</f>
        <v>0</v>
      </c>
      <c r="K63" s="50">
        <f>'дод 3 '!L104</f>
        <v>14430725</v>
      </c>
      <c r="L63" s="50">
        <f>'дод 3 '!M104</f>
        <v>4542152</v>
      </c>
      <c r="M63" s="50">
        <f>'дод 3 '!N104</f>
        <v>5317700</v>
      </c>
      <c r="N63" s="50">
        <f>'дод 3 '!O104</f>
        <v>150000</v>
      </c>
      <c r="O63" s="50">
        <f>'дод 3 '!P104</f>
        <v>179342025</v>
      </c>
      <c r="P63" s="227"/>
      <c r="Q63" s="228"/>
    </row>
    <row r="64" spans="1:17" s="56" customFormat="1" ht="45.75" customHeight="1" x14ac:dyDescent="0.25">
      <c r="A64" s="3">
        <v>1092</v>
      </c>
      <c r="B64" s="1" t="s">
        <v>567</v>
      </c>
      <c r="C64" s="63" t="s">
        <v>570</v>
      </c>
      <c r="D64" s="50">
        <f>'дод 3 '!E105</f>
        <v>22978300</v>
      </c>
      <c r="E64" s="50">
        <f>'дод 3 '!F105</f>
        <v>22978300</v>
      </c>
      <c r="F64" s="50">
        <f>'дод 3 '!G105</f>
        <v>18834600</v>
      </c>
      <c r="G64" s="50">
        <f>'дод 3 '!H105</f>
        <v>0</v>
      </c>
      <c r="H64" s="50">
        <f>'дод 3 '!I105</f>
        <v>0</v>
      </c>
      <c r="I64" s="50">
        <f>'дод 3 '!J105</f>
        <v>0</v>
      </c>
      <c r="J64" s="50">
        <f>'дод 3 '!K105</f>
        <v>0</v>
      </c>
      <c r="K64" s="50">
        <f>'дод 3 '!L105</f>
        <v>0</v>
      </c>
      <c r="L64" s="50">
        <f>'дод 3 '!M105</f>
        <v>0</v>
      </c>
      <c r="M64" s="50">
        <f>'дод 3 '!N105</f>
        <v>0</v>
      </c>
      <c r="N64" s="50">
        <f>'дод 3 '!O105</f>
        <v>0</v>
      </c>
      <c r="O64" s="50">
        <f>'дод 3 '!P105</f>
        <v>22978300</v>
      </c>
      <c r="P64" s="227"/>
      <c r="Q64" s="228"/>
    </row>
    <row r="65" spans="1:17" s="56" customFormat="1" ht="31.5" customHeight="1" x14ac:dyDescent="0.25">
      <c r="A65" s="53"/>
      <c r="B65" s="66"/>
      <c r="C65" s="64" t="s">
        <v>383</v>
      </c>
      <c r="D65" s="55">
        <f>'дод 3 '!E106</f>
        <v>22978300</v>
      </c>
      <c r="E65" s="55">
        <f>'дод 3 '!F106</f>
        <v>22978300</v>
      </c>
      <c r="F65" s="55">
        <f>'дод 3 '!G106</f>
        <v>18834600</v>
      </c>
      <c r="G65" s="55">
        <f>'дод 3 '!H106</f>
        <v>0</v>
      </c>
      <c r="H65" s="55">
        <f>'дод 3 '!I106</f>
        <v>0</v>
      </c>
      <c r="I65" s="55">
        <f>'дод 3 '!J106</f>
        <v>0</v>
      </c>
      <c r="J65" s="55">
        <f>'дод 3 '!K106</f>
        <v>0</v>
      </c>
      <c r="K65" s="55">
        <f>'дод 3 '!L106</f>
        <v>0</v>
      </c>
      <c r="L65" s="55">
        <f>'дод 3 '!M106</f>
        <v>0</v>
      </c>
      <c r="M65" s="55">
        <f>'дод 3 '!N106</f>
        <v>0</v>
      </c>
      <c r="N65" s="55">
        <f>'дод 3 '!O106</f>
        <v>0</v>
      </c>
      <c r="O65" s="55">
        <f>'дод 3 '!P106</f>
        <v>22978300</v>
      </c>
      <c r="P65" s="227"/>
      <c r="Q65" s="228"/>
    </row>
    <row r="66" spans="1:17" s="56" customFormat="1" ht="24.75" customHeight="1" x14ac:dyDescent="0.25">
      <c r="A66" s="1" t="s">
        <v>454</v>
      </c>
      <c r="B66" s="1" t="s">
        <v>57</v>
      </c>
      <c r="C66" s="63" t="s">
        <v>481</v>
      </c>
      <c r="D66" s="50">
        <f>'дод 3 '!E107</f>
        <v>13653300</v>
      </c>
      <c r="E66" s="50">
        <f>'дод 3 '!F107</f>
        <v>13653300</v>
      </c>
      <c r="F66" s="50">
        <f>'дод 3 '!G107</f>
        <v>9562000</v>
      </c>
      <c r="G66" s="50">
        <f>'дод 3 '!H107</f>
        <v>1300700</v>
      </c>
      <c r="H66" s="50">
        <f>'дод 3 '!I107</f>
        <v>0</v>
      </c>
      <c r="I66" s="50">
        <f>'дод 3 '!J107</f>
        <v>0</v>
      </c>
      <c r="J66" s="50">
        <f>'дод 3 '!K107</f>
        <v>0</v>
      </c>
      <c r="K66" s="50">
        <f>'дод 3 '!L107</f>
        <v>0</v>
      </c>
      <c r="L66" s="50">
        <f>'дод 3 '!M107</f>
        <v>0</v>
      </c>
      <c r="M66" s="50">
        <f>'дод 3 '!N107</f>
        <v>0</v>
      </c>
      <c r="N66" s="50">
        <f>'дод 3 '!O107</f>
        <v>0</v>
      </c>
      <c r="O66" s="50">
        <f>'дод 3 '!P107</f>
        <v>13653300</v>
      </c>
      <c r="P66" s="227"/>
      <c r="Q66" s="228"/>
    </row>
    <row r="67" spans="1:17" ht="24" customHeight="1" x14ac:dyDescent="0.25">
      <c r="A67" s="1" t="s">
        <v>456</v>
      </c>
      <c r="B67" s="1" t="s">
        <v>57</v>
      </c>
      <c r="C67" s="63" t="s">
        <v>278</v>
      </c>
      <c r="D67" s="50">
        <f>'дод 3 '!E108</f>
        <v>134000</v>
      </c>
      <c r="E67" s="50">
        <f>'дод 3 '!F108</f>
        <v>134000</v>
      </c>
      <c r="F67" s="50">
        <f>'дод 3 '!G108</f>
        <v>0</v>
      </c>
      <c r="G67" s="50">
        <f>'дод 3 '!H108</f>
        <v>0</v>
      </c>
      <c r="H67" s="50">
        <f>'дод 3 '!I108</f>
        <v>0</v>
      </c>
      <c r="I67" s="50">
        <f>'дод 3 '!J108</f>
        <v>0</v>
      </c>
      <c r="J67" s="50">
        <f>'дод 3 '!K108</f>
        <v>0</v>
      </c>
      <c r="K67" s="50">
        <f>'дод 3 '!L108</f>
        <v>0</v>
      </c>
      <c r="L67" s="50">
        <f>'дод 3 '!M108</f>
        <v>0</v>
      </c>
      <c r="M67" s="50">
        <f>'дод 3 '!N108</f>
        <v>0</v>
      </c>
      <c r="N67" s="50">
        <f>'дод 3 '!O108</f>
        <v>0</v>
      </c>
      <c r="O67" s="50">
        <f>'дод 3 '!P108</f>
        <v>134000</v>
      </c>
      <c r="P67" s="227"/>
      <c r="Q67" s="228"/>
    </row>
    <row r="68" spans="1:17" ht="31.5" x14ac:dyDescent="0.25">
      <c r="A68" s="1" t="s">
        <v>458</v>
      </c>
      <c r="B68" s="1" t="s">
        <v>57</v>
      </c>
      <c r="C68" s="63" t="s">
        <v>459</v>
      </c>
      <c r="D68" s="50">
        <f>'дод 3 '!E109</f>
        <v>174700</v>
      </c>
      <c r="E68" s="50">
        <f>'дод 3 '!F109</f>
        <v>174700</v>
      </c>
      <c r="F68" s="50">
        <f>'дод 3 '!G109</f>
        <v>0</v>
      </c>
      <c r="G68" s="50">
        <f>'дод 3 '!H109</f>
        <v>122400</v>
      </c>
      <c r="H68" s="50">
        <f>'дод 3 '!I109</f>
        <v>0</v>
      </c>
      <c r="I68" s="50">
        <f>'дод 3 '!J109</f>
        <v>0</v>
      </c>
      <c r="J68" s="50">
        <f>'дод 3 '!K109</f>
        <v>0</v>
      </c>
      <c r="K68" s="50">
        <f>'дод 3 '!L109</f>
        <v>0</v>
      </c>
      <c r="L68" s="50">
        <f>'дод 3 '!M109</f>
        <v>0</v>
      </c>
      <c r="M68" s="50">
        <f>'дод 3 '!N109</f>
        <v>0</v>
      </c>
      <c r="N68" s="50">
        <f>'дод 3 '!O109</f>
        <v>0</v>
      </c>
      <c r="O68" s="50">
        <f>'дод 3 '!P109</f>
        <v>174700</v>
      </c>
      <c r="P68" s="227"/>
      <c r="Q68" s="228"/>
    </row>
    <row r="69" spans="1:17" ht="45" customHeight="1" x14ac:dyDescent="0.25">
      <c r="A69" s="1" t="s">
        <v>461</v>
      </c>
      <c r="B69" s="1" t="s">
        <v>57</v>
      </c>
      <c r="C69" s="63" t="s">
        <v>482</v>
      </c>
      <c r="D69" s="50">
        <f>'дод 3 '!E110</f>
        <v>2091775</v>
      </c>
      <c r="E69" s="50">
        <f>'дод 3 '!F110</f>
        <v>2091775</v>
      </c>
      <c r="F69" s="50">
        <f>'дод 3 '!G110</f>
        <v>1714570</v>
      </c>
      <c r="G69" s="50">
        <f>'дод 3 '!H110</f>
        <v>0</v>
      </c>
      <c r="H69" s="50">
        <f>'дод 3 '!I110</f>
        <v>0</v>
      </c>
      <c r="I69" s="50">
        <f>'дод 3 '!J110</f>
        <v>0</v>
      </c>
      <c r="J69" s="50">
        <f>'дод 3 '!K110</f>
        <v>0</v>
      </c>
      <c r="K69" s="50">
        <f>'дод 3 '!L110</f>
        <v>0</v>
      </c>
      <c r="L69" s="50">
        <f>'дод 3 '!M110</f>
        <v>0</v>
      </c>
      <c r="M69" s="50">
        <f>'дод 3 '!N110</f>
        <v>0</v>
      </c>
      <c r="N69" s="50">
        <f>'дод 3 '!O110</f>
        <v>0</v>
      </c>
      <c r="O69" s="50">
        <f>'дод 3 '!P110</f>
        <v>2091775</v>
      </c>
      <c r="P69" s="227"/>
      <c r="Q69" s="228"/>
    </row>
    <row r="70" spans="1:17" ht="39" customHeight="1" x14ac:dyDescent="0.25">
      <c r="A70" s="49"/>
      <c r="B70" s="49"/>
      <c r="C70" s="64" t="s">
        <v>378</v>
      </c>
      <c r="D70" s="55">
        <f>'дод 3 '!E111</f>
        <v>2091775</v>
      </c>
      <c r="E70" s="55">
        <f>'дод 3 '!F111</f>
        <v>2091775</v>
      </c>
      <c r="F70" s="55">
        <f>'дод 3 '!G111</f>
        <v>1714570</v>
      </c>
      <c r="G70" s="55">
        <f>'дод 3 '!H111</f>
        <v>0</v>
      </c>
      <c r="H70" s="55">
        <f>'дод 3 '!I111</f>
        <v>0</v>
      </c>
      <c r="I70" s="55">
        <f>'дод 3 '!J111</f>
        <v>0</v>
      </c>
      <c r="J70" s="55">
        <f>'дод 3 '!K111</f>
        <v>0</v>
      </c>
      <c r="K70" s="55">
        <f>'дод 3 '!L111</f>
        <v>0</v>
      </c>
      <c r="L70" s="55">
        <f>'дод 3 '!M111</f>
        <v>0</v>
      </c>
      <c r="M70" s="55">
        <f>'дод 3 '!N111</f>
        <v>0</v>
      </c>
      <c r="N70" s="55">
        <f>'дод 3 '!O111</f>
        <v>0</v>
      </c>
      <c r="O70" s="55">
        <f>'дод 3 '!P111</f>
        <v>2091775</v>
      </c>
      <c r="P70" s="227"/>
      <c r="Q70" s="228"/>
    </row>
    <row r="71" spans="1:17" s="56" customFormat="1" ht="31.5" x14ac:dyDescent="0.25">
      <c r="A71" s="1" t="s">
        <v>463</v>
      </c>
      <c r="B71" s="1" t="str">
        <f>'дод 7'!A17</f>
        <v>0160</v>
      </c>
      <c r="C71" s="63" t="s">
        <v>464</v>
      </c>
      <c r="D71" s="50">
        <f>'дод 3 '!E112</f>
        <v>3905000</v>
      </c>
      <c r="E71" s="50">
        <f>'дод 3 '!F112</f>
        <v>3905000</v>
      </c>
      <c r="F71" s="50">
        <f>'дод 3 '!G112</f>
        <v>2825000</v>
      </c>
      <c r="G71" s="50">
        <f>'дод 3 '!H112</f>
        <v>303800</v>
      </c>
      <c r="H71" s="50">
        <f>'дод 3 '!I112</f>
        <v>0</v>
      </c>
      <c r="I71" s="50">
        <f>'дод 3 '!J112</f>
        <v>0</v>
      </c>
      <c r="J71" s="50">
        <f>'дод 3 '!K112</f>
        <v>0</v>
      </c>
      <c r="K71" s="50">
        <f>'дод 3 '!L112</f>
        <v>0</v>
      </c>
      <c r="L71" s="50">
        <f>'дод 3 '!M112</f>
        <v>0</v>
      </c>
      <c r="M71" s="50">
        <f>'дод 3 '!N112</f>
        <v>0</v>
      </c>
      <c r="N71" s="50">
        <f>'дод 3 '!O112</f>
        <v>0</v>
      </c>
      <c r="O71" s="50">
        <f>'дод 3 '!P112</f>
        <v>3905000</v>
      </c>
      <c r="P71" s="227"/>
      <c r="Q71" s="228"/>
    </row>
    <row r="72" spans="1:17" s="56" customFormat="1" ht="66" hidden="1" customHeight="1" x14ac:dyDescent="0.25">
      <c r="A72" s="1" t="s">
        <v>525</v>
      </c>
      <c r="B72" s="1" t="s">
        <v>57</v>
      </c>
      <c r="C72" s="63" t="s">
        <v>528</v>
      </c>
      <c r="D72" s="50">
        <f>'дод 3 '!E113</f>
        <v>0</v>
      </c>
      <c r="E72" s="50">
        <f>'дод 3 '!F113</f>
        <v>0</v>
      </c>
      <c r="F72" s="50">
        <f>'дод 3 '!G113</f>
        <v>0</v>
      </c>
      <c r="G72" s="50">
        <f>'дод 3 '!H113</f>
        <v>0</v>
      </c>
      <c r="H72" s="50">
        <f>'дод 3 '!I113</f>
        <v>0</v>
      </c>
      <c r="I72" s="50">
        <f>'дод 3 '!J113</f>
        <v>0</v>
      </c>
      <c r="J72" s="50">
        <f>'дод 3 '!K113</f>
        <v>0</v>
      </c>
      <c r="K72" s="50">
        <f>'дод 3 '!L113</f>
        <v>0</v>
      </c>
      <c r="L72" s="50">
        <f>'дод 3 '!M113</f>
        <v>0</v>
      </c>
      <c r="M72" s="50">
        <f>'дод 3 '!N113</f>
        <v>0</v>
      </c>
      <c r="N72" s="50">
        <f>'дод 3 '!O113</f>
        <v>0</v>
      </c>
      <c r="O72" s="50">
        <f>'дод 3 '!P113</f>
        <v>0</v>
      </c>
      <c r="P72" s="227"/>
      <c r="Q72" s="228"/>
    </row>
    <row r="73" spans="1:17" s="56" customFormat="1" ht="65.25" hidden="1" customHeight="1" x14ac:dyDescent="0.25">
      <c r="A73" s="1" t="s">
        <v>517</v>
      </c>
      <c r="B73" s="1" t="s">
        <v>57</v>
      </c>
      <c r="C73" s="63" t="s">
        <v>544</v>
      </c>
      <c r="D73" s="2">
        <f>'дод 3 '!E114</f>
        <v>0</v>
      </c>
      <c r="E73" s="2">
        <f>'дод 3 '!F114</f>
        <v>0</v>
      </c>
      <c r="F73" s="2">
        <f>'дод 3 '!G114</f>
        <v>0</v>
      </c>
      <c r="G73" s="2">
        <f>'дод 3 '!H114</f>
        <v>0</v>
      </c>
      <c r="H73" s="2">
        <f>'дод 3 '!I114</f>
        <v>0</v>
      </c>
      <c r="I73" s="2">
        <f>'дод 3 '!J114</f>
        <v>0</v>
      </c>
      <c r="J73" s="2">
        <f>'дод 3 '!K114</f>
        <v>0</v>
      </c>
      <c r="K73" s="2">
        <f>'дод 3 '!L114</f>
        <v>0</v>
      </c>
      <c r="L73" s="2">
        <f>'дод 3 '!M114</f>
        <v>0</v>
      </c>
      <c r="M73" s="2">
        <f>'дод 3 '!N114</f>
        <v>0</v>
      </c>
      <c r="N73" s="2">
        <f>'дод 3 '!O114</f>
        <v>0</v>
      </c>
      <c r="O73" s="2">
        <f>'дод 3 '!P114</f>
        <v>0</v>
      </c>
      <c r="P73" s="227"/>
      <c r="Q73" s="228"/>
    </row>
    <row r="74" spans="1:17" s="56" customFormat="1" ht="47.25" hidden="1" customHeight="1" x14ac:dyDescent="0.25">
      <c r="A74" s="66"/>
      <c r="B74" s="66"/>
      <c r="C74" s="64" t="s">
        <v>539</v>
      </c>
      <c r="D74" s="16">
        <f>'дод 3 '!E115</f>
        <v>0</v>
      </c>
      <c r="E74" s="16">
        <f>'дод 3 '!F115</f>
        <v>0</v>
      </c>
      <c r="F74" s="16">
        <f>'дод 3 '!G115</f>
        <v>0</v>
      </c>
      <c r="G74" s="16">
        <f>'дод 3 '!H115</f>
        <v>0</v>
      </c>
      <c r="H74" s="16">
        <f>'дод 3 '!I115</f>
        <v>0</v>
      </c>
      <c r="I74" s="16">
        <f>'дод 3 '!J115</f>
        <v>0</v>
      </c>
      <c r="J74" s="16">
        <f>'дод 3 '!K115</f>
        <v>0</v>
      </c>
      <c r="K74" s="16">
        <f>'дод 3 '!L115</f>
        <v>0</v>
      </c>
      <c r="L74" s="16">
        <f>'дод 3 '!M115</f>
        <v>0</v>
      </c>
      <c r="M74" s="16">
        <f>'дод 3 '!N115</f>
        <v>0</v>
      </c>
      <c r="N74" s="16">
        <f>'дод 3 '!O115</f>
        <v>0</v>
      </c>
      <c r="O74" s="16">
        <f>'дод 3 '!P115</f>
        <v>0</v>
      </c>
      <c r="P74" s="227"/>
      <c r="Q74" s="228"/>
    </row>
    <row r="75" spans="1:17" s="56" customFormat="1" ht="63" hidden="1" customHeight="1" x14ac:dyDescent="0.25">
      <c r="A75" s="1" t="s">
        <v>527</v>
      </c>
      <c r="B75" s="1" t="s">
        <v>57</v>
      </c>
      <c r="C75" s="63" t="s">
        <v>556</v>
      </c>
      <c r="D75" s="2">
        <f>'дод 3 '!E116</f>
        <v>0</v>
      </c>
      <c r="E75" s="2">
        <f>'дод 3 '!F116</f>
        <v>0</v>
      </c>
      <c r="F75" s="2">
        <f>'дод 3 '!G116</f>
        <v>0</v>
      </c>
      <c r="G75" s="2">
        <f>'дод 3 '!H116</f>
        <v>0</v>
      </c>
      <c r="H75" s="2">
        <f>'дод 3 '!I116</f>
        <v>0</v>
      </c>
      <c r="I75" s="2">
        <f>'дод 3 '!J116</f>
        <v>0</v>
      </c>
      <c r="J75" s="2">
        <f>'дод 3 '!K116</f>
        <v>0</v>
      </c>
      <c r="K75" s="2">
        <f>'дод 3 '!L116</f>
        <v>0</v>
      </c>
      <c r="L75" s="2">
        <f>'дод 3 '!M116</f>
        <v>0</v>
      </c>
      <c r="M75" s="2">
        <f>'дод 3 '!N116</f>
        <v>0</v>
      </c>
      <c r="N75" s="2">
        <f>'дод 3 '!O116</f>
        <v>0</v>
      </c>
      <c r="O75" s="2">
        <f>'дод 3 '!P116</f>
        <v>0</v>
      </c>
      <c r="P75" s="227"/>
      <c r="Q75" s="228"/>
    </row>
    <row r="76" spans="1:17" s="56" customFormat="1" ht="15.75" hidden="1" customHeight="1" x14ac:dyDescent="0.25">
      <c r="A76" s="66"/>
      <c r="B76" s="66"/>
      <c r="C76" s="64" t="s">
        <v>388</v>
      </c>
      <c r="D76" s="16">
        <f>'дод 3 '!E117</f>
        <v>0</v>
      </c>
      <c r="E76" s="16">
        <f>'дод 3 '!F117</f>
        <v>0</v>
      </c>
      <c r="F76" s="16">
        <f>'дод 3 '!G117</f>
        <v>0</v>
      </c>
      <c r="G76" s="16">
        <f>'дод 3 '!H117</f>
        <v>0</v>
      </c>
      <c r="H76" s="16">
        <f>'дод 3 '!I117</f>
        <v>0</v>
      </c>
      <c r="I76" s="16">
        <f>'дод 3 '!J117</f>
        <v>0</v>
      </c>
      <c r="J76" s="16">
        <f>'дод 3 '!K117</f>
        <v>0</v>
      </c>
      <c r="K76" s="16">
        <f>'дод 3 '!L117</f>
        <v>0</v>
      </c>
      <c r="L76" s="16">
        <f>'дод 3 '!M117</f>
        <v>0</v>
      </c>
      <c r="M76" s="16">
        <f>'дод 3 '!N117</f>
        <v>0</v>
      </c>
      <c r="N76" s="16">
        <f>'дод 3 '!O117</f>
        <v>0</v>
      </c>
      <c r="O76" s="16">
        <f>'дод 3 '!P117</f>
        <v>0</v>
      </c>
      <c r="P76" s="227"/>
      <c r="Q76" s="228"/>
    </row>
    <row r="77" spans="1:17" s="56" customFormat="1" ht="78.75" hidden="1" customHeight="1" x14ac:dyDescent="0.25">
      <c r="A77" s="1" t="s">
        <v>518</v>
      </c>
      <c r="B77" s="1" t="s">
        <v>57</v>
      </c>
      <c r="C77" s="63" t="s">
        <v>540</v>
      </c>
      <c r="D77" s="50">
        <f>'дод 3 '!E118</f>
        <v>0</v>
      </c>
      <c r="E77" s="50">
        <f>'дод 3 '!F118</f>
        <v>0</v>
      </c>
      <c r="F77" s="50">
        <f>'дод 3 '!G118</f>
        <v>0</v>
      </c>
      <c r="G77" s="50">
        <f>'дод 3 '!H118</f>
        <v>0</v>
      </c>
      <c r="H77" s="50">
        <f>'дод 3 '!I118</f>
        <v>0</v>
      </c>
      <c r="I77" s="50">
        <f>'дод 3 '!J118</f>
        <v>0</v>
      </c>
      <c r="J77" s="50">
        <f>'дод 3 '!K118</f>
        <v>0</v>
      </c>
      <c r="K77" s="50">
        <f>'дод 3 '!L118</f>
        <v>0</v>
      </c>
      <c r="L77" s="50">
        <f>'дод 3 '!M118</f>
        <v>0</v>
      </c>
      <c r="M77" s="50">
        <f>'дод 3 '!N118</f>
        <v>0</v>
      </c>
      <c r="N77" s="50">
        <f>'дод 3 '!O118</f>
        <v>0</v>
      </c>
      <c r="O77" s="50">
        <f>'дод 3 '!P118</f>
        <v>0</v>
      </c>
      <c r="P77" s="227"/>
      <c r="Q77" s="228"/>
    </row>
    <row r="78" spans="1:17" s="56" customFormat="1" ht="68.25" hidden="1" customHeight="1" x14ac:dyDescent="0.25">
      <c r="A78" s="66"/>
      <c r="B78" s="66"/>
      <c r="C78" s="64" t="s">
        <v>519</v>
      </c>
      <c r="D78" s="55">
        <f>'дод 3 '!E119</f>
        <v>0</v>
      </c>
      <c r="E78" s="55">
        <f>'дод 3 '!F119</f>
        <v>0</v>
      </c>
      <c r="F78" s="55">
        <f>'дод 3 '!G119</f>
        <v>0</v>
      </c>
      <c r="G78" s="55">
        <f>'дод 3 '!H119</f>
        <v>0</v>
      </c>
      <c r="H78" s="55">
        <f>'дод 3 '!I119</f>
        <v>0</v>
      </c>
      <c r="I78" s="55">
        <f>'дод 3 '!J119</f>
        <v>0</v>
      </c>
      <c r="J78" s="55">
        <f>'дод 3 '!K119</f>
        <v>0</v>
      </c>
      <c r="K78" s="55">
        <f>'дод 3 '!L119</f>
        <v>0</v>
      </c>
      <c r="L78" s="55">
        <f>'дод 3 '!M119</f>
        <v>0</v>
      </c>
      <c r="M78" s="55">
        <f>'дод 3 '!N119</f>
        <v>0</v>
      </c>
      <c r="N78" s="55">
        <f>'дод 3 '!O119</f>
        <v>0</v>
      </c>
      <c r="O78" s="55">
        <f>'дод 3 '!P119</f>
        <v>0</v>
      </c>
      <c r="P78" s="227"/>
      <c r="Q78" s="228"/>
    </row>
    <row r="79" spans="1:17" s="56" customFormat="1" ht="63" hidden="1" customHeight="1" x14ac:dyDescent="0.25">
      <c r="A79" s="1" t="s">
        <v>466</v>
      </c>
      <c r="B79" s="1" t="s">
        <v>57</v>
      </c>
      <c r="C79" s="67" t="s">
        <v>483</v>
      </c>
      <c r="D79" s="50">
        <f>'дод 3 '!E120</f>
        <v>0</v>
      </c>
      <c r="E79" s="50">
        <f>'дод 3 '!F120</f>
        <v>0</v>
      </c>
      <c r="F79" s="50">
        <f>'дод 3 '!G120</f>
        <v>0</v>
      </c>
      <c r="G79" s="50">
        <f>'дод 3 '!H120</f>
        <v>0</v>
      </c>
      <c r="H79" s="50">
        <f>'дод 3 '!I120</f>
        <v>0</v>
      </c>
      <c r="I79" s="50">
        <f>'дод 3 '!J120</f>
        <v>0</v>
      </c>
      <c r="J79" s="50">
        <f>'дод 3 '!K120</f>
        <v>0</v>
      </c>
      <c r="K79" s="50">
        <f>'дод 3 '!L120</f>
        <v>0</v>
      </c>
      <c r="L79" s="50">
        <f>'дод 3 '!M120</f>
        <v>0</v>
      </c>
      <c r="M79" s="50">
        <f>'дод 3 '!N120</f>
        <v>0</v>
      </c>
      <c r="N79" s="50">
        <f>'дод 3 '!O120</f>
        <v>0</v>
      </c>
      <c r="O79" s="50">
        <f>'дод 3 '!P120</f>
        <v>0</v>
      </c>
      <c r="P79" s="227"/>
      <c r="Q79" s="228"/>
    </row>
    <row r="80" spans="1:17" s="56" customFormat="1" ht="65.25" hidden="1" customHeight="1" x14ac:dyDescent="0.25">
      <c r="A80" s="1"/>
      <c r="B80" s="1"/>
      <c r="C80" s="64" t="s">
        <v>377</v>
      </c>
      <c r="D80" s="55">
        <f>'дод 3 '!E121</f>
        <v>0</v>
      </c>
      <c r="E80" s="55">
        <f>'дод 3 '!F121</f>
        <v>0</v>
      </c>
      <c r="F80" s="55">
        <f>'дод 3 '!G121</f>
        <v>0</v>
      </c>
      <c r="G80" s="55">
        <f>'дод 3 '!H121</f>
        <v>0</v>
      </c>
      <c r="H80" s="55">
        <f>'дод 3 '!I121</f>
        <v>0</v>
      </c>
      <c r="I80" s="55">
        <f>'дод 3 '!J121</f>
        <v>0</v>
      </c>
      <c r="J80" s="55">
        <f>'дод 3 '!K121</f>
        <v>0</v>
      </c>
      <c r="K80" s="55">
        <f>'дод 3 '!L121</f>
        <v>0</v>
      </c>
      <c r="L80" s="55">
        <f>'дод 3 '!M121</f>
        <v>0</v>
      </c>
      <c r="M80" s="55">
        <f>'дод 3 '!N121</f>
        <v>0</v>
      </c>
      <c r="N80" s="55">
        <f>'дод 3 '!O121</f>
        <v>0</v>
      </c>
      <c r="O80" s="55">
        <f>'дод 3 '!P121</f>
        <v>0</v>
      </c>
      <c r="P80" s="227"/>
      <c r="Q80" s="228"/>
    </row>
    <row r="81" spans="1:17" s="56" customFormat="1" ht="63" hidden="1" customHeight="1" x14ac:dyDescent="0.25">
      <c r="A81" s="1" t="s">
        <v>489</v>
      </c>
      <c r="B81" s="1" t="s">
        <v>57</v>
      </c>
      <c r="C81" s="63" t="s">
        <v>487</v>
      </c>
      <c r="D81" s="50">
        <f>'дод 3 '!E122</f>
        <v>0</v>
      </c>
      <c r="E81" s="50">
        <f>'дод 3 '!F122</f>
        <v>0</v>
      </c>
      <c r="F81" s="50">
        <f>'дод 3 '!G122</f>
        <v>0</v>
      </c>
      <c r="G81" s="50">
        <f>'дод 3 '!H122</f>
        <v>0</v>
      </c>
      <c r="H81" s="50">
        <f>'дод 3 '!I122</f>
        <v>0</v>
      </c>
      <c r="I81" s="50">
        <f>'дод 3 '!J122</f>
        <v>0</v>
      </c>
      <c r="J81" s="50">
        <f>'дод 3 '!K122</f>
        <v>0</v>
      </c>
      <c r="K81" s="50">
        <f>'дод 3 '!L122</f>
        <v>0</v>
      </c>
      <c r="L81" s="50">
        <f>'дод 3 '!M122</f>
        <v>0</v>
      </c>
      <c r="M81" s="50">
        <f>'дод 3 '!N122</f>
        <v>0</v>
      </c>
      <c r="N81" s="50">
        <f>'дод 3 '!O122</f>
        <v>0</v>
      </c>
      <c r="O81" s="50">
        <f>'дод 3 '!P122</f>
        <v>0</v>
      </c>
      <c r="P81" s="227"/>
      <c r="Q81" s="228"/>
    </row>
    <row r="82" spans="1:17" s="56" customFormat="1" ht="63" hidden="1" customHeight="1" x14ac:dyDescent="0.25">
      <c r="A82" s="1"/>
      <c r="B82" s="1"/>
      <c r="C82" s="64" t="s">
        <v>488</v>
      </c>
      <c r="D82" s="55">
        <f>'дод 3 '!E123</f>
        <v>0</v>
      </c>
      <c r="E82" s="55">
        <f>'дод 3 '!F123</f>
        <v>0</v>
      </c>
      <c r="F82" s="55">
        <f>'дод 3 '!G123</f>
        <v>0</v>
      </c>
      <c r="G82" s="55">
        <f>'дод 3 '!H123</f>
        <v>0</v>
      </c>
      <c r="H82" s="55">
        <f>'дод 3 '!I123</f>
        <v>0</v>
      </c>
      <c r="I82" s="55">
        <f>'дод 3 '!J123</f>
        <v>0</v>
      </c>
      <c r="J82" s="55">
        <f>'дод 3 '!K123</f>
        <v>0</v>
      </c>
      <c r="K82" s="55">
        <f>'дод 3 '!L123</f>
        <v>0</v>
      </c>
      <c r="L82" s="55">
        <f>'дод 3 '!M123</f>
        <v>0</v>
      </c>
      <c r="M82" s="55">
        <f>'дод 3 '!N123</f>
        <v>0</v>
      </c>
      <c r="N82" s="55">
        <f>'дод 3 '!O123</f>
        <v>0</v>
      </c>
      <c r="O82" s="55">
        <f>'дод 3 '!P123</f>
        <v>0</v>
      </c>
      <c r="P82" s="227"/>
      <c r="Q82" s="228"/>
    </row>
    <row r="83" spans="1:17" s="56" customFormat="1" ht="63" customHeight="1" x14ac:dyDescent="0.25">
      <c r="A83" s="1" t="s">
        <v>689</v>
      </c>
      <c r="B83" s="1" t="s">
        <v>57</v>
      </c>
      <c r="C83" s="63" t="s">
        <v>718</v>
      </c>
      <c r="D83" s="55">
        <f>'дод 3 '!E125+'дод 3 '!E338</f>
        <v>0</v>
      </c>
      <c r="E83" s="55">
        <f>'дод 3 '!F125+'дод 3 '!F338</f>
        <v>0</v>
      </c>
      <c r="F83" s="55">
        <f>'дод 3 '!G125+'дод 3 '!G338</f>
        <v>0</v>
      </c>
      <c r="G83" s="55">
        <f>'дод 3 '!H125+'дод 3 '!H338</f>
        <v>0</v>
      </c>
      <c r="H83" s="55">
        <f>'дод 3 '!I125+'дод 3 '!I338</f>
        <v>0</v>
      </c>
      <c r="I83" s="50">
        <f>'дод 3 '!J125+'дод 3 '!J338</f>
        <v>2300000</v>
      </c>
      <c r="J83" s="50">
        <f>'дод 3 '!K125+'дод 3 '!K338</f>
        <v>2300000</v>
      </c>
      <c r="K83" s="50">
        <f>'дод 3 '!L125+'дод 3 '!L338</f>
        <v>0</v>
      </c>
      <c r="L83" s="50">
        <f>'дод 3 '!M125+'дод 3 '!M338</f>
        <v>0</v>
      </c>
      <c r="M83" s="50">
        <f>'дод 3 '!N125+'дод 3 '!N338</f>
        <v>0</v>
      </c>
      <c r="N83" s="50">
        <f>'дод 3 '!O125+'дод 3 '!O338</f>
        <v>2300000</v>
      </c>
      <c r="O83" s="50">
        <f>'дод 3 '!P125+'дод 3 '!P338</f>
        <v>2300000</v>
      </c>
      <c r="P83" s="227"/>
      <c r="Q83" s="228"/>
    </row>
    <row r="84" spans="1:17" s="56" customFormat="1" ht="48" hidden="1" customHeight="1" x14ac:dyDescent="0.25">
      <c r="A84" s="1" t="s">
        <v>690</v>
      </c>
      <c r="B84" s="1" t="s">
        <v>57</v>
      </c>
      <c r="C84" s="68" t="s">
        <v>687</v>
      </c>
      <c r="D84" s="55">
        <f>'дод 3 '!E126+'дод 3 '!E339</f>
        <v>0</v>
      </c>
      <c r="E84" s="55">
        <f>'дод 3 '!F126+'дод 3 '!F339</f>
        <v>0</v>
      </c>
      <c r="F84" s="55">
        <f>'дод 3 '!G126+'дод 3 '!G339</f>
        <v>0</v>
      </c>
      <c r="G84" s="55">
        <f>'дод 3 '!H126+'дод 3 '!H339</f>
        <v>0</v>
      </c>
      <c r="H84" s="55">
        <f>'дод 3 '!I126+'дод 3 '!I339</f>
        <v>0</v>
      </c>
      <c r="I84" s="50">
        <f>'дод 3 '!J126+'дод 3 '!J339</f>
        <v>0</v>
      </c>
      <c r="J84" s="50">
        <f>'дод 3 '!K126+'дод 3 '!K339</f>
        <v>0</v>
      </c>
      <c r="K84" s="50">
        <f>'дод 3 '!L126+'дод 3 '!L339</f>
        <v>0</v>
      </c>
      <c r="L84" s="50">
        <f>'дод 3 '!M126+'дод 3 '!M339</f>
        <v>0</v>
      </c>
      <c r="M84" s="50">
        <f>'дод 3 '!N126+'дод 3 '!N339</f>
        <v>0</v>
      </c>
      <c r="N84" s="50">
        <f>'дод 3 '!O126+'дод 3 '!O339</f>
        <v>0</v>
      </c>
      <c r="O84" s="50">
        <f>'дод 3 '!P126+'дод 3 '!P339</f>
        <v>0</v>
      </c>
      <c r="P84" s="227"/>
      <c r="Q84" s="228"/>
    </row>
    <row r="85" spans="1:17" s="56" customFormat="1" ht="63" hidden="1" customHeight="1" x14ac:dyDescent="0.25">
      <c r="A85" s="1"/>
      <c r="B85" s="1"/>
      <c r="C85" s="64" t="s">
        <v>688</v>
      </c>
      <c r="D85" s="55">
        <f>'дод 3 '!E127+'дод 3 '!E340</f>
        <v>0</v>
      </c>
      <c r="E85" s="55">
        <f>'дод 3 '!F127+'дод 3 '!F340</f>
        <v>0</v>
      </c>
      <c r="F85" s="55">
        <f>'дод 3 '!G127+'дод 3 '!G340</f>
        <v>0</v>
      </c>
      <c r="G85" s="55">
        <f>'дод 3 '!H127+'дод 3 '!H340</f>
        <v>0</v>
      </c>
      <c r="H85" s="55">
        <f>'дод 3 '!I127+'дод 3 '!I340</f>
        <v>0</v>
      </c>
      <c r="I85" s="55">
        <f>'дод 3 '!J127+'дод 3 '!J340</f>
        <v>0</v>
      </c>
      <c r="J85" s="55">
        <f>'дод 3 '!K127+'дод 3 '!K340</f>
        <v>0</v>
      </c>
      <c r="K85" s="55">
        <f>'дод 3 '!L127+'дод 3 '!L340</f>
        <v>0</v>
      </c>
      <c r="L85" s="55">
        <f>'дод 3 '!M127+'дод 3 '!M340</f>
        <v>0</v>
      </c>
      <c r="M85" s="55">
        <f>'дод 3 '!N127+'дод 3 '!N340</f>
        <v>0</v>
      </c>
      <c r="N85" s="55">
        <f>'дод 3 '!O127+'дод 3 '!O340</f>
        <v>0</v>
      </c>
      <c r="O85" s="55">
        <f>'дод 3 '!P127+'дод 3 '!P340</f>
        <v>0</v>
      </c>
      <c r="P85" s="227"/>
      <c r="Q85" s="228"/>
    </row>
    <row r="86" spans="1:17" s="43" customFormat="1" ht="19.5" customHeight="1" x14ac:dyDescent="0.25">
      <c r="A86" s="57" t="s">
        <v>58</v>
      </c>
      <c r="B86" s="58"/>
      <c r="C86" s="47" t="s">
        <v>655</v>
      </c>
      <c r="D86" s="48">
        <f>D93+D99+D102+D104+D106+D109+D110+D97+D101</f>
        <v>119432000</v>
      </c>
      <c r="E86" s="48">
        <f t="shared" ref="E86:O86" si="14">E93+E99+E102+E104+E106+E109+E110+E97+E101</f>
        <v>119432000</v>
      </c>
      <c r="F86" s="48">
        <f t="shared" si="14"/>
        <v>3079800</v>
      </c>
      <c r="G86" s="48">
        <f t="shared" si="14"/>
        <v>154200</v>
      </c>
      <c r="H86" s="48">
        <f t="shared" si="14"/>
        <v>0</v>
      </c>
      <c r="I86" s="48">
        <f t="shared" si="14"/>
        <v>64457260</v>
      </c>
      <c r="J86" s="48">
        <f t="shared" si="14"/>
        <v>64457260</v>
      </c>
      <c r="K86" s="48">
        <f t="shared" si="14"/>
        <v>0</v>
      </c>
      <c r="L86" s="48">
        <f t="shared" si="14"/>
        <v>0</v>
      </c>
      <c r="M86" s="48">
        <f t="shared" si="14"/>
        <v>0</v>
      </c>
      <c r="N86" s="48">
        <f t="shared" si="14"/>
        <v>64457260</v>
      </c>
      <c r="O86" s="48">
        <f t="shared" si="14"/>
        <v>183889260</v>
      </c>
      <c r="P86" s="227"/>
      <c r="Q86" s="228"/>
    </row>
    <row r="87" spans="1:17" s="62" customFormat="1" ht="31.5" hidden="1" customHeight="1" x14ac:dyDescent="0.25">
      <c r="A87" s="59"/>
      <c r="B87" s="8"/>
      <c r="C87" s="60" t="s">
        <v>384</v>
      </c>
      <c r="D87" s="61">
        <f>D94+D100+D103</f>
        <v>0</v>
      </c>
      <c r="E87" s="61">
        <f t="shared" ref="E87:O87" si="15">E94+E100+E103</f>
        <v>0</v>
      </c>
      <c r="F87" s="61">
        <f t="shared" si="15"/>
        <v>0</v>
      </c>
      <c r="G87" s="61">
        <f t="shared" si="15"/>
        <v>0</v>
      </c>
      <c r="H87" s="61">
        <f t="shared" si="15"/>
        <v>0</v>
      </c>
      <c r="I87" s="61">
        <f t="shared" si="15"/>
        <v>0</v>
      </c>
      <c r="J87" s="61">
        <f t="shared" si="15"/>
        <v>0</v>
      </c>
      <c r="K87" s="61">
        <f t="shared" si="15"/>
        <v>0</v>
      </c>
      <c r="L87" s="61">
        <f t="shared" si="15"/>
        <v>0</v>
      </c>
      <c r="M87" s="61">
        <f t="shared" si="15"/>
        <v>0</v>
      </c>
      <c r="N87" s="61">
        <f t="shared" si="15"/>
        <v>0</v>
      </c>
      <c r="O87" s="61">
        <f t="shared" si="15"/>
        <v>0</v>
      </c>
      <c r="P87" s="227"/>
      <c r="Q87" s="228"/>
    </row>
    <row r="88" spans="1:17" s="62" customFormat="1" ht="47.25" hidden="1" customHeight="1" x14ac:dyDescent="0.25">
      <c r="A88" s="59"/>
      <c r="B88" s="8"/>
      <c r="C88" s="60" t="s">
        <v>385</v>
      </c>
      <c r="D88" s="61">
        <f>D95+D107</f>
        <v>0</v>
      </c>
      <c r="E88" s="61">
        <f t="shared" ref="E88:O88" si="16">E95+E107</f>
        <v>0</v>
      </c>
      <c r="F88" s="61">
        <f t="shared" si="16"/>
        <v>0</v>
      </c>
      <c r="G88" s="61">
        <f t="shared" si="16"/>
        <v>0</v>
      </c>
      <c r="H88" s="61">
        <f t="shared" si="16"/>
        <v>0</v>
      </c>
      <c r="I88" s="61">
        <f t="shared" si="16"/>
        <v>0</v>
      </c>
      <c r="J88" s="61">
        <f t="shared" si="16"/>
        <v>0</v>
      </c>
      <c r="K88" s="61">
        <f t="shared" si="16"/>
        <v>0</v>
      </c>
      <c r="L88" s="61">
        <f t="shared" si="16"/>
        <v>0</v>
      </c>
      <c r="M88" s="61">
        <f t="shared" si="16"/>
        <v>0</v>
      </c>
      <c r="N88" s="61">
        <f t="shared" si="16"/>
        <v>0</v>
      </c>
      <c r="O88" s="61">
        <f t="shared" si="16"/>
        <v>0</v>
      </c>
      <c r="P88" s="227"/>
      <c r="Q88" s="228"/>
    </row>
    <row r="89" spans="1:17" s="62" customFormat="1" ht="66.75" hidden="1" customHeight="1" x14ac:dyDescent="0.25">
      <c r="A89" s="59"/>
      <c r="B89" s="8"/>
      <c r="C89" s="60" t="s">
        <v>386</v>
      </c>
      <c r="D89" s="61">
        <f>D105+D108</f>
        <v>0</v>
      </c>
      <c r="E89" s="61">
        <f t="shared" ref="E89:O89" si="17">E105+E108</f>
        <v>0</v>
      </c>
      <c r="F89" s="61">
        <f t="shared" si="17"/>
        <v>0</v>
      </c>
      <c r="G89" s="61">
        <f t="shared" si="17"/>
        <v>0</v>
      </c>
      <c r="H89" s="61">
        <f t="shared" si="17"/>
        <v>0</v>
      </c>
      <c r="I89" s="61">
        <f t="shared" si="17"/>
        <v>0</v>
      </c>
      <c r="J89" s="61">
        <f t="shared" si="17"/>
        <v>0</v>
      </c>
      <c r="K89" s="61">
        <f t="shared" si="17"/>
        <v>0</v>
      </c>
      <c r="L89" s="61">
        <f t="shared" si="17"/>
        <v>0</v>
      </c>
      <c r="M89" s="61">
        <f t="shared" si="17"/>
        <v>0</v>
      </c>
      <c r="N89" s="61">
        <f t="shared" si="17"/>
        <v>0</v>
      </c>
      <c r="O89" s="61">
        <f t="shared" si="17"/>
        <v>0</v>
      </c>
      <c r="P89" s="227"/>
      <c r="Q89" s="228"/>
    </row>
    <row r="90" spans="1:17" s="62" customFormat="1" ht="15.75" hidden="1" customHeight="1" x14ac:dyDescent="0.25">
      <c r="A90" s="59"/>
      <c r="B90" s="8"/>
      <c r="C90" s="60" t="s">
        <v>387</v>
      </c>
      <c r="D90" s="61">
        <f>D96</f>
        <v>0</v>
      </c>
      <c r="E90" s="61">
        <f t="shared" ref="E90:O90" si="18">E96</f>
        <v>0</v>
      </c>
      <c r="F90" s="61">
        <f t="shared" si="18"/>
        <v>0</v>
      </c>
      <c r="G90" s="61">
        <f t="shared" si="18"/>
        <v>0</v>
      </c>
      <c r="H90" s="61">
        <f t="shared" si="18"/>
        <v>0</v>
      </c>
      <c r="I90" s="61">
        <f t="shared" si="18"/>
        <v>0</v>
      </c>
      <c r="J90" s="61">
        <f t="shared" si="18"/>
        <v>0</v>
      </c>
      <c r="K90" s="61">
        <f t="shared" si="18"/>
        <v>0</v>
      </c>
      <c r="L90" s="61">
        <f t="shared" si="18"/>
        <v>0</v>
      </c>
      <c r="M90" s="61">
        <f t="shared" si="18"/>
        <v>0</v>
      </c>
      <c r="N90" s="61">
        <f t="shared" si="18"/>
        <v>0</v>
      </c>
      <c r="O90" s="61">
        <f t="shared" si="18"/>
        <v>0</v>
      </c>
      <c r="P90" s="227"/>
      <c r="Q90" s="228"/>
    </row>
    <row r="91" spans="1:17" s="62" customFormat="1" ht="15.75" hidden="1" customHeight="1" x14ac:dyDescent="0.25">
      <c r="A91" s="59"/>
      <c r="B91" s="8"/>
      <c r="C91" s="69" t="str">
        <f>'дод 3 '!D159</f>
        <v>місцевого запозичення</v>
      </c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227"/>
      <c r="Q91" s="228"/>
    </row>
    <row r="92" spans="1:17" s="62" customFormat="1" ht="94.5" hidden="1" customHeight="1" x14ac:dyDescent="0.25">
      <c r="A92" s="59"/>
      <c r="B92" s="8"/>
      <c r="C92" s="70" t="s">
        <v>601</v>
      </c>
      <c r="D92" s="61">
        <f>D98</f>
        <v>0</v>
      </c>
      <c r="E92" s="61">
        <f t="shared" ref="E92:O92" si="19">E98</f>
        <v>0</v>
      </c>
      <c r="F92" s="61">
        <f t="shared" si="19"/>
        <v>0</v>
      </c>
      <c r="G92" s="61">
        <f t="shared" si="19"/>
        <v>0</v>
      </c>
      <c r="H92" s="61">
        <f t="shared" si="19"/>
        <v>0</v>
      </c>
      <c r="I92" s="61">
        <f t="shared" si="19"/>
        <v>0</v>
      </c>
      <c r="J92" s="61">
        <f t="shared" si="19"/>
        <v>0</v>
      </c>
      <c r="K92" s="61">
        <f t="shared" si="19"/>
        <v>0</v>
      </c>
      <c r="L92" s="61">
        <f t="shared" si="19"/>
        <v>0</v>
      </c>
      <c r="M92" s="61">
        <f t="shared" si="19"/>
        <v>0</v>
      </c>
      <c r="N92" s="61">
        <f t="shared" si="19"/>
        <v>0</v>
      </c>
      <c r="O92" s="61">
        <f t="shared" si="19"/>
        <v>0</v>
      </c>
      <c r="P92" s="227"/>
      <c r="Q92" s="228"/>
    </row>
    <row r="93" spans="1:17" ht="33" customHeight="1" x14ac:dyDescent="0.25">
      <c r="A93" s="49" t="s">
        <v>59</v>
      </c>
      <c r="B93" s="49" t="s">
        <v>60</v>
      </c>
      <c r="C93" s="4" t="s">
        <v>557</v>
      </c>
      <c r="D93" s="50">
        <f>'дод 3 '!E162+'дод 3 '!E336</f>
        <v>66664700</v>
      </c>
      <c r="E93" s="50">
        <f>'дод 3 '!F162+'дод 3 '!F336</f>
        <v>66664700</v>
      </c>
      <c r="F93" s="50">
        <f>'дод 3 '!G162+'дод 3 '!G336</f>
        <v>0</v>
      </c>
      <c r="G93" s="50">
        <f>'дод 3 '!H162+'дод 3 '!H336</f>
        <v>0</v>
      </c>
      <c r="H93" s="50">
        <f>'дод 3 '!I162+'дод 3 '!I336</f>
        <v>0</v>
      </c>
      <c r="I93" s="50">
        <f>'дод 3 '!J162+'дод 3 '!J336</f>
        <v>13000000</v>
      </c>
      <c r="J93" s="50">
        <f>'дод 3 '!K162+'дод 3 '!K336</f>
        <v>13000000</v>
      </c>
      <c r="K93" s="50">
        <f>'дод 3 '!L162+'дод 3 '!L336</f>
        <v>0</v>
      </c>
      <c r="L93" s="50">
        <f>'дод 3 '!M162+'дод 3 '!M336</f>
        <v>0</v>
      </c>
      <c r="M93" s="50">
        <f>'дод 3 '!N162+'дод 3 '!N336</f>
        <v>0</v>
      </c>
      <c r="N93" s="50">
        <f>'дод 3 '!O162+'дод 3 '!O336</f>
        <v>13000000</v>
      </c>
      <c r="O93" s="50">
        <f>'дод 3 '!P162+'дод 3 '!P336</f>
        <v>79664700</v>
      </c>
      <c r="P93" s="227"/>
      <c r="Q93" s="228"/>
    </row>
    <row r="94" spans="1:17" s="56" customFormat="1" ht="31.5" hidden="1" customHeight="1" x14ac:dyDescent="0.25">
      <c r="A94" s="52"/>
      <c r="B94" s="52"/>
      <c r="C94" s="54" t="s">
        <v>384</v>
      </c>
      <c r="D94" s="55">
        <f>'дод 3 '!E163</f>
        <v>0</v>
      </c>
      <c r="E94" s="55">
        <f>'дод 3 '!F163</f>
        <v>0</v>
      </c>
      <c r="F94" s="55">
        <f>'дод 3 '!G163</f>
        <v>0</v>
      </c>
      <c r="G94" s="55">
        <f>'дод 3 '!H163</f>
        <v>0</v>
      </c>
      <c r="H94" s="55">
        <f>'дод 3 '!I163</f>
        <v>0</v>
      </c>
      <c r="I94" s="55">
        <f>'дод 3 '!J163</f>
        <v>0</v>
      </c>
      <c r="J94" s="55">
        <f>'дод 3 '!K163</f>
        <v>0</v>
      </c>
      <c r="K94" s="55">
        <f>'дод 3 '!L163</f>
        <v>0</v>
      </c>
      <c r="L94" s="55">
        <f>'дод 3 '!M163</f>
        <v>0</v>
      </c>
      <c r="M94" s="55">
        <f>'дод 3 '!N163</f>
        <v>0</v>
      </c>
      <c r="N94" s="55">
        <f>'дод 3 '!O163</f>
        <v>0</v>
      </c>
      <c r="O94" s="55">
        <f>'дод 3 '!P163</f>
        <v>0</v>
      </c>
      <c r="P94" s="227"/>
      <c r="Q94" s="228"/>
    </row>
    <row r="95" spans="1:17" s="56" customFormat="1" ht="47.25" hidden="1" customHeight="1" x14ac:dyDescent="0.25">
      <c r="A95" s="52"/>
      <c r="B95" s="52"/>
      <c r="C95" s="54" t="s">
        <v>385</v>
      </c>
      <c r="D95" s="55">
        <f>'дод 3 '!E164</f>
        <v>0</v>
      </c>
      <c r="E95" s="55">
        <f>'дод 3 '!F164</f>
        <v>0</v>
      </c>
      <c r="F95" s="55">
        <f>'дод 3 '!G164</f>
        <v>0</v>
      </c>
      <c r="G95" s="55">
        <f>'дод 3 '!H164</f>
        <v>0</v>
      </c>
      <c r="H95" s="55">
        <f>'дод 3 '!I164</f>
        <v>0</v>
      </c>
      <c r="I95" s="55">
        <f>'дод 3 '!J164</f>
        <v>0</v>
      </c>
      <c r="J95" s="55">
        <f>'дод 3 '!K164</f>
        <v>0</v>
      </c>
      <c r="K95" s="55">
        <f>'дод 3 '!L164</f>
        <v>0</v>
      </c>
      <c r="L95" s="55">
        <f>'дод 3 '!M164</f>
        <v>0</v>
      </c>
      <c r="M95" s="55">
        <f>'дод 3 '!N164</f>
        <v>0</v>
      </c>
      <c r="N95" s="55">
        <f>'дод 3 '!O164</f>
        <v>0</v>
      </c>
      <c r="O95" s="55">
        <f>'дод 3 '!P164</f>
        <v>0</v>
      </c>
      <c r="P95" s="227"/>
      <c r="Q95" s="228"/>
    </row>
    <row r="96" spans="1:17" s="56" customFormat="1" ht="15.75" hidden="1" customHeight="1" x14ac:dyDescent="0.25">
      <c r="A96" s="52"/>
      <c r="B96" s="52"/>
      <c r="C96" s="54" t="s">
        <v>387</v>
      </c>
      <c r="D96" s="55">
        <f>'дод 3 '!E165</f>
        <v>0</v>
      </c>
      <c r="E96" s="55">
        <f>'дод 3 '!F165</f>
        <v>0</v>
      </c>
      <c r="F96" s="55">
        <f>'дод 3 '!G165</f>
        <v>0</v>
      </c>
      <c r="G96" s="55">
        <f>'дод 3 '!H165</f>
        <v>0</v>
      </c>
      <c r="H96" s="55">
        <f>'дод 3 '!I165</f>
        <v>0</v>
      </c>
      <c r="I96" s="55">
        <f>'дод 3 '!J165</f>
        <v>0</v>
      </c>
      <c r="J96" s="55">
        <f>'дод 3 '!K165</f>
        <v>0</v>
      </c>
      <c r="K96" s="55">
        <f>'дод 3 '!L165</f>
        <v>0</v>
      </c>
      <c r="L96" s="55">
        <f>'дод 3 '!M165</f>
        <v>0</v>
      </c>
      <c r="M96" s="55">
        <f>'дод 3 '!N165</f>
        <v>0</v>
      </c>
      <c r="N96" s="55">
        <f>'дод 3 '!O165</f>
        <v>0</v>
      </c>
      <c r="O96" s="55">
        <f>'дод 3 '!P165</f>
        <v>0</v>
      </c>
      <c r="P96" s="227"/>
      <c r="Q96" s="228"/>
    </row>
    <row r="97" spans="1:17" ht="31.5" hidden="1" customHeight="1" x14ac:dyDescent="0.25">
      <c r="A97" s="49">
        <v>2020</v>
      </c>
      <c r="B97" s="51" t="s">
        <v>428</v>
      </c>
      <c r="C97" s="4" t="s">
        <v>429</v>
      </c>
      <c r="D97" s="50">
        <f>'дод 3 '!E167</f>
        <v>0</v>
      </c>
      <c r="E97" s="50">
        <f>'дод 3 '!F167</f>
        <v>0</v>
      </c>
      <c r="F97" s="50">
        <f>'дод 3 '!G167</f>
        <v>0</v>
      </c>
      <c r="G97" s="50">
        <f>'дод 3 '!H167</f>
        <v>0</v>
      </c>
      <c r="H97" s="50">
        <f>'дод 3 '!I167</f>
        <v>0</v>
      </c>
      <c r="I97" s="50">
        <f>'дод 3 '!J167</f>
        <v>0</v>
      </c>
      <c r="J97" s="50">
        <f>'дод 3 '!K167</f>
        <v>0</v>
      </c>
      <c r="K97" s="50">
        <f>'дод 3 '!L167</f>
        <v>0</v>
      </c>
      <c r="L97" s="50">
        <f>'дод 3 '!M167</f>
        <v>0</v>
      </c>
      <c r="M97" s="50">
        <f>'дод 3 '!N167</f>
        <v>0</v>
      </c>
      <c r="N97" s="50">
        <f>'дод 3 '!O167</f>
        <v>0</v>
      </c>
      <c r="O97" s="50">
        <f>'дод 3 '!P167</f>
        <v>0</v>
      </c>
      <c r="P97" s="227"/>
      <c r="Q97" s="228"/>
    </row>
    <row r="98" spans="1:17" s="56" customFormat="1" ht="96.75" hidden="1" customHeight="1" x14ac:dyDescent="0.25">
      <c r="A98" s="52"/>
      <c r="B98" s="71"/>
      <c r="C98" s="72" t="str">
        <f>'дод 3 '!D166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8" s="55">
        <f>'дод 3 '!E166</f>
        <v>0</v>
      </c>
      <c r="E98" s="55">
        <f>'дод 3 '!F166</f>
        <v>0</v>
      </c>
      <c r="F98" s="55">
        <f>'дод 3 '!G166</f>
        <v>0</v>
      </c>
      <c r="G98" s="55">
        <f>'дод 3 '!H166</f>
        <v>0</v>
      </c>
      <c r="H98" s="55">
        <f>'дод 3 '!I166</f>
        <v>0</v>
      </c>
      <c r="I98" s="55">
        <f>'дод 3 '!J166</f>
        <v>0</v>
      </c>
      <c r="J98" s="55">
        <f>'дод 3 '!K166</f>
        <v>0</v>
      </c>
      <c r="K98" s="55">
        <f>'дод 3 '!L166</f>
        <v>0</v>
      </c>
      <c r="L98" s="55">
        <f>'дод 3 '!M166</f>
        <v>0</v>
      </c>
      <c r="M98" s="55">
        <f>'дод 3 '!N166</f>
        <v>0</v>
      </c>
      <c r="N98" s="55">
        <f>'дод 3 '!O166</f>
        <v>0</v>
      </c>
      <c r="O98" s="55">
        <f>'дод 3 '!P166</f>
        <v>0</v>
      </c>
      <c r="P98" s="227"/>
      <c r="Q98" s="228"/>
    </row>
    <row r="99" spans="1:17" ht="36.75" customHeight="1" x14ac:dyDescent="0.25">
      <c r="A99" s="49" t="s">
        <v>118</v>
      </c>
      <c r="B99" s="49" t="s">
        <v>61</v>
      </c>
      <c r="C99" s="4" t="s">
        <v>442</v>
      </c>
      <c r="D99" s="50">
        <f>'дод 3 '!E168</f>
        <v>6012400</v>
      </c>
      <c r="E99" s="50">
        <f>'дод 3 '!F168</f>
        <v>6012400</v>
      </c>
      <c r="F99" s="50">
        <f>'дод 3 '!G168</f>
        <v>0</v>
      </c>
      <c r="G99" s="50">
        <f>'дод 3 '!H168</f>
        <v>0</v>
      </c>
      <c r="H99" s="50">
        <f>'дод 3 '!I168</f>
        <v>0</v>
      </c>
      <c r="I99" s="50">
        <f>'дод 3 '!J168</f>
        <v>0</v>
      </c>
      <c r="J99" s="50">
        <f>'дод 3 '!K168</f>
        <v>0</v>
      </c>
      <c r="K99" s="50">
        <f>'дод 3 '!L168</f>
        <v>0</v>
      </c>
      <c r="L99" s="50">
        <f>'дод 3 '!M168</f>
        <v>0</v>
      </c>
      <c r="M99" s="50">
        <f>'дод 3 '!N168</f>
        <v>0</v>
      </c>
      <c r="N99" s="50">
        <f>'дод 3 '!O168</f>
        <v>0</v>
      </c>
      <c r="O99" s="50">
        <f>'дод 3 '!P168</f>
        <v>6012400</v>
      </c>
      <c r="P99" s="227"/>
      <c r="Q99" s="228"/>
    </row>
    <row r="100" spans="1:17" s="56" customFormat="1" ht="31.5" hidden="1" customHeight="1" x14ac:dyDescent="0.25">
      <c r="A100" s="52"/>
      <c r="B100" s="52"/>
      <c r="C100" s="54" t="s">
        <v>384</v>
      </c>
      <c r="D100" s="55">
        <f>'дод 3 '!E169</f>
        <v>0</v>
      </c>
      <c r="E100" s="55">
        <f>'дод 3 '!F169</f>
        <v>0</v>
      </c>
      <c r="F100" s="55">
        <f>'дод 3 '!G169</f>
        <v>0</v>
      </c>
      <c r="G100" s="55">
        <f>'дод 3 '!H169</f>
        <v>0</v>
      </c>
      <c r="H100" s="55">
        <f>'дод 3 '!I169</f>
        <v>0</v>
      </c>
      <c r="I100" s="55">
        <f>'дод 3 '!J169</f>
        <v>0</v>
      </c>
      <c r="J100" s="55">
        <f>'дод 3 '!K169</f>
        <v>0</v>
      </c>
      <c r="K100" s="55">
        <f>'дод 3 '!L169</f>
        <v>0</v>
      </c>
      <c r="L100" s="55">
        <f>'дод 3 '!M169</f>
        <v>0</v>
      </c>
      <c r="M100" s="55">
        <f>'дод 3 '!N169</f>
        <v>0</v>
      </c>
      <c r="N100" s="55">
        <f>'дод 3 '!O169</f>
        <v>0</v>
      </c>
      <c r="O100" s="55">
        <f>'дод 3 '!P169</f>
        <v>0</v>
      </c>
      <c r="P100" s="227"/>
      <c r="Q100" s="228"/>
    </row>
    <row r="101" spans="1:17" ht="24" hidden="1" customHeight="1" x14ac:dyDescent="0.25">
      <c r="A101" s="49">
        <v>2070</v>
      </c>
      <c r="B101" s="49" t="s">
        <v>578</v>
      </c>
      <c r="C101" s="4" t="s">
        <v>579</v>
      </c>
      <c r="D101" s="50">
        <f>'дод 3 '!E170</f>
        <v>0</v>
      </c>
      <c r="E101" s="50">
        <f>'дод 3 '!F170</f>
        <v>0</v>
      </c>
      <c r="F101" s="50">
        <f>'дод 3 '!G170</f>
        <v>0</v>
      </c>
      <c r="G101" s="50">
        <f>'дод 3 '!H170</f>
        <v>0</v>
      </c>
      <c r="H101" s="50">
        <f>'дод 3 '!I170</f>
        <v>0</v>
      </c>
      <c r="I101" s="50">
        <f>'дод 3 '!J170</f>
        <v>0</v>
      </c>
      <c r="J101" s="50">
        <f>'дод 3 '!K170</f>
        <v>0</v>
      </c>
      <c r="K101" s="50">
        <f>'дод 3 '!L170</f>
        <v>0</v>
      </c>
      <c r="L101" s="50">
        <f>'дод 3 '!M170</f>
        <v>0</v>
      </c>
      <c r="M101" s="50">
        <f>'дод 3 '!N170</f>
        <v>0</v>
      </c>
      <c r="N101" s="50">
        <f>'дод 3 '!O170</f>
        <v>0</v>
      </c>
      <c r="O101" s="50">
        <f>'дод 3 '!P170</f>
        <v>0</v>
      </c>
      <c r="P101" s="227"/>
      <c r="Q101" s="228"/>
    </row>
    <row r="102" spans="1:17" ht="19.5" customHeight="1" x14ac:dyDescent="0.25">
      <c r="A102" s="49" t="s">
        <v>119</v>
      </c>
      <c r="B102" s="49" t="s">
        <v>62</v>
      </c>
      <c r="C102" s="4" t="s">
        <v>443</v>
      </c>
      <c r="D102" s="50">
        <f>'дод 3 '!E171</f>
        <v>12460400</v>
      </c>
      <c r="E102" s="50">
        <f>'дод 3 '!F171</f>
        <v>12460400</v>
      </c>
      <c r="F102" s="50">
        <f>'дод 3 '!G171</f>
        <v>0</v>
      </c>
      <c r="G102" s="50">
        <f>'дод 3 '!H171</f>
        <v>0</v>
      </c>
      <c r="H102" s="50">
        <f>'дод 3 '!I171</f>
        <v>0</v>
      </c>
      <c r="I102" s="50">
        <f>'дод 3 '!J171</f>
        <v>0</v>
      </c>
      <c r="J102" s="50">
        <f>'дод 3 '!K171</f>
        <v>0</v>
      </c>
      <c r="K102" s="50">
        <f>'дод 3 '!L171</f>
        <v>0</v>
      </c>
      <c r="L102" s="50">
        <f>'дод 3 '!M171</f>
        <v>0</v>
      </c>
      <c r="M102" s="50">
        <f>'дод 3 '!N171</f>
        <v>0</v>
      </c>
      <c r="N102" s="50">
        <f>'дод 3 '!O171</f>
        <v>0</v>
      </c>
      <c r="O102" s="50">
        <f>'дод 3 '!P171</f>
        <v>12460400</v>
      </c>
      <c r="P102" s="227"/>
      <c r="Q102" s="228"/>
    </row>
    <row r="103" spans="1:17" s="56" customFormat="1" ht="31.5" hidden="1" customHeight="1" x14ac:dyDescent="0.25">
      <c r="A103" s="52"/>
      <c r="B103" s="52"/>
      <c r="C103" s="54" t="s">
        <v>384</v>
      </c>
      <c r="D103" s="55">
        <f>'дод 3 '!E172</f>
        <v>0</v>
      </c>
      <c r="E103" s="55">
        <f>'дод 3 '!F172</f>
        <v>0</v>
      </c>
      <c r="F103" s="55">
        <f>'дод 3 '!G172</f>
        <v>0</v>
      </c>
      <c r="G103" s="55">
        <f>'дод 3 '!H172</f>
        <v>0</v>
      </c>
      <c r="H103" s="55">
        <f>'дод 3 '!I172</f>
        <v>0</v>
      </c>
      <c r="I103" s="55">
        <f>'дод 3 '!J172</f>
        <v>0</v>
      </c>
      <c r="J103" s="55">
        <f>'дод 3 '!K172</f>
        <v>0</v>
      </c>
      <c r="K103" s="55">
        <f>'дод 3 '!L172</f>
        <v>0</v>
      </c>
      <c r="L103" s="55">
        <f>'дод 3 '!M172</f>
        <v>0</v>
      </c>
      <c r="M103" s="55">
        <f>'дод 3 '!N172</f>
        <v>0</v>
      </c>
      <c r="N103" s="55">
        <f>'дод 3 '!O172</f>
        <v>0</v>
      </c>
      <c r="O103" s="55">
        <f>'дод 3 '!P172</f>
        <v>0</v>
      </c>
      <c r="P103" s="227"/>
      <c r="Q103" s="228"/>
    </row>
    <row r="104" spans="1:17" ht="48.75" customHeight="1" x14ac:dyDescent="0.25">
      <c r="A104" s="49" t="s">
        <v>120</v>
      </c>
      <c r="B104" s="49" t="s">
        <v>307</v>
      </c>
      <c r="C104" s="4" t="s">
        <v>444</v>
      </c>
      <c r="D104" s="50">
        <f>'дод 3 '!E173</f>
        <v>5716100</v>
      </c>
      <c r="E104" s="50">
        <f>'дод 3 '!F173</f>
        <v>5716100</v>
      </c>
      <c r="F104" s="50">
        <f>'дод 3 '!G173</f>
        <v>0</v>
      </c>
      <c r="G104" s="50">
        <f>'дод 3 '!H173</f>
        <v>0</v>
      </c>
      <c r="H104" s="50">
        <f>'дод 3 '!I173</f>
        <v>0</v>
      </c>
      <c r="I104" s="50">
        <f>'дод 3 '!J173</f>
        <v>1457260</v>
      </c>
      <c r="J104" s="50">
        <f>'дод 3 '!K173</f>
        <v>1457260</v>
      </c>
      <c r="K104" s="50">
        <f>'дод 3 '!L173</f>
        <v>0</v>
      </c>
      <c r="L104" s="50">
        <f>'дод 3 '!M173</f>
        <v>0</v>
      </c>
      <c r="M104" s="50">
        <f>'дод 3 '!N173</f>
        <v>0</v>
      </c>
      <c r="N104" s="50">
        <f>'дод 3 '!O173</f>
        <v>1457260</v>
      </c>
      <c r="O104" s="50">
        <f>'дод 3 '!P173</f>
        <v>7173360</v>
      </c>
      <c r="P104" s="227"/>
      <c r="Q104" s="228"/>
    </row>
    <row r="105" spans="1:17" s="56" customFormat="1" ht="47.25" hidden="1" customHeight="1" x14ac:dyDescent="0.25">
      <c r="A105" s="52"/>
      <c r="B105" s="52"/>
      <c r="C105" s="73" t="s">
        <v>386</v>
      </c>
      <c r="D105" s="55">
        <f>'дод 3 '!E174</f>
        <v>0</v>
      </c>
      <c r="E105" s="55">
        <f>'дод 3 '!F174</f>
        <v>0</v>
      </c>
      <c r="F105" s="55">
        <f>'дод 3 '!G174</f>
        <v>0</v>
      </c>
      <c r="G105" s="55">
        <f>'дод 3 '!H174</f>
        <v>0</v>
      </c>
      <c r="H105" s="55">
        <f>'дод 3 '!I174</f>
        <v>0</v>
      </c>
      <c r="I105" s="55">
        <f>'дод 3 '!J174</f>
        <v>0</v>
      </c>
      <c r="J105" s="55">
        <f>'дод 3 '!K174</f>
        <v>0</v>
      </c>
      <c r="K105" s="55">
        <f>'дод 3 '!L174</f>
        <v>0</v>
      </c>
      <c r="L105" s="55">
        <f>'дод 3 '!M174</f>
        <v>0</v>
      </c>
      <c r="M105" s="55">
        <f>'дод 3 '!N174</f>
        <v>0</v>
      </c>
      <c r="N105" s="55">
        <f>'дод 3 '!O174</f>
        <v>0</v>
      </c>
      <c r="O105" s="55">
        <f>'дод 3 '!P174</f>
        <v>0</v>
      </c>
      <c r="P105" s="227"/>
    </row>
    <row r="106" spans="1:17" ht="31.5" hidden="1" customHeight="1" x14ac:dyDescent="0.25">
      <c r="A106" s="49">
        <v>2144</v>
      </c>
      <c r="B106" s="49" t="s">
        <v>63</v>
      </c>
      <c r="C106" s="4" t="s">
        <v>393</v>
      </c>
      <c r="D106" s="50">
        <f>'дод 3 '!E175</f>
        <v>0</v>
      </c>
      <c r="E106" s="50">
        <f>'дод 3 '!F175</f>
        <v>0</v>
      </c>
      <c r="F106" s="50">
        <f>'дод 3 '!G175</f>
        <v>0</v>
      </c>
      <c r="G106" s="50">
        <f>'дод 3 '!H175</f>
        <v>0</v>
      </c>
      <c r="H106" s="50">
        <f>'дод 3 '!I175</f>
        <v>0</v>
      </c>
      <c r="I106" s="50">
        <f>'дод 3 '!J175</f>
        <v>0</v>
      </c>
      <c r="J106" s="50">
        <f>'дод 3 '!K175</f>
        <v>0</v>
      </c>
      <c r="K106" s="50">
        <f>'дод 3 '!L175</f>
        <v>0</v>
      </c>
      <c r="L106" s="50">
        <f>'дод 3 '!M175</f>
        <v>0</v>
      </c>
      <c r="M106" s="50">
        <f>'дод 3 '!N175</f>
        <v>0</v>
      </c>
      <c r="N106" s="50">
        <f>'дод 3 '!O175</f>
        <v>0</v>
      </c>
      <c r="O106" s="50">
        <f>'дод 3 '!P175</f>
        <v>0</v>
      </c>
      <c r="P106" s="227"/>
    </row>
    <row r="107" spans="1:17" s="56" customFormat="1" ht="47.25" hidden="1" customHeight="1" x14ac:dyDescent="0.25">
      <c r="A107" s="52"/>
      <c r="B107" s="52"/>
      <c r="C107" s="54" t="s">
        <v>385</v>
      </c>
      <c r="D107" s="55">
        <f>'дод 3 '!E176</f>
        <v>0</v>
      </c>
      <c r="E107" s="55">
        <f>'дод 3 '!F176</f>
        <v>0</v>
      </c>
      <c r="F107" s="55">
        <f>'дод 3 '!G176</f>
        <v>0</v>
      </c>
      <c r="G107" s="55">
        <f>'дод 3 '!H176</f>
        <v>0</v>
      </c>
      <c r="H107" s="55">
        <f>'дод 3 '!I176</f>
        <v>0</v>
      </c>
      <c r="I107" s="55">
        <f>'дод 3 '!J176</f>
        <v>0</v>
      </c>
      <c r="J107" s="55">
        <f>'дод 3 '!K176</f>
        <v>0</v>
      </c>
      <c r="K107" s="55">
        <f>'дод 3 '!L176</f>
        <v>0</v>
      </c>
      <c r="L107" s="55">
        <f>'дод 3 '!M176</f>
        <v>0</v>
      </c>
      <c r="M107" s="55">
        <f>'дод 3 '!N176</f>
        <v>0</v>
      </c>
      <c r="N107" s="55">
        <f>'дод 3 '!O176</f>
        <v>0</v>
      </c>
      <c r="O107" s="55">
        <f>'дод 3 '!P176</f>
        <v>0</v>
      </c>
      <c r="P107" s="227"/>
    </row>
    <row r="108" spans="1:17" s="56" customFormat="1" ht="63" hidden="1" customHeight="1" x14ac:dyDescent="0.25">
      <c r="A108" s="52"/>
      <c r="B108" s="52"/>
      <c r="C108" s="54" t="s">
        <v>386</v>
      </c>
      <c r="D108" s="55">
        <f>'дод 3 '!E177</f>
        <v>0</v>
      </c>
      <c r="E108" s="55">
        <f>'дод 3 '!F177</f>
        <v>0</v>
      </c>
      <c r="F108" s="55">
        <f>'дод 3 '!G177</f>
        <v>0</v>
      </c>
      <c r="G108" s="55">
        <f>'дод 3 '!H177</f>
        <v>0</v>
      </c>
      <c r="H108" s="55">
        <f>'дод 3 '!I177</f>
        <v>0</v>
      </c>
      <c r="I108" s="55">
        <f>'дод 3 '!J177</f>
        <v>0</v>
      </c>
      <c r="J108" s="55">
        <f>'дод 3 '!K177</f>
        <v>0</v>
      </c>
      <c r="K108" s="55">
        <f>'дод 3 '!L177</f>
        <v>0</v>
      </c>
      <c r="L108" s="55">
        <f>'дод 3 '!M177</f>
        <v>0</v>
      </c>
      <c r="M108" s="55">
        <f>'дод 3 '!N177</f>
        <v>0</v>
      </c>
      <c r="N108" s="55">
        <f>'дод 3 '!O177</f>
        <v>0</v>
      </c>
      <c r="O108" s="55">
        <f>'дод 3 '!P177</f>
        <v>0</v>
      </c>
      <c r="P108" s="227"/>
    </row>
    <row r="109" spans="1:17" ht="33.75" customHeight="1" x14ac:dyDescent="0.25">
      <c r="A109" s="49" t="s">
        <v>279</v>
      </c>
      <c r="B109" s="49" t="s">
        <v>63</v>
      </c>
      <c r="C109" s="65" t="s">
        <v>561</v>
      </c>
      <c r="D109" s="50">
        <f>'дод 3 '!E178</f>
        <v>4113000</v>
      </c>
      <c r="E109" s="50">
        <f>'дод 3 '!F178</f>
        <v>4113000</v>
      </c>
      <c r="F109" s="50">
        <f>'дод 3 '!G178</f>
        <v>3079800</v>
      </c>
      <c r="G109" s="50">
        <f>'дод 3 '!H178</f>
        <v>154200</v>
      </c>
      <c r="H109" s="50">
        <f>'дод 3 '!I178</f>
        <v>0</v>
      </c>
      <c r="I109" s="50">
        <f>'дод 3 '!J178</f>
        <v>0</v>
      </c>
      <c r="J109" s="50">
        <f>'дод 3 '!K178</f>
        <v>0</v>
      </c>
      <c r="K109" s="50">
        <f>'дод 3 '!L178</f>
        <v>0</v>
      </c>
      <c r="L109" s="50">
        <f>'дод 3 '!M178</f>
        <v>0</v>
      </c>
      <c r="M109" s="50">
        <f>'дод 3 '!N178</f>
        <v>0</v>
      </c>
      <c r="N109" s="50">
        <f>'дод 3 '!O178</f>
        <v>0</v>
      </c>
      <c r="O109" s="50">
        <f>'дод 3 '!P178</f>
        <v>4113000</v>
      </c>
      <c r="P109" s="227"/>
    </row>
    <row r="110" spans="1:17" ht="21.75" customHeight="1" x14ac:dyDescent="0.25">
      <c r="A110" s="49" t="s">
        <v>280</v>
      </c>
      <c r="B110" s="49" t="s">
        <v>63</v>
      </c>
      <c r="C110" s="65" t="s">
        <v>562</v>
      </c>
      <c r="D110" s="50">
        <f>'дод 3 '!E179</f>
        <v>24465400</v>
      </c>
      <c r="E110" s="50">
        <f>'дод 3 '!F179</f>
        <v>24465400</v>
      </c>
      <c r="F110" s="50">
        <f>'дод 3 '!G179</f>
        <v>0</v>
      </c>
      <c r="G110" s="50">
        <f>'дод 3 '!H179</f>
        <v>0</v>
      </c>
      <c r="H110" s="50">
        <f>'дод 3 '!I179</f>
        <v>0</v>
      </c>
      <c r="I110" s="50">
        <f>'дод 3 '!J179</f>
        <v>50000000</v>
      </c>
      <c r="J110" s="50">
        <f>'дод 3 '!K179</f>
        <v>50000000</v>
      </c>
      <c r="K110" s="50">
        <f>'дод 3 '!L179</f>
        <v>0</v>
      </c>
      <c r="L110" s="50">
        <f>'дод 3 '!M179</f>
        <v>0</v>
      </c>
      <c r="M110" s="50">
        <f>'дод 3 '!N179</f>
        <v>0</v>
      </c>
      <c r="N110" s="50">
        <f>'дод 3 '!O179</f>
        <v>50000000</v>
      </c>
      <c r="O110" s="50">
        <f>'дод 3 '!P179</f>
        <v>74465400</v>
      </c>
      <c r="P110" s="227"/>
    </row>
    <row r="111" spans="1:17" s="43" customFormat="1" ht="33" customHeight="1" x14ac:dyDescent="0.25">
      <c r="A111" s="57" t="s">
        <v>64</v>
      </c>
      <c r="B111" s="74"/>
      <c r="C111" s="75" t="s">
        <v>650</v>
      </c>
      <c r="D111" s="48">
        <f>D117+D118+D119+D121+D122+D123+D125+D127+D128+D129+D130+D131+D133+D134+D136+D138+D140+D141+D142+D143+D144+D145+D147+D151+D152+D132</f>
        <v>302654229</v>
      </c>
      <c r="E111" s="48">
        <f>E117+E118+E119+E121+E122+E123+E125+E127+E128+E129+E130+E131+E133+E134+E136+E138+E140+E141+E142+E143+E144+E145+E147+E151+E152+E132</f>
        <v>302654229</v>
      </c>
      <c r="F111" s="48">
        <f>F117+F118+F119+F121+F122+F123+F125+F127+F128+F129+F130+F131+F133+F134+F136+F138+F140+F141+F142+F143+F144+F145+F147+F151+F152+F132</f>
        <v>31221900</v>
      </c>
      <c r="G111" s="48">
        <f>G117+G118+G119+G121+G122+G123+G125+G127+G128+G129+G130+G131+G133+G134+G136+G138+G140+G141+G142+G143+G144+G145+G147+G151+G152+G132</f>
        <v>3074900</v>
      </c>
      <c r="H111" s="48">
        <f>H117+H118+H119+H121+H122+H123+H125+H127+H128+H129+H130+H131+H133+H134+H136+H138+H140+H141+H142+H143+H144+H145+H147+H151+H152+H132</f>
        <v>0</v>
      </c>
      <c r="I111" s="48">
        <f>I117+I118+I119+I121+I122+I123+I125+I127+I128+I129+I130+I131+I133+I134+I136+I138+I140+I141+I142+I143+I144+I145+I147+I151+I152+I132+I149</f>
        <v>178600</v>
      </c>
      <c r="J111" s="48">
        <f t="shared" ref="J111:O111" si="20">J117+J118+J119+J121+J122+J123+J125+J127+J128+J129+J130+J131+J133+J134+J136+J138+J140+J141+J142+J143+J144+J145+J147+J151+J152+J132+J149</f>
        <v>100000</v>
      </c>
      <c r="K111" s="48">
        <f t="shared" si="20"/>
        <v>78600</v>
      </c>
      <c r="L111" s="48">
        <f t="shared" si="20"/>
        <v>56100</v>
      </c>
      <c r="M111" s="48">
        <f t="shared" si="20"/>
        <v>3500</v>
      </c>
      <c r="N111" s="48">
        <f t="shared" si="20"/>
        <v>100000</v>
      </c>
      <c r="O111" s="48">
        <f t="shared" si="20"/>
        <v>302832829</v>
      </c>
      <c r="P111" s="227"/>
    </row>
    <row r="112" spans="1:17" s="62" customFormat="1" ht="262.5" hidden="1" customHeight="1" x14ac:dyDescent="0.25">
      <c r="A112" s="59"/>
      <c r="B112" s="76"/>
      <c r="C112" s="60" t="s">
        <v>698</v>
      </c>
      <c r="D112" s="61">
        <f>D146</f>
        <v>0</v>
      </c>
      <c r="E112" s="61">
        <f t="shared" ref="E112:O112" si="21">E146</f>
        <v>0</v>
      </c>
      <c r="F112" s="61">
        <f t="shared" si="21"/>
        <v>0</v>
      </c>
      <c r="G112" s="61">
        <f t="shared" si="21"/>
        <v>0</v>
      </c>
      <c r="H112" s="61">
        <f t="shared" si="21"/>
        <v>0</v>
      </c>
      <c r="I112" s="61">
        <f t="shared" si="21"/>
        <v>0</v>
      </c>
      <c r="J112" s="61">
        <f t="shared" si="21"/>
        <v>0</v>
      </c>
      <c r="K112" s="61">
        <f t="shared" si="21"/>
        <v>0</v>
      </c>
      <c r="L112" s="61">
        <f t="shared" si="21"/>
        <v>0</v>
      </c>
      <c r="M112" s="61">
        <f t="shared" si="21"/>
        <v>0</v>
      </c>
      <c r="N112" s="61">
        <f t="shared" si="21"/>
        <v>0</v>
      </c>
      <c r="O112" s="61">
        <f t="shared" si="21"/>
        <v>0</v>
      </c>
      <c r="P112" s="227"/>
    </row>
    <row r="113" spans="1:16" s="62" customFormat="1" ht="258" hidden="1" customHeight="1" x14ac:dyDescent="0.25">
      <c r="A113" s="59"/>
      <c r="B113" s="76"/>
      <c r="C113" s="77" t="s">
        <v>700</v>
      </c>
      <c r="D113" s="61">
        <f>'дод 3 '!E193</f>
        <v>0</v>
      </c>
      <c r="E113" s="61">
        <f>'дод 3 '!F193</f>
        <v>0</v>
      </c>
      <c r="F113" s="61">
        <f>'дод 3 '!G193</f>
        <v>0</v>
      </c>
      <c r="G113" s="61">
        <f>'дод 3 '!H193</f>
        <v>0</v>
      </c>
      <c r="H113" s="61">
        <f>'дод 3 '!I193</f>
        <v>0</v>
      </c>
      <c r="I113" s="61">
        <f>'дод 3 '!J193</f>
        <v>0</v>
      </c>
      <c r="J113" s="61">
        <f>'дод 3 '!K193</f>
        <v>0</v>
      </c>
      <c r="K113" s="61">
        <f>'дод 3 '!L193</f>
        <v>0</v>
      </c>
      <c r="L113" s="61">
        <f>'дод 3 '!M193</f>
        <v>0</v>
      </c>
      <c r="M113" s="61">
        <f>'дод 3 '!N193</f>
        <v>0</v>
      </c>
      <c r="N113" s="61">
        <f>'дод 3 '!O193</f>
        <v>0</v>
      </c>
      <c r="O113" s="61">
        <f>'дод 3 '!P193</f>
        <v>0</v>
      </c>
      <c r="P113" s="227"/>
    </row>
    <row r="114" spans="1:16" s="62" customFormat="1" x14ac:dyDescent="0.25">
      <c r="A114" s="59"/>
      <c r="B114" s="76"/>
      <c r="C114" s="60" t="s">
        <v>388</v>
      </c>
      <c r="D114" s="61">
        <f t="shared" ref="D114:O114" si="22">D120+D124+D126+D137+D139+D153</f>
        <v>1546729</v>
      </c>
      <c r="E114" s="61">
        <f t="shared" si="22"/>
        <v>1546729</v>
      </c>
      <c r="F114" s="61">
        <f t="shared" si="22"/>
        <v>0</v>
      </c>
      <c r="G114" s="61">
        <f t="shared" si="22"/>
        <v>0</v>
      </c>
      <c r="H114" s="61">
        <f t="shared" si="22"/>
        <v>0</v>
      </c>
      <c r="I114" s="61">
        <f t="shared" si="22"/>
        <v>0</v>
      </c>
      <c r="J114" s="61">
        <f t="shared" si="22"/>
        <v>0</v>
      </c>
      <c r="K114" s="61">
        <f t="shared" si="22"/>
        <v>0</v>
      </c>
      <c r="L114" s="61">
        <f t="shared" si="22"/>
        <v>0</v>
      </c>
      <c r="M114" s="61">
        <f t="shared" si="22"/>
        <v>0</v>
      </c>
      <c r="N114" s="61">
        <f t="shared" si="22"/>
        <v>0</v>
      </c>
      <c r="O114" s="61">
        <f t="shared" si="22"/>
        <v>1546729</v>
      </c>
      <c r="P114" s="227"/>
    </row>
    <row r="115" spans="1:16" s="62" customFormat="1" ht="97.15" customHeight="1" x14ac:dyDescent="0.25">
      <c r="A115" s="59"/>
      <c r="B115" s="76"/>
      <c r="C115" s="60" t="str">
        <f>C135</f>
        <v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v>
      </c>
      <c r="D115" s="61">
        <f>D135</f>
        <v>1495257</v>
      </c>
      <c r="E115" s="61">
        <f t="shared" ref="E115:O115" si="23">E135</f>
        <v>1495257</v>
      </c>
      <c r="F115" s="61">
        <f t="shared" si="23"/>
        <v>0</v>
      </c>
      <c r="G115" s="61">
        <f t="shared" si="23"/>
        <v>0</v>
      </c>
      <c r="H115" s="61">
        <f t="shared" si="23"/>
        <v>0</v>
      </c>
      <c r="I115" s="61">
        <f t="shared" si="23"/>
        <v>0</v>
      </c>
      <c r="J115" s="61">
        <f t="shared" si="23"/>
        <v>0</v>
      </c>
      <c r="K115" s="61">
        <f t="shared" si="23"/>
        <v>0</v>
      </c>
      <c r="L115" s="61">
        <f t="shared" si="23"/>
        <v>0</v>
      </c>
      <c r="M115" s="61">
        <f t="shared" si="23"/>
        <v>0</v>
      </c>
      <c r="N115" s="61">
        <f t="shared" si="23"/>
        <v>0</v>
      </c>
      <c r="O115" s="61">
        <f t="shared" si="23"/>
        <v>1495257</v>
      </c>
      <c r="P115" s="227"/>
    </row>
    <row r="116" spans="1:16" s="62" customFormat="1" ht="219.75" hidden="1" customHeight="1" x14ac:dyDescent="0.25">
      <c r="A116" s="59"/>
      <c r="B116" s="76"/>
      <c r="C116" s="9" t="s">
        <v>699</v>
      </c>
      <c r="D116" s="61">
        <f>D148</f>
        <v>0</v>
      </c>
      <c r="E116" s="61">
        <f t="shared" ref="E116:H116" si="24">E148</f>
        <v>0</v>
      </c>
      <c r="F116" s="61">
        <f t="shared" si="24"/>
        <v>0</v>
      </c>
      <c r="G116" s="61">
        <f t="shared" si="24"/>
        <v>0</v>
      </c>
      <c r="H116" s="61">
        <f t="shared" si="24"/>
        <v>0</v>
      </c>
      <c r="I116" s="61">
        <f>I150</f>
        <v>0</v>
      </c>
      <c r="J116" s="61">
        <f t="shared" ref="J116:O116" si="25">J150</f>
        <v>0</v>
      </c>
      <c r="K116" s="61">
        <f t="shared" si="25"/>
        <v>0</v>
      </c>
      <c r="L116" s="61">
        <f t="shared" si="25"/>
        <v>0</v>
      </c>
      <c r="M116" s="61">
        <f t="shared" si="25"/>
        <v>0</v>
      </c>
      <c r="N116" s="61">
        <f t="shared" si="25"/>
        <v>0</v>
      </c>
      <c r="O116" s="61">
        <f t="shared" si="25"/>
        <v>0</v>
      </c>
      <c r="P116" s="227"/>
    </row>
    <row r="117" spans="1:16" ht="38.25" customHeight="1" x14ac:dyDescent="0.25">
      <c r="A117" s="49" t="s">
        <v>97</v>
      </c>
      <c r="B117" s="49" t="s">
        <v>51</v>
      </c>
      <c r="C117" s="65" t="s">
        <v>121</v>
      </c>
      <c r="D117" s="50">
        <f>'дод 3 '!E199</f>
        <v>466000</v>
      </c>
      <c r="E117" s="50">
        <f>'дод 3 '!F199</f>
        <v>466000</v>
      </c>
      <c r="F117" s="50">
        <f>'дод 3 '!G199</f>
        <v>0</v>
      </c>
      <c r="G117" s="50">
        <f>'дод 3 '!H199</f>
        <v>0</v>
      </c>
      <c r="H117" s="50">
        <f>'дод 3 '!I199</f>
        <v>0</v>
      </c>
      <c r="I117" s="50">
        <f>'дод 3 '!J199</f>
        <v>0</v>
      </c>
      <c r="J117" s="50">
        <f>'дод 3 '!K199</f>
        <v>0</v>
      </c>
      <c r="K117" s="50">
        <f>'дод 3 '!L199</f>
        <v>0</v>
      </c>
      <c r="L117" s="50">
        <f>'дод 3 '!M199</f>
        <v>0</v>
      </c>
      <c r="M117" s="50">
        <f>'дод 3 '!N199</f>
        <v>0</v>
      </c>
      <c r="N117" s="50">
        <f>'дод 3 '!O199</f>
        <v>0</v>
      </c>
      <c r="O117" s="50">
        <f>'дод 3 '!P199</f>
        <v>466000</v>
      </c>
      <c r="P117" s="227"/>
    </row>
    <row r="118" spans="1:16" ht="35.25" customHeight="1" x14ac:dyDescent="0.25">
      <c r="A118" s="49" t="s">
        <v>122</v>
      </c>
      <c r="B118" s="49" t="s">
        <v>53</v>
      </c>
      <c r="C118" s="65" t="s">
        <v>354</v>
      </c>
      <c r="D118" s="50">
        <f>'дод 3 '!E200</f>
        <v>830000</v>
      </c>
      <c r="E118" s="50">
        <f>'дод 3 '!F200</f>
        <v>830000</v>
      </c>
      <c r="F118" s="50">
        <f>'дод 3 '!G200</f>
        <v>0</v>
      </c>
      <c r="G118" s="50">
        <f>'дод 3 '!H200</f>
        <v>0</v>
      </c>
      <c r="H118" s="50">
        <f>'дод 3 '!I200</f>
        <v>0</v>
      </c>
      <c r="I118" s="50">
        <f>'дод 3 '!J200</f>
        <v>0</v>
      </c>
      <c r="J118" s="50">
        <f>'дод 3 '!K200</f>
        <v>0</v>
      </c>
      <c r="K118" s="50">
        <f>'дод 3 '!L200</f>
        <v>0</v>
      </c>
      <c r="L118" s="50">
        <f>'дод 3 '!M200</f>
        <v>0</v>
      </c>
      <c r="M118" s="50">
        <f>'дод 3 '!N200</f>
        <v>0</v>
      </c>
      <c r="N118" s="50">
        <f>'дод 3 '!O200</f>
        <v>0</v>
      </c>
      <c r="O118" s="50">
        <f>'дод 3 '!P200</f>
        <v>830000</v>
      </c>
      <c r="P118" s="227"/>
    </row>
    <row r="119" spans="1:16" ht="31.5" x14ac:dyDescent="0.25">
      <c r="A119" s="49" t="s">
        <v>98</v>
      </c>
      <c r="B119" s="49" t="s">
        <v>53</v>
      </c>
      <c r="C119" s="65" t="s">
        <v>399</v>
      </c>
      <c r="D119" s="50">
        <f>'дод 3 '!E201+'дод 3 '!E25</f>
        <v>19035700</v>
      </c>
      <c r="E119" s="50">
        <f>'дод 3 '!F201+'дод 3 '!F25</f>
        <v>19035700</v>
      </c>
      <c r="F119" s="50">
        <f>'дод 3 '!G201+'дод 3 '!G25</f>
        <v>0</v>
      </c>
      <c r="G119" s="50">
        <f>'дод 3 '!H201+'дод 3 '!H25</f>
        <v>0</v>
      </c>
      <c r="H119" s="50">
        <f>'дод 3 '!I201+'дод 3 '!I25</f>
        <v>0</v>
      </c>
      <c r="I119" s="50">
        <f>'дод 3 '!J201+'дод 3 '!J25</f>
        <v>0</v>
      </c>
      <c r="J119" s="50">
        <f>'дод 3 '!K201+'дод 3 '!K25</f>
        <v>0</v>
      </c>
      <c r="K119" s="50">
        <f>'дод 3 '!L201+'дод 3 '!L25</f>
        <v>0</v>
      </c>
      <c r="L119" s="50">
        <f>'дод 3 '!M201+'дод 3 '!M25</f>
        <v>0</v>
      </c>
      <c r="M119" s="50">
        <f>'дод 3 '!N201+'дод 3 '!N25</f>
        <v>0</v>
      </c>
      <c r="N119" s="50">
        <f>'дод 3 '!O201+'дод 3 '!O25</f>
        <v>0</v>
      </c>
      <c r="O119" s="50">
        <f>'дод 3 '!P201+'дод 3 '!P25</f>
        <v>19035700</v>
      </c>
      <c r="P119" s="227"/>
    </row>
    <row r="120" spans="1:16" s="56" customFormat="1" ht="21.75" hidden="1" customHeight="1" x14ac:dyDescent="0.25">
      <c r="A120" s="52"/>
      <c r="B120" s="52"/>
      <c r="C120" s="54" t="s">
        <v>387</v>
      </c>
      <c r="D120" s="55">
        <f>'дод 3 '!E202</f>
        <v>0</v>
      </c>
      <c r="E120" s="55">
        <f>'дод 3 '!F202</f>
        <v>0</v>
      </c>
      <c r="F120" s="55">
        <f>'дод 3 '!G202</f>
        <v>0</v>
      </c>
      <c r="G120" s="55">
        <f>'дод 3 '!H202</f>
        <v>0</v>
      </c>
      <c r="H120" s="55">
        <f>'дод 3 '!I202</f>
        <v>0</v>
      </c>
      <c r="I120" s="55">
        <f>'дод 3 '!J202</f>
        <v>0</v>
      </c>
      <c r="J120" s="55">
        <f>'дод 3 '!K202</f>
        <v>0</v>
      </c>
      <c r="K120" s="55">
        <f>'дод 3 '!L202</f>
        <v>0</v>
      </c>
      <c r="L120" s="55">
        <f>'дод 3 '!M202</f>
        <v>0</v>
      </c>
      <c r="M120" s="55">
        <f>'дод 3 '!N202</f>
        <v>0</v>
      </c>
      <c r="N120" s="55">
        <f>'дод 3 '!O202</f>
        <v>0</v>
      </c>
      <c r="O120" s="55">
        <f>'дод 3 '!P202</f>
        <v>0</v>
      </c>
      <c r="P120" s="227"/>
    </row>
    <row r="121" spans="1:16" ht="36" customHeight="1" x14ac:dyDescent="0.25">
      <c r="A121" s="49" t="s">
        <v>317</v>
      </c>
      <c r="B121" s="49" t="s">
        <v>53</v>
      </c>
      <c r="C121" s="65" t="s">
        <v>316</v>
      </c>
      <c r="D121" s="50">
        <f>'дод 3 '!E203</f>
        <v>1000000</v>
      </c>
      <c r="E121" s="50">
        <f>'дод 3 '!F203</f>
        <v>1000000</v>
      </c>
      <c r="F121" s="50">
        <f>'дод 3 '!G203</f>
        <v>0</v>
      </c>
      <c r="G121" s="50">
        <f>'дод 3 '!H203</f>
        <v>0</v>
      </c>
      <c r="H121" s="50">
        <f>'дод 3 '!I203</f>
        <v>0</v>
      </c>
      <c r="I121" s="50">
        <f>'дод 3 '!J203</f>
        <v>0</v>
      </c>
      <c r="J121" s="50">
        <f>'дод 3 '!K203</f>
        <v>0</v>
      </c>
      <c r="K121" s="50">
        <f>'дод 3 '!L203</f>
        <v>0</v>
      </c>
      <c r="L121" s="50">
        <f>'дод 3 '!M203</f>
        <v>0</v>
      </c>
      <c r="M121" s="50">
        <f>'дод 3 '!N203</f>
        <v>0</v>
      </c>
      <c r="N121" s="50">
        <f>'дод 3 '!O203</f>
        <v>0</v>
      </c>
      <c r="O121" s="50">
        <f>'дод 3 '!P203</f>
        <v>1000000</v>
      </c>
      <c r="P121" s="227"/>
    </row>
    <row r="122" spans="1:16" ht="34.5" customHeight="1" x14ac:dyDescent="0.25">
      <c r="A122" s="49" t="s">
        <v>123</v>
      </c>
      <c r="B122" s="49" t="s">
        <v>53</v>
      </c>
      <c r="C122" s="65" t="s">
        <v>19</v>
      </c>
      <c r="D122" s="50">
        <f>'дод 3 '!E204+'дод 3 '!E26</f>
        <v>45654300</v>
      </c>
      <c r="E122" s="50">
        <f>'дод 3 '!F204+'дод 3 '!F26</f>
        <v>45654300</v>
      </c>
      <c r="F122" s="50">
        <f>'дод 3 '!G204+'дод 3 '!G26</f>
        <v>0</v>
      </c>
      <c r="G122" s="50">
        <f>'дод 3 '!H204+'дод 3 '!H26</f>
        <v>0</v>
      </c>
      <c r="H122" s="50">
        <f>'дод 3 '!I204+'дод 3 '!I26</f>
        <v>0</v>
      </c>
      <c r="I122" s="50">
        <f>'дод 3 '!J204+'дод 3 '!J26</f>
        <v>0</v>
      </c>
      <c r="J122" s="50">
        <f>'дод 3 '!K204+'дод 3 '!K26</f>
        <v>0</v>
      </c>
      <c r="K122" s="50">
        <f>'дод 3 '!L204+'дод 3 '!L26</f>
        <v>0</v>
      </c>
      <c r="L122" s="50">
        <f>'дод 3 '!M204+'дод 3 '!M26</f>
        <v>0</v>
      </c>
      <c r="M122" s="50">
        <f>'дод 3 '!N204+'дод 3 '!N26</f>
        <v>0</v>
      </c>
      <c r="N122" s="50">
        <f>'дод 3 '!O204+'дод 3 '!O26</f>
        <v>0</v>
      </c>
      <c r="O122" s="50">
        <f>'дод 3 '!P204+'дод 3 '!P26</f>
        <v>45654300</v>
      </c>
      <c r="P122" s="227"/>
    </row>
    <row r="123" spans="1:16" ht="51.75" customHeight="1" x14ac:dyDescent="0.25">
      <c r="A123" s="49" t="s">
        <v>100</v>
      </c>
      <c r="B123" s="49" t="s">
        <v>53</v>
      </c>
      <c r="C123" s="65" t="s">
        <v>397</v>
      </c>
      <c r="D123" s="50">
        <f>'дод 3 '!E205</f>
        <v>782300</v>
      </c>
      <c r="E123" s="50">
        <f>'дод 3 '!F205</f>
        <v>782300</v>
      </c>
      <c r="F123" s="50">
        <f>'дод 3 '!G205</f>
        <v>0</v>
      </c>
      <c r="G123" s="50">
        <f>'дод 3 '!H205</f>
        <v>0</v>
      </c>
      <c r="H123" s="50">
        <f>'дод 3 '!I205</f>
        <v>0</v>
      </c>
      <c r="I123" s="50">
        <f>'дод 3 '!J205</f>
        <v>0</v>
      </c>
      <c r="J123" s="50">
        <f>'дод 3 '!K205</f>
        <v>0</v>
      </c>
      <c r="K123" s="50">
        <f>'дод 3 '!L205</f>
        <v>0</v>
      </c>
      <c r="L123" s="50">
        <f>'дод 3 '!M205</f>
        <v>0</v>
      </c>
      <c r="M123" s="50">
        <f>'дод 3 '!N205</f>
        <v>0</v>
      </c>
      <c r="N123" s="50">
        <f>'дод 3 '!O205</f>
        <v>0</v>
      </c>
      <c r="O123" s="50">
        <f>'дод 3 '!P205</f>
        <v>782300</v>
      </c>
      <c r="P123" s="227"/>
    </row>
    <row r="124" spans="1:16" s="56" customFormat="1" x14ac:dyDescent="0.25">
      <c r="A124" s="52"/>
      <c r="B124" s="52"/>
      <c r="C124" s="54" t="s">
        <v>387</v>
      </c>
      <c r="D124" s="55">
        <f>'дод 3 '!E206</f>
        <v>782300</v>
      </c>
      <c r="E124" s="55">
        <f>'дод 3 '!F206</f>
        <v>782300</v>
      </c>
      <c r="F124" s="55">
        <f>'дод 3 '!G206</f>
        <v>0</v>
      </c>
      <c r="G124" s="55">
        <f>'дод 3 '!H206</f>
        <v>0</v>
      </c>
      <c r="H124" s="55">
        <f>'дод 3 '!I206</f>
        <v>0</v>
      </c>
      <c r="I124" s="55">
        <f>'дод 3 '!J206</f>
        <v>0</v>
      </c>
      <c r="J124" s="55">
        <f>'дод 3 '!K206</f>
        <v>0</v>
      </c>
      <c r="K124" s="55">
        <f>'дод 3 '!L206</f>
        <v>0</v>
      </c>
      <c r="L124" s="55">
        <f>'дод 3 '!M206</f>
        <v>0</v>
      </c>
      <c r="M124" s="55">
        <f>'дод 3 '!N206</f>
        <v>0</v>
      </c>
      <c r="N124" s="55">
        <f>'дод 3 '!O206</f>
        <v>0</v>
      </c>
      <c r="O124" s="55">
        <f>'дод 3 '!P206</f>
        <v>782300</v>
      </c>
      <c r="P124" s="227"/>
    </row>
    <row r="125" spans="1:16" ht="40.5" customHeight="1" x14ac:dyDescent="0.25">
      <c r="A125" s="49" t="s">
        <v>309</v>
      </c>
      <c r="B125" s="49" t="s">
        <v>51</v>
      </c>
      <c r="C125" s="65" t="s">
        <v>398</v>
      </c>
      <c r="D125" s="50">
        <f>'дод 3 '!E207</f>
        <v>287700</v>
      </c>
      <c r="E125" s="50">
        <f>'дод 3 '!F207</f>
        <v>287700</v>
      </c>
      <c r="F125" s="50">
        <f>'дод 3 '!G207</f>
        <v>0</v>
      </c>
      <c r="G125" s="50">
        <f>'дод 3 '!H207</f>
        <v>0</v>
      </c>
      <c r="H125" s="50">
        <f>'дод 3 '!I207</f>
        <v>0</v>
      </c>
      <c r="I125" s="50">
        <f>'дод 3 '!J207</f>
        <v>0</v>
      </c>
      <c r="J125" s="50">
        <f>'дод 3 '!K207</f>
        <v>0</v>
      </c>
      <c r="K125" s="50">
        <f>'дод 3 '!L207</f>
        <v>0</v>
      </c>
      <c r="L125" s="50">
        <f>'дод 3 '!M207</f>
        <v>0</v>
      </c>
      <c r="M125" s="50">
        <f>'дод 3 '!N207</f>
        <v>0</v>
      </c>
      <c r="N125" s="50">
        <f>'дод 3 '!O207</f>
        <v>0</v>
      </c>
      <c r="O125" s="50">
        <f>'дод 3 '!P207</f>
        <v>287700</v>
      </c>
      <c r="P125" s="227"/>
    </row>
    <row r="126" spans="1:16" s="56" customFormat="1" x14ac:dyDescent="0.25">
      <c r="A126" s="52"/>
      <c r="B126" s="52"/>
      <c r="C126" s="54" t="s">
        <v>387</v>
      </c>
      <c r="D126" s="55">
        <f>'дод 3 '!E208</f>
        <v>287700</v>
      </c>
      <c r="E126" s="55">
        <f>'дод 3 '!F208</f>
        <v>287700</v>
      </c>
      <c r="F126" s="55">
        <f>'дод 3 '!G208</f>
        <v>0</v>
      </c>
      <c r="G126" s="55">
        <f>'дод 3 '!H208</f>
        <v>0</v>
      </c>
      <c r="H126" s="55">
        <f>'дод 3 '!I208</f>
        <v>0</v>
      </c>
      <c r="I126" s="55">
        <f>'дод 3 '!J208</f>
        <v>0</v>
      </c>
      <c r="J126" s="55">
        <f>'дод 3 '!K208</f>
        <v>0</v>
      </c>
      <c r="K126" s="55">
        <f>'дод 3 '!L208</f>
        <v>0</v>
      </c>
      <c r="L126" s="55">
        <f>'дод 3 '!M208</f>
        <v>0</v>
      </c>
      <c r="M126" s="55">
        <f>'дод 3 '!N208</f>
        <v>0</v>
      </c>
      <c r="N126" s="55">
        <f>'дод 3 '!O208</f>
        <v>0</v>
      </c>
      <c r="O126" s="55">
        <f>'дод 3 '!P208</f>
        <v>287700</v>
      </c>
      <c r="P126" s="227"/>
    </row>
    <row r="127" spans="1:16" ht="53.85" customHeight="1" x14ac:dyDescent="0.25">
      <c r="A127" s="49" t="s">
        <v>101</v>
      </c>
      <c r="B127" s="49" t="s">
        <v>49</v>
      </c>
      <c r="C127" s="65" t="s">
        <v>29</v>
      </c>
      <c r="D127" s="50">
        <f>'дод 3 '!E209</f>
        <v>26125300</v>
      </c>
      <c r="E127" s="50">
        <f>'дод 3 '!F209</f>
        <v>26125300</v>
      </c>
      <c r="F127" s="50">
        <f>'дод 3 '!G209</f>
        <v>19405100</v>
      </c>
      <c r="G127" s="50">
        <f>'дод 3 '!H209</f>
        <v>1117300</v>
      </c>
      <c r="H127" s="50">
        <f>'дод 3 '!I209</f>
        <v>0</v>
      </c>
      <c r="I127" s="50">
        <f>'дод 3 '!J209</f>
        <v>68600</v>
      </c>
      <c r="J127" s="50">
        <f>'дод 3 '!K209</f>
        <v>0</v>
      </c>
      <c r="K127" s="50">
        <f>'дод 3 '!L209</f>
        <v>68600</v>
      </c>
      <c r="L127" s="50">
        <f>'дод 3 '!M209</f>
        <v>56100</v>
      </c>
      <c r="M127" s="50">
        <f>'дод 3 '!N209</f>
        <v>0</v>
      </c>
      <c r="N127" s="50">
        <f>'дод 3 '!O209</f>
        <v>0</v>
      </c>
      <c r="O127" s="50">
        <f>'дод 3 '!P209</f>
        <v>26193900</v>
      </c>
      <c r="P127" s="227"/>
    </row>
    <row r="128" spans="1:16" ht="56.65" customHeight="1" x14ac:dyDescent="0.25">
      <c r="A128" s="49" t="s">
        <v>326</v>
      </c>
      <c r="B128" s="49" t="s">
        <v>99</v>
      </c>
      <c r="C128" s="63" t="s">
        <v>327</v>
      </c>
      <c r="D128" s="50">
        <f>SUM('дод 3 '!E240)</f>
        <v>116300</v>
      </c>
      <c r="E128" s="50">
        <f>SUM('дод 3 '!F240)</f>
        <v>116300</v>
      </c>
      <c r="F128" s="50">
        <f>SUM('дод 3 '!G240)</f>
        <v>0</v>
      </c>
      <c r="G128" s="50">
        <f>SUM('дод 3 '!H240)</f>
        <v>0</v>
      </c>
      <c r="H128" s="50">
        <f>SUM('дод 3 '!I240)</f>
        <v>0</v>
      </c>
      <c r="I128" s="50">
        <f>SUM('дод 3 '!J240)</f>
        <v>0</v>
      </c>
      <c r="J128" s="50">
        <f>SUM('дод 3 '!K240)</f>
        <v>0</v>
      </c>
      <c r="K128" s="50">
        <f>SUM('дод 3 '!L240)</f>
        <v>0</v>
      </c>
      <c r="L128" s="50">
        <f>SUM('дод 3 '!M240)</f>
        <v>0</v>
      </c>
      <c r="M128" s="50">
        <f>SUM('дод 3 '!N240)</f>
        <v>0</v>
      </c>
      <c r="N128" s="50">
        <f>SUM('дод 3 '!O240)</f>
        <v>0</v>
      </c>
      <c r="O128" s="50">
        <f>SUM('дод 3 '!P240)</f>
        <v>116300</v>
      </c>
      <c r="P128" s="227"/>
    </row>
    <row r="129" spans="1:16" s="56" customFormat="1" ht="31.35" customHeight="1" x14ac:dyDescent="0.25">
      <c r="A129" s="49" t="s">
        <v>102</v>
      </c>
      <c r="B129" s="49" t="s">
        <v>99</v>
      </c>
      <c r="C129" s="65" t="s">
        <v>30</v>
      </c>
      <c r="D129" s="50">
        <f>'дод 3 '!E241</f>
        <v>170000</v>
      </c>
      <c r="E129" s="50">
        <f>'дод 3 '!F241</f>
        <v>170000</v>
      </c>
      <c r="F129" s="50">
        <f>'дод 3 '!G241</f>
        <v>0</v>
      </c>
      <c r="G129" s="50">
        <f>'дод 3 '!H241</f>
        <v>0</v>
      </c>
      <c r="H129" s="50">
        <f>'дод 3 '!I241</f>
        <v>0</v>
      </c>
      <c r="I129" s="50">
        <f>'дод 3 '!J241</f>
        <v>0</v>
      </c>
      <c r="J129" s="50">
        <f>'дод 3 '!K241</f>
        <v>0</v>
      </c>
      <c r="K129" s="50">
        <f>'дод 3 '!L241</f>
        <v>0</v>
      </c>
      <c r="L129" s="50">
        <f>'дод 3 '!M241</f>
        <v>0</v>
      </c>
      <c r="M129" s="50">
        <f>'дод 3 '!N241</f>
        <v>0</v>
      </c>
      <c r="N129" s="50">
        <f>'дод 3 '!O241</f>
        <v>0</v>
      </c>
      <c r="O129" s="50">
        <f>'дод 3 '!P241</f>
        <v>170000</v>
      </c>
      <c r="P129" s="227"/>
    </row>
    <row r="130" spans="1:16" s="56" customFormat="1" ht="31.35" customHeight="1" x14ac:dyDescent="0.25">
      <c r="A130" s="49" t="s">
        <v>124</v>
      </c>
      <c r="B130" s="49" t="s">
        <v>99</v>
      </c>
      <c r="C130" s="65" t="s">
        <v>563</v>
      </c>
      <c r="D130" s="50">
        <f>'дод 3 '!E27</f>
        <v>4383800</v>
      </c>
      <c r="E130" s="50">
        <f>'дод 3 '!F27</f>
        <v>4383800</v>
      </c>
      <c r="F130" s="50">
        <f>'дод 3 '!G27</f>
        <v>3236100</v>
      </c>
      <c r="G130" s="50">
        <f>'дод 3 '!H27</f>
        <v>106600</v>
      </c>
      <c r="H130" s="50">
        <f>'дод 3 '!I27</f>
        <v>0</v>
      </c>
      <c r="I130" s="50">
        <f>'дод 3 '!J27</f>
        <v>100000</v>
      </c>
      <c r="J130" s="50">
        <f>'дод 3 '!K27</f>
        <v>100000</v>
      </c>
      <c r="K130" s="50">
        <f>'дод 3 '!L27</f>
        <v>0</v>
      </c>
      <c r="L130" s="50">
        <f>'дод 3 '!M27</f>
        <v>0</v>
      </c>
      <c r="M130" s="50">
        <f>'дод 3 '!N27</f>
        <v>0</v>
      </c>
      <c r="N130" s="50">
        <f>'дод 3 '!O27</f>
        <v>100000</v>
      </c>
      <c r="O130" s="50">
        <f>'дод 3 '!P27</f>
        <v>4483800</v>
      </c>
      <c r="P130" s="227"/>
    </row>
    <row r="131" spans="1:16" s="56" customFormat="1" ht="42" customHeight="1" x14ac:dyDescent="0.25">
      <c r="A131" s="49" t="s">
        <v>106</v>
      </c>
      <c r="B131" s="49" t="s">
        <v>99</v>
      </c>
      <c r="C131" s="65" t="s">
        <v>334</v>
      </c>
      <c r="D131" s="50">
        <f>'дод 3 '!E28</f>
        <v>500000</v>
      </c>
      <c r="E131" s="50">
        <f>'дод 3 '!F28</f>
        <v>500000</v>
      </c>
      <c r="F131" s="50">
        <f>'дод 3 '!G28</f>
        <v>0</v>
      </c>
      <c r="G131" s="50">
        <f>'дод 3 '!H28</f>
        <v>0</v>
      </c>
      <c r="H131" s="50">
        <f>'дод 3 '!I28</f>
        <v>0</v>
      </c>
      <c r="I131" s="50">
        <f>'дод 3 '!J28</f>
        <v>0</v>
      </c>
      <c r="J131" s="50">
        <f>'дод 3 '!K28</f>
        <v>0</v>
      </c>
      <c r="K131" s="50">
        <f>'дод 3 '!L28</f>
        <v>0</v>
      </c>
      <c r="L131" s="50">
        <f>'дод 3 '!M28</f>
        <v>0</v>
      </c>
      <c r="M131" s="50">
        <f>'дод 3 '!N28</f>
        <v>0</v>
      </c>
      <c r="N131" s="50">
        <f>'дод 3 '!O28</f>
        <v>0</v>
      </c>
      <c r="O131" s="50">
        <f>'дод 3 '!P28</f>
        <v>500000</v>
      </c>
      <c r="P131" s="227"/>
    </row>
    <row r="132" spans="1:16" s="56" customFormat="1" ht="26.25" customHeight="1" x14ac:dyDescent="0.25">
      <c r="A132" s="49">
        <v>3133</v>
      </c>
      <c r="B132" s="49">
        <v>1040</v>
      </c>
      <c r="C132" s="65" t="s">
        <v>549</v>
      </c>
      <c r="D132" s="50">
        <f>'дод 3 '!E29</f>
        <v>6297600</v>
      </c>
      <c r="E132" s="50">
        <f>'дод 3 '!F29</f>
        <v>6297600</v>
      </c>
      <c r="F132" s="50">
        <f>'дод 3 '!G29</f>
        <v>3587200</v>
      </c>
      <c r="G132" s="50">
        <f>'дод 3 '!H29</f>
        <v>1085700</v>
      </c>
      <c r="H132" s="50">
        <f>'дод 3 '!I29</f>
        <v>0</v>
      </c>
      <c r="I132" s="50">
        <f>'дод 3 '!J29</f>
        <v>10000</v>
      </c>
      <c r="J132" s="50">
        <f>'дод 3 '!K29</f>
        <v>0</v>
      </c>
      <c r="K132" s="50">
        <f>'дод 3 '!L29</f>
        <v>10000</v>
      </c>
      <c r="L132" s="50">
        <f>'дод 3 '!M29</f>
        <v>0</v>
      </c>
      <c r="M132" s="50">
        <f>'дод 3 '!N29</f>
        <v>3500</v>
      </c>
      <c r="N132" s="50">
        <f>'дод 3 '!O29</f>
        <v>0</v>
      </c>
      <c r="O132" s="50">
        <f>'дод 3 '!P29</f>
        <v>6307600</v>
      </c>
      <c r="P132" s="227"/>
    </row>
    <row r="133" spans="1:16" ht="69" hidden="1" customHeight="1" x14ac:dyDescent="0.25">
      <c r="A133" s="49" t="s">
        <v>107</v>
      </c>
      <c r="B133" s="49" t="s">
        <v>99</v>
      </c>
      <c r="C133" s="4" t="s">
        <v>20</v>
      </c>
      <c r="D133" s="50">
        <f>'дод 3 '!E30+'дод 3 '!E124+'дод 3 '!E210+'дод 3 '!E128</f>
        <v>0</v>
      </c>
      <c r="E133" s="50">
        <f>'дод 3 '!F30+'дод 3 '!F124+'дод 3 '!F210+'дод 3 '!F128</f>
        <v>0</v>
      </c>
      <c r="F133" s="50">
        <f>'дод 3 '!G30+'дод 3 '!G124+'дод 3 '!G210+'дод 3 '!G128</f>
        <v>0</v>
      </c>
      <c r="G133" s="50">
        <f>'дод 3 '!H30+'дод 3 '!H124+'дод 3 '!H210+'дод 3 '!H128</f>
        <v>0</v>
      </c>
      <c r="H133" s="50">
        <f>'дод 3 '!I30+'дод 3 '!I124+'дод 3 '!I210+'дод 3 '!I128</f>
        <v>0</v>
      </c>
      <c r="I133" s="50">
        <f>'дод 3 '!J30+'дод 3 '!J124+'дод 3 '!J210+'дод 3 '!J128</f>
        <v>0</v>
      </c>
      <c r="J133" s="50">
        <f>'дод 3 '!K30+'дод 3 '!K124+'дод 3 '!K210+'дод 3 '!K128</f>
        <v>0</v>
      </c>
      <c r="K133" s="50">
        <f>'дод 3 '!L30+'дод 3 '!L124+'дод 3 '!L210+'дод 3 '!L128</f>
        <v>0</v>
      </c>
      <c r="L133" s="50">
        <f>'дод 3 '!M30+'дод 3 '!M124+'дод 3 '!M210+'дод 3 '!M128</f>
        <v>0</v>
      </c>
      <c r="M133" s="50">
        <f>'дод 3 '!N30+'дод 3 '!N124+'дод 3 '!N210+'дод 3 '!N128</f>
        <v>0</v>
      </c>
      <c r="N133" s="50">
        <f>'дод 3 '!O30+'дод 3 '!O124+'дод 3 '!O210+'дод 3 '!O128</f>
        <v>0</v>
      </c>
      <c r="O133" s="50">
        <f>'дод 3 '!P30+'дод 3 '!P124+'дод 3 '!P210+'дод 3 '!P128</f>
        <v>0</v>
      </c>
      <c r="P133" s="227"/>
    </row>
    <row r="134" spans="1:16" ht="68.25" customHeight="1" x14ac:dyDescent="0.25">
      <c r="A134" s="49" t="s">
        <v>108</v>
      </c>
      <c r="B134" s="49">
        <v>1010</v>
      </c>
      <c r="C134" s="65" t="s">
        <v>735</v>
      </c>
      <c r="D134" s="50">
        <f>'дод 3 '!E211</f>
        <v>9953900</v>
      </c>
      <c r="E134" s="50">
        <f>'дод 3 '!F211</f>
        <v>9953900</v>
      </c>
      <c r="F134" s="50">
        <f>'дод 3 '!G211</f>
        <v>0</v>
      </c>
      <c r="G134" s="50">
        <f>'дод 3 '!H211</f>
        <v>0</v>
      </c>
      <c r="H134" s="50">
        <f>'дод 3 '!I211</f>
        <v>0</v>
      </c>
      <c r="I134" s="50">
        <f>'дод 3 '!J211</f>
        <v>0</v>
      </c>
      <c r="J134" s="50">
        <f>'дод 3 '!K211</f>
        <v>0</v>
      </c>
      <c r="K134" s="50">
        <f>'дод 3 '!L211</f>
        <v>0</v>
      </c>
      <c r="L134" s="50">
        <f>'дод 3 '!M211</f>
        <v>0</v>
      </c>
      <c r="M134" s="50">
        <f>'дод 3 '!N211</f>
        <v>0</v>
      </c>
      <c r="N134" s="50">
        <f>'дод 3 '!O211</f>
        <v>0</v>
      </c>
      <c r="O134" s="50">
        <f>'дод 3 '!P211</f>
        <v>9953900</v>
      </c>
      <c r="P134" s="227"/>
    </row>
    <row r="135" spans="1:16" s="56" customFormat="1" ht="110.25" x14ac:dyDescent="0.25">
      <c r="A135" s="52"/>
      <c r="B135" s="52"/>
      <c r="C135" s="54" t="s">
        <v>736</v>
      </c>
      <c r="D135" s="55">
        <f>'дод 3 '!E212</f>
        <v>1495257</v>
      </c>
      <c r="E135" s="55">
        <f>'дод 3 '!F212</f>
        <v>1495257</v>
      </c>
      <c r="F135" s="55">
        <f>'дод 3 '!G212</f>
        <v>0</v>
      </c>
      <c r="G135" s="55">
        <f>'дод 3 '!H212</f>
        <v>0</v>
      </c>
      <c r="H135" s="55">
        <f>'дод 3 '!I212</f>
        <v>0</v>
      </c>
      <c r="I135" s="55">
        <f>'дод 3 '!J212</f>
        <v>0</v>
      </c>
      <c r="J135" s="55">
        <f>'дод 3 '!K212</f>
        <v>0</v>
      </c>
      <c r="K135" s="55">
        <f>'дод 3 '!L212</f>
        <v>0</v>
      </c>
      <c r="L135" s="55">
        <f>'дод 3 '!M212</f>
        <v>0</v>
      </c>
      <c r="M135" s="55">
        <f>'дод 3 '!N212</f>
        <v>0</v>
      </c>
      <c r="N135" s="55">
        <f>'дод 3 '!O212</f>
        <v>0</v>
      </c>
      <c r="O135" s="55">
        <f>'дод 3 '!P212</f>
        <v>1495257</v>
      </c>
      <c r="P135" s="227"/>
    </row>
    <row r="136" spans="1:16" s="56" customFormat="1" ht="63" customHeight="1" x14ac:dyDescent="0.25">
      <c r="A136" s="49" t="s">
        <v>310</v>
      </c>
      <c r="B136" s="49">
        <v>1010</v>
      </c>
      <c r="C136" s="65" t="s">
        <v>394</v>
      </c>
      <c r="D136" s="50">
        <f>'дод 3 '!E213</f>
        <v>215129</v>
      </c>
      <c r="E136" s="50">
        <f>'дод 3 '!F213</f>
        <v>215129</v>
      </c>
      <c r="F136" s="50">
        <f>'дод 3 '!G213</f>
        <v>0</v>
      </c>
      <c r="G136" s="50">
        <f>'дод 3 '!H213</f>
        <v>0</v>
      </c>
      <c r="H136" s="50">
        <f>'дод 3 '!I213</f>
        <v>0</v>
      </c>
      <c r="I136" s="50">
        <f>'дод 3 '!J213</f>
        <v>0</v>
      </c>
      <c r="J136" s="50">
        <f>'дод 3 '!K213</f>
        <v>0</v>
      </c>
      <c r="K136" s="50">
        <f>'дод 3 '!L213</f>
        <v>0</v>
      </c>
      <c r="L136" s="50">
        <f>'дод 3 '!M213</f>
        <v>0</v>
      </c>
      <c r="M136" s="50">
        <f>'дод 3 '!N213</f>
        <v>0</v>
      </c>
      <c r="N136" s="50">
        <f>'дод 3 '!O213</f>
        <v>0</v>
      </c>
      <c r="O136" s="50">
        <f>'дод 3 '!P213</f>
        <v>215129</v>
      </c>
      <c r="P136" s="227"/>
    </row>
    <row r="137" spans="1:16" s="56" customFormat="1" ht="15.75" customHeight="1" x14ac:dyDescent="0.25">
      <c r="A137" s="52"/>
      <c r="B137" s="52"/>
      <c r="C137" s="54" t="s">
        <v>387</v>
      </c>
      <c r="D137" s="55">
        <f>'дод 3 '!E214</f>
        <v>215129</v>
      </c>
      <c r="E137" s="55">
        <f>'дод 3 '!F214</f>
        <v>215129</v>
      </c>
      <c r="F137" s="55">
        <f>'дод 3 '!G214</f>
        <v>0</v>
      </c>
      <c r="G137" s="55">
        <f>'дод 3 '!H214</f>
        <v>0</v>
      </c>
      <c r="H137" s="55">
        <f>'дод 3 '!I214</f>
        <v>0</v>
      </c>
      <c r="I137" s="55">
        <f>'дод 3 '!J214</f>
        <v>0</v>
      </c>
      <c r="J137" s="55">
        <f>'дод 3 '!K214</f>
        <v>0</v>
      </c>
      <c r="K137" s="55">
        <f>'дод 3 '!L214</f>
        <v>0</v>
      </c>
      <c r="L137" s="55">
        <f>'дод 3 '!M214</f>
        <v>0</v>
      </c>
      <c r="M137" s="55">
        <f>'дод 3 '!N214</f>
        <v>0</v>
      </c>
      <c r="N137" s="55">
        <f>'дод 3 '!O214</f>
        <v>0</v>
      </c>
      <c r="O137" s="55">
        <f>'дод 3 '!P214</f>
        <v>215129</v>
      </c>
      <c r="P137" s="227"/>
    </row>
    <row r="138" spans="1:16" s="56" customFormat="1" ht="36" hidden="1" customHeight="1" x14ac:dyDescent="0.25">
      <c r="A138" s="49" t="s">
        <v>311</v>
      </c>
      <c r="B138" s="49">
        <v>1010</v>
      </c>
      <c r="C138" s="65" t="s">
        <v>395</v>
      </c>
      <c r="D138" s="50">
        <f>'дод 3 '!E215</f>
        <v>0</v>
      </c>
      <c r="E138" s="50">
        <f>'дод 3 '!F215</f>
        <v>0</v>
      </c>
      <c r="F138" s="50">
        <f>'дод 3 '!G215</f>
        <v>0</v>
      </c>
      <c r="G138" s="50">
        <f>'дод 3 '!H215</f>
        <v>0</v>
      </c>
      <c r="H138" s="50">
        <f>'дод 3 '!I215</f>
        <v>0</v>
      </c>
      <c r="I138" s="50">
        <f>'дод 3 '!J215</f>
        <v>0</v>
      </c>
      <c r="J138" s="50">
        <f>'дод 3 '!K215</f>
        <v>0</v>
      </c>
      <c r="K138" s="50">
        <f>'дод 3 '!L215</f>
        <v>0</v>
      </c>
      <c r="L138" s="50">
        <f>'дод 3 '!M215</f>
        <v>0</v>
      </c>
      <c r="M138" s="50">
        <f>'дод 3 '!N215</f>
        <v>0</v>
      </c>
      <c r="N138" s="50">
        <f>'дод 3 '!O215</f>
        <v>0</v>
      </c>
      <c r="O138" s="50">
        <f>'дод 3 '!P215</f>
        <v>0</v>
      </c>
      <c r="P138" s="227"/>
    </row>
    <row r="139" spans="1:16" s="56" customFormat="1" ht="15.75" hidden="1" customHeight="1" x14ac:dyDescent="0.25">
      <c r="A139" s="52"/>
      <c r="B139" s="52"/>
      <c r="C139" s="54" t="s">
        <v>387</v>
      </c>
      <c r="D139" s="55">
        <f>'дод 3 '!E216</f>
        <v>0</v>
      </c>
      <c r="E139" s="55">
        <f>'дод 3 '!F216</f>
        <v>0</v>
      </c>
      <c r="F139" s="55">
        <f>'дод 3 '!G216</f>
        <v>0</v>
      </c>
      <c r="G139" s="55">
        <f>'дод 3 '!H216</f>
        <v>0</v>
      </c>
      <c r="H139" s="55">
        <f>'дод 3 '!I216</f>
        <v>0</v>
      </c>
      <c r="I139" s="55">
        <f>'дод 3 '!J216</f>
        <v>0</v>
      </c>
      <c r="J139" s="55">
        <f>'дод 3 '!K216</f>
        <v>0</v>
      </c>
      <c r="K139" s="55">
        <f>'дод 3 '!L216</f>
        <v>0</v>
      </c>
      <c r="L139" s="55">
        <f>'дод 3 '!M216</f>
        <v>0</v>
      </c>
      <c r="M139" s="55">
        <f>'дод 3 '!N216</f>
        <v>0</v>
      </c>
      <c r="N139" s="55">
        <f>'дод 3 '!O216</f>
        <v>0</v>
      </c>
      <c r="O139" s="55">
        <f>'дод 3 '!P216</f>
        <v>0</v>
      </c>
      <c r="P139" s="227"/>
    </row>
    <row r="140" spans="1:16" ht="72.75" hidden="1" customHeight="1" x14ac:dyDescent="0.25">
      <c r="A140" s="49" t="s">
        <v>103</v>
      </c>
      <c r="B140" s="49" t="s">
        <v>52</v>
      </c>
      <c r="C140" s="65" t="s">
        <v>335</v>
      </c>
      <c r="D140" s="50">
        <f>'дод 3 '!E217</f>
        <v>0</v>
      </c>
      <c r="E140" s="50">
        <f>'дод 3 '!F217</f>
        <v>0</v>
      </c>
      <c r="F140" s="50">
        <f>'дод 3 '!G217</f>
        <v>0</v>
      </c>
      <c r="G140" s="50">
        <f>'дод 3 '!H217</f>
        <v>0</v>
      </c>
      <c r="H140" s="50">
        <f>'дод 3 '!I217</f>
        <v>0</v>
      </c>
      <c r="I140" s="50">
        <f>'дод 3 '!J217</f>
        <v>0</v>
      </c>
      <c r="J140" s="50">
        <f>'дод 3 '!K217</f>
        <v>0</v>
      </c>
      <c r="K140" s="50">
        <f>'дод 3 '!L217</f>
        <v>0</v>
      </c>
      <c r="L140" s="50">
        <f>'дод 3 '!M217</f>
        <v>0</v>
      </c>
      <c r="M140" s="50">
        <f>'дод 3 '!N217</f>
        <v>0</v>
      </c>
      <c r="N140" s="50">
        <f>'дод 3 '!O217</f>
        <v>0</v>
      </c>
      <c r="O140" s="50">
        <f>'дод 3 '!P217</f>
        <v>0</v>
      </c>
      <c r="P140" s="227"/>
    </row>
    <row r="141" spans="1:16" s="56" customFormat="1" ht="34.5" customHeight="1" x14ac:dyDescent="0.25">
      <c r="A141" s="49" t="s">
        <v>281</v>
      </c>
      <c r="B141" s="49" t="s">
        <v>51</v>
      </c>
      <c r="C141" s="65" t="s">
        <v>18</v>
      </c>
      <c r="D141" s="50">
        <f>'дод 3 '!E218</f>
        <v>6861100</v>
      </c>
      <c r="E141" s="50">
        <f>'дод 3 '!F218</f>
        <v>6861100</v>
      </c>
      <c r="F141" s="50">
        <f>'дод 3 '!G218</f>
        <v>0</v>
      </c>
      <c r="G141" s="50">
        <f>'дод 3 '!H218</f>
        <v>0</v>
      </c>
      <c r="H141" s="50">
        <f>'дод 3 '!I218</f>
        <v>0</v>
      </c>
      <c r="I141" s="50">
        <f>'дод 3 '!J218</f>
        <v>0</v>
      </c>
      <c r="J141" s="50">
        <f>'дод 3 '!K218</f>
        <v>0</v>
      </c>
      <c r="K141" s="50">
        <f>'дод 3 '!L218</f>
        <v>0</v>
      </c>
      <c r="L141" s="50">
        <f>'дод 3 '!M218</f>
        <v>0</v>
      </c>
      <c r="M141" s="50">
        <f>'дод 3 '!N218</f>
        <v>0</v>
      </c>
      <c r="N141" s="50">
        <f>'дод 3 '!O218</f>
        <v>0</v>
      </c>
      <c r="O141" s="50">
        <f>'дод 3 '!P218</f>
        <v>6861100</v>
      </c>
      <c r="P141" s="227"/>
    </row>
    <row r="142" spans="1:16" s="56" customFormat="1" ht="59.25" customHeight="1" x14ac:dyDescent="0.25">
      <c r="A142" s="49" t="s">
        <v>282</v>
      </c>
      <c r="B142" s="49" t="s">
        <v>51</v>
      </c>
      <c r="C142" s="63" t="s">
        <v>476</v>
      </c>
      <c r="D142" s="50">
        <f>'дод 3 '!E219</f>
        <v>2072000</v>
      </c>
      <c r="E142" s="50">
        <f>'дод 3 '!F219</f>
        <v>2072000</v>
      </c>
      <c r="F142" s="50">
        <f>'дод 3 '!G219</f>
        <v>0</v>
      </c>
      <c r="G142" s="50">
        <f>'дод 3 '!H219</f>
        <v>0</v>
      </c>
      <c r="H142" s="50">
        <f>'дод 3 '!I219</f>
        <v>0</v>
      </c>
      <c r="I142" s="50">
        <f>'дод 3 '!J219</f>
        <v>0</v>
      </c>
      <c r="J142" s="50">
        <f>'дод 3 '!K219</f>
        <v>0</v>
      </c>
      <c r="K142" s="50">
        <f>'дод 3 '!L219</f>
        <v>0</v>
      </c>
      <c r="L142" s="50">
        <f>'дод 3 '!M219</f>
        <v>0</v>
      </c>
      <c r="M142" s="50">
        <f>'дод 3 '!N219</f>
        <v>0</v>
      </c>
      <c r="N142" s="50">
        <f>'дод 3 '!O219</f>
        <v>0</v>
      </c>
      <c r="O142" s="50">
        <f>'дод 3 '!P219</f>
        <v>2072000</v>
      </c>
      <c r="P142" s="227"/>
    </row>
    <row r="143" spans="1:16" ht="36.75" customHeight="1" x14ac:dyDescent="0.25">
      <c r="A143" s="49" t="s">
        <v>104</v>
      </c>
      <c r="B143" s="49" t="s">
        <v>55</v>
      </c>
      <c r="C143" s="65" t="s">
        <v>336</v>
      </c>
      <c r="D143" s="50">
        <f>'дод 3 '!E220</f>
        <v>107000</v>
      </c>
      <c r="E143" s="50">
        <f>'дод 3 '!F220</f>
        <v>107000</v>
      </c>
      <c r="F143" s="50">
        <f>'дод 3 '!G220</f>
        <v>0</v>
      </c>
      <c r="G143" s="50">
        <f>'дод 3 '!H220</f>
        <v>0</v>
      </c>
      <c r="H143" s="50">
        <f>'дод 3 '!I220</f>
        <v>0</v>
      </c>
      <c r="I143" s="50">
        <f>'дод 3 '!J220</f>
        <v>0</v>
      </c>
      <c r="J143" s="50">
        <f>'дод 3 '!K220</f>
        <v>0</v>
      </c>
      <c r="K143" s="50">
        <f>'дод 3 '!L220</f>
        <v>0</v>
      </c>
      <c r="L143" s="50">
        <f>'дод 3 '!M220</f>
        <v>0</v>
      </c>
      <c r="M143" s="50">
        <f>'дод 3 '!N220</f>
        <v>0</v>
      </c>
      <c r="N143" s="50">
        <f>'дод 3 '!O220</f>
        <v>0</v>
      </c>
      <c r="O143" s="50">
        <f>'дод 3 '!P220</f>
        <v>107000</v>
      </c>
      <c r="P143" s="227"/>
    </row>
    <row r="144" spans="1:16" ht="20.25" customHeight="1" x14ac:dyDescent="0.25">
      <c r="A144" s="49" t="s">
        <v>283</v>
      </c>
      <c r="B144" s="49" t="s">
        <v>105</v>
      </c>
      <c r="C144" s="65" t="s">
        <v>36</v>
      </c>
      <c r="D144" s="50">
        <f>'дод 3 '!E221+'дод 3 '!E269</f>
        <v>100000</v>
      </c>
      <c r="E144" s="50">
        <f>'дод 3 '!F221+'дод 3 '!F269</f>
        <v>100000</v>
      </c>
      <c r="F144" s="50">
        <f>'дод 3 '!G221+'дод 3 '!G269</f>
        <v>0</v>
      </c>
      <c r="G144" s="50">
        <f>'дод 3 '!H221+'дод 3 '!H269</f>
        <v>0</v>
      </c>
      <c r="H144" s="50">
        <f>'дод 3 '!I221+'дод 3 '!I269</f>
        <v>0</v>
      </c>
      <c r="I144" s="50">
        <f>'дод 3 '!J221+'дод 3 '!J269</f>
        <v>0</v>
      </c>
      <c r="J144" s="50">
        <f>'дод 3 '!K221+'дод 3 '!K269</f>
        <v>0</v>
      </c>
      <c r="K144" s="50">
        <f>'дод 3 '!L221+'дод 3 '!L269</f>
        <v>0</v>
      </c>
      <c r="L144" s="50">
        <f>'дод 3 '!M221+'дод 3 '!M269</f>
        <v>0</v>
      </c>
      <c r="M144" s="50">
        <f>'дод 3 '!N221+'дод 3 '!N269</f>
        <v>0</v>
      </c>
      <c r="N144" s="50">
        <f>'дод 3 '!O221+'дод 3 '!O269</f>
        <v>0</v>
      </c>
      <c r="O144" s="50">
        <f>'дод 3 '!P221+'дод 3 '!P269</f>
        <v>100000</v>
      </c>
      <c r="P144" s="227"/>
    </row>
    <row r="145" spans="1:16" ht="245.25" hidden="1" customHeight="1" x14ac:dyDescent="0.25">
      <c r="A145" s="49">
        <v>3221</v>
      </c>
      <c r="B145" s="51" t="s">
        <v>52</v>
      </c>
      <c r="C145" s="63" t="s">
        <v>694</v>
      </c>
      <c r="D145" s="50">
        <f>'дод 3 '!E222</f>
        <v>0</v>
      </c>
      <c r="E145" s="50">
        <f>'дод 3 '!F222</f>
        <v>0</v>
      </c>
      <c r="F145" s="78">
        <f>'дод 3 '!G222</f>
        <v>0</v>
      </c>
      <c r="G145" s="78">
        <f>'дод 3 '!H222</f>
        <v>0</v>
      </c>
      <c r="H145" s="78">
        <f>'дод 3 '!I222</f>
        <v>0</v>
      </c>
      <c r="I145" s="78">
        <f>'дод 3 '!J222</f>
        <v>0</v>
      </c>
      <c r="J145" s="78">
        <f>'дод 3 '!K222</f>
        <v>0</v>
      </c>
      <c r="K145" s="78">
        <f>'дод 3 '!L222</f>
        <v>0</v>
      </c>
      <c r="L145" s="78">
        <f>'дод 3 '!M222</f>
        <v>0</v>
      </c>
      <c r="M145" s="78">
        <f>'дод 3 '!N222</f>
        <v>0</v>
      </c>
      <c r="N145" s="78">
        <f>'дод 3 '!O222</f>
        <v>0</v>
      </c>
      <c r="O145" s="78">
        <f>'дод 3 '!P222</f>
        <v>0</v>
      </c>
      <c r="P145" s="227"/>
    </row>
    <row r="146" spans="1:16" s="56" customFormat="1" ht="252" hidden="1" customHeight="1" x14ac:dyDescent="0.25">
      <c r="A146" s="52"/>
      <c r="B146" s="71"/>
      <c r="C146" s="64" t="s">
        <v>698</v>
      </c>
      <c r="D146" s="55">
        <f>'дод 3 '!E223</f>
        <v>0</v>
      </c>
      <c r="E146" s="55">
        <f>'дод 3 '!F223</f>
        <v>0</v>
      </c>
      <c r="F146" s="79">
        <f>'дод 3 '!G223</f>
        <v>0</v>
      </c>
      <c r="G146" s="79">
        <f>'дод 3 '!H223</f>
        <v>0</v>
      </c>
      <c r="H146" s="79">
        <f>'дод 3 '!I223</f>
        <v>0</v>
      </c>
      <c r="I146" s="79">
        <f>'дод 3 '!J223</f>
        <v>0</v>
      </c>
      <c r="J146" s="79">
        <f>'дод 3 '!K223</f>
        <v>0</v>
      </c>
      <c r="K146" s="79">
        <f>'дод 3 '!L223</f>
        <v>0</v>
      </c>
      <c r="L146" s="79">
        <f>'дод 3 '!M223</f>
        <v>0</v>
      </c>
      <c r="M146" s="79">
        <f>'дод 3 '!N223</f>
        <v>0</v>
      </c>
      <c r="N146" s="79">
        <f>'дод 3 '!O223</f>
        <v>0</v>
      </c>
      <c r="O146" s="79">
        <f>'дод 3 '!P223</f>
        <v>0</v>
      </c>
      <c r="P146" s="227"/>
    </row>
    <row r="147" spans="1:16" s="56" customFormat="1" ht="235.5" hidden="1" customHeight="1" x14ac:dyDescent="0.25">
      <c r="A147" s="3">
        <v>3222</v>
      </c>
      <c r="B147" s="1" t="s">
        <v>52</v>
      </c>
      <c r="C147" s="63" t="s">
        <v>695</v>
      </c>
      <c r="D147" s="50">
        <f>'дод 3 '!E224</f>
        <v>0</v>
      </c>
      <c r="E147" s="50">
        <f>'дод 3 '!F224</f>
        <v>0</v>
      </c>
      <c r="F147" s="50">
        <f>'дод 3 '!G224</f>
        <v>0</v>
      </c>
      <c r="G147" s="50">
        <f>'дод 3 '!H224</f>
        <v>0</v>
      </c>
      <c r="H147" s="50">
        <f>'дод 3 '!I224</f>
        <v>0</v>
      </c>
      <c r="I147" s="78">
        <f>'дод 3 '!J224</f>
        <v>0</v>
      </c>
      <c r="J147" s="78">
        <f>'дод 3 '!K224</f>
        <v>0</v>
      </c>
      <c r="K147" s="78">
        <f>'дод 3 '!L224</f>
        <v>0</v>
      </c>
      <c r="L147" s="78">
        <f>'дод 3 '!M224</f>
        <v>0</v>
      </c>
      <c r="M147" s="78">
        <f>'дод 3 '!N224</f>
        <v>0</v>
      </c>
      <c r="N147" s="78">
        <f>'дод 3 '!O224</f>
        <v>0</v>
      </c>
      <c r="O147" s="78">
        <f>'дод 3 '!P224</f>
        <v>0</v>
      </c>
      <c r="P147" s="227"/>
    </row>
    <row r="148" spans="1:16" s="56" customFormat="1" ht="259.5" hidden="1" customHeight="1" x14ac:dyDescent="0.25">
      <c r="A148" s="52"/>
      <c r="B148" s="71"/>
      <c r="C148" s="64" t="s">
        <v>700</v>
      </c>
      <c r="D148" s="55">
        <f>'дод 3 '!E225</f>
        <v>0</v>
      </c>
      <c r="E148" s="55">
        <f>'дод 3 '!F225</f>
        <v>0</v>
      </c>
      <c r="F148" s="55">
        <f>'дод 3 '!G225</f>
        <v>0</v>
      </c>
      <c r="G148" s="55">
        <f>'дод 3 '!H225</f>
        <v>0</v>
      </c>
      <c r="H148" s="55">
        <f>'дод 3 '!I225</f>
        <v>0</v>
      </c>
      <c r="I148" s="79">
        <f>'дод 3 '!J225</f>
        <v>0</v>
      </c>
      <c r="J148" s="79">
        <f>'дод 3 '!K225</f>
        <v>0</v>
      </c>
      <c r="K148" s="79">
        <f>'дод 3 '!L225</f>
        <v>0</v>
      </c>
      <c r="L148" s="79">
        <f>'дод 3 '!M225</f>
        <v>0</v>
      </c>
      <c r="M148" s="79">
        <f>'дод 3 '!N225</f>
        <v>0</v>
      </c>
      <c r="N148" s="79">
        <f>'дод 3 '!O225</f>
        <v>0</v>
      </c>
      <c r="O148" s="79">
        <f>'дод 3 '!P225</f>
        <v>0</v>
      </c>
      <c r="P148" s="227"/>
    </row>
    <row r="149" spans="1:16" ht="164.25" hidden="1" customHeight="1" x14ac:dyDescent="0.25">
      <c r="A149" s="49">
        <v>3223</v>
      </c>
      <c r="B149" s="51" t="s">
        <v>52</v>
      </c>
      <c r="C149" s="63" t="s">
        <v>696</v>
      </c>
      <c r="D149" s="50">
        <f>'дод 3 '!E226</f>
        <v>0</v>
      </c>
      <c r="E149" s="50">
        <f>'дод 3 '!F226</f>
        <v>0</v>
      </c>
      <c r="F149" s="50">
        <f>'дод 3 '!G226</f>
        <v>0</v>
      </c>
      <c r="G149" s="50">
        <f>'дод 3 '!H226</f>
        <v>0</v>
      </c>
      <c r="H149" s="50">
        <f>'дод 3 '!I226</f>
        <v>0</v>
      </c>
      <c r="I149" s="50">
        <f>'дод 3 '!J226</f>
        <v>0</v>
      </c>
      <c r="J149" s="50">
        <f>'дод 3 '!K226</f>
        <v>0</v>
      </c>
      <c r="K149" s="50">
        <f>'дод 3 '!L226</f>
        <v>0</v>
      </c>
      <c r="L149" s="50">
        <f>'дод 3 '!M226</f>
        <v>0</v>
      </c>
      <c r="M149" s="50">
        <f>'дод 3 '!N226</f>
        <v>0</v>
      </c>
      <c r="N149" s="50">
        <f>'дод 3 '!O226</f>
        <v>0</v>
      </c>
      <c r="O149" s="50">
        <f>'дод 3 '!P226</f>
        <v>0</v>
      </c>
      <c r="P149" s="227"/>
    </row>
    <row r="150" spans="1:16" s="56" customFormat="1" ht="181.5" hidden="1" customHeight="1" x14ac:dyDescent="0.25">
      <c r="A150" s="52"/>
      <c r="B150" s="71"/>
      <c r="C150" s="64" t="s">
        <v>699</v>
      </c>
      <c r="D150" s="55">
        <f>'дод 3 '!E227</f>
        <v>0</v>
      </c>
      <c r="E150" s="55">
        <f>'дод 3 '!F227</f>
        <v>0</v>
      </c>
      <c r="F150" s="55">
        <f>'дод 3 '!G227</f>
        <v>0</v>
      </c>
      <c r="G150" s="55">
        <f>'дод 3 '!H227</f>
        <v>0</v>
      </c>
      <c r="H150" s="55">
        <f>'дод 3 '!I227</f>
        <v>0</v>
      </c>
      <c r="I150" s="55">
        <f>'дод 3 '!J227</f>
        <v>0</v>
      </c>
      <c r="J150" s="55">
        <f>'дод 3 '!K227</f>
        <v>0</v>
      </c>
      <c r="K150" s="55">
        <f>'дод 3 '!L227</f>
        <v>0</v>
      </c>
      <c r="L150" s="55">
        <f>'дод 3 '!M227</f>
        <v>0</v>
      </c>
      <c r="M150" s="55">
        <f>'дод 3 '!N227</f>
        <v>0</v>
      </c>
      <c r="N150" s="55">
        <f>'дод 3 '!O227</f>
        <v>0</v>
      </c>
      <c r="O150" s="55">
        <f>'дод 3 '!P227</f>
        <v>0</v>
      </c>
      <c r="P150" s="227"/>
    </row>
    <row r="151" spans="1:16" s="56" customFormat="1" ht="32.25" customHeight="1" x14ac:dyDescent="0.25">
      <c r="A151" s="49" t="s">
        <v>284</v>
      </c>
      <c r="B151" s="49" t="s">
        <v>55</v>
      </c>
      <c r="C151" s="65" t="s">
        <v>286</v>
      </c>
      <c r="D151" s="50">
        <f>'дод 3 '!E228+'дод 3 '!E31</f>
        <v>8772100</v>
      </c>
      <c r="E151" s="50">
        <f>'дод 3 '!F228+'дод 3 '!F31</f>
        <v>8772100</v>
      </c>
      <c r="F151" s="50">
        <f>'дод 3 '!G228+'дод 3 '!G31</f>
        <v>4993500</v>
      </c>
      <c r="G151" s="50">
        <f>'дод 3 '!H228+'дод 3 '!H31</f>
        <v>765300</v>
      </c>
      <c r="H151" s="50">
        <f>'дод 3 '!I228+'дод 3 '!I31</f>
        <v>0</v>
      </c>
      <c r="I151" s="50">
        <f>'дод 3 '!J228+'дод 3 '!J31</f>
        <v>0</v>
      </c>
      <c r="J151" s="50">
        <f>'дод 3 '!K228+'дод 3 '!K31</f>
        <v>0</v>
      </c>
      <c r="K151" s="50">
        <f>'дод 3 '!L228+'дод 3 '!L31</f>
        <v>0</v>
      </c>
      <c r="L151" s="50">
        <f>'дод 3 '!M228+'дод 3 '!M31</f>
        <v>0</v>
      </c>
      <c r="M151" s="50">
        <f>'дод 3 '!N228+'дод 3 '!N31</f>
        <v>0</v>
      </c>
      <c r="N151" s="50">
        <f>'дод 3 '!O228+'дод 3 '!O31</f>
        <v>0</v>
      </c>
      <c r="O151" s="50">
        <f>'дод 3 '!P228+'дод 3 '!P31</f>
        <v>8772100</v>
      </c>
      <c r="P151" s="227"/>
    </row>
    <row r="152" spans="1:16" s="56" customFormat="1" ht="31.5" customHeight="1" x14ac:dyDescent="0.25">
      <c r="A152" s="49" t="s">
        <v>285</v>
      </c>
      <c r="B152" s="49" t="s">
        <v>55</v>
      </c>
      <c r="C152" s="65" t="s">
        <v>716</v>
      </c>
      <c r="D152" s="50">
        <f>'дод 3 '!E32+'дод 3 '!E129+'дод 3 '!E229+'дод 3 '!E242</f>
        <v>168924000</v>
      </c>
      <c r="E152" s="50">
        <f>'дод 3 '!F32+'дод 3 '!F129+'дод 3 '!F229+'дод 3 '!F242</f>
        <v>168924000</v>
      </c>
      <c r="F152" s="50">
        <f>'дод 3 '!G32+'дод 3 '!G129+'дод 3 '!G229+'дод 3 '!G242</f>
        <v>0</v>
      </c>
      <c r="G152" s="50">
        <f>'дод 3 '!H32+'дод 3 '!H129+'дод 3 '!H229+'дод 3 '!H242</f>
        <v>0</v>
      </c>
      <c r="H152" s="50">
        <f>'дод 3 '!I32+'дод 3 '!I129+'дод 3 '!I229+'дод 3 '!I242</f>
        <v>0</v>
      </c>
      <c r="I152" s="50">
        <f>'дод 3 '!J32+'дод 3 '!J129+'дод 3 '!J229+'дод 3 '!J242</f>
        <v>0</v>
      </c>
      <c r="J152" s="50">
        <f>'дод 3 '!K32+'дод 3 '!K129+'дод 3 '!K229+'дод 3 '!K242</f>
        <v>0</v>
      </c>
      <c r="K152" s="50">
        <f>'дод 3 '!L32+'дод 3 '!L129+'дод 3 '!L229+'дод 3 '!L242</f>
        <v>0</v>
      </c>
      <c r="L152" s="50">
        <f>'дод 3 '!M32+'дод 3 '!M129+'дод 3 '!M229+'дод 3 '!M242</f>
        <v>0</v>
      </c>
      <c r="M152" s="50">
        <f>'дод 3 '!N32+'дод 3 '!N129+'дод 3 '!N229+'дод 3 '!N242</f>
        <v>0</v>
      </c>
      <c r="N152" s="50">
        <f>'дод 3 '!O32+'дод 3 '!O129+'дод 3 '!O229+'дод 3 '!O242</f>
        <v>0</v>
      </c>
      <c r="O152" s="50">
        <f>'дод 3 '!P32+'дод 3 '!P129+'дод 3 '!P229+'дод 3 '!P242</f>
        <v>168924000</v>
      </c>
      <c r="P152" s="227"/>
    </row>
    <row r="153" spans="1:16" s="56" customFormat="1" x14ac:dyDescent="0.25">
      <c r="A153" s="52"/>
      <c r="B153" s="52"/>
      <c r="C153" s="54" t="s">
        <v>387</v>
      </c>
      <c r="D153" s="55">
        <f>'дод 3 '!E230</f>
        <v>261600</v>
      </c>
      <c r="E153" s="55">
        <f>'дод 3 '!F230</f>
        <v>261600</v>
      </c>
      <c r="F153" s="55">
        <f>'дод 3 '!G230</f>
        <v>0</v>
      </c>
      <c r="G153" s="55">
        <f>'дод 3 '!H230</f>
        <v>0</v>
      </c>
      <c r="H153" s="55">
        <f>'дод 3 '!I230</f>
        <v>0</v>
      </c>
      <c r="I153" s="55">
        <f>'дод 3 '!J230</f>
        <v>0</v>
      </c>
      <c r="J153" s="55">
        <f>'дод 3 '!K230</f>
        <v>0</v>
      </c>
      <c r="K153" s="55">
        <f>'дод 3 '!L230</f>
        <v>0</v>
      </c>
      <c r="L153" s="55">
        <f>'дод 3 '!M230</f>
        <v>0</v>
      </c>
      <c r="M153" s="55">
        <f>'дод 3 '!N230</f>
        <v>0</v>
      </c>
      <c r="N153" s="55">
        <f>'дод 3 '!O230</f>
        <v>0</v>
      </c>
      <c r="O153" s="55">
        <f>'дод 3 '!P230</f>
        <v>261600</v>
      </c>
      <c r="P153" s="227"/>
    </row>
    <row r="154" spans="1:16" s="43" customFormat="1" ht="19.5" customHeight="1" x14ac:dyDescent="0.25">
      <c r="A154" s="57" t="s">
        <v>70</v>
      </c>
      <c r="B154" s="74"/>
      <c r="C154" s="75" t="s">
        <v>71</v>
      </c>
      <c r="D154" s="48">
        <f t="shared" ref="D154:O154" si="26">D155+D156+D157+D158</f>
        <v>40298700</v>
      </c>
      <c r="E154" s="48">
        <f t="shared" si="26"/>
        <v>40298700</v>
      </c>
      <c r="F154" s="48">
        <f t="shared" si="26"/>
        <v>27811100</v>
      </c>
      <c r="G154" s="48">
        <f t="shared" si="26"/>
        <v>3330100</v>
      </c>
      <c r="H154" s="48">
        <f t="shared" si="26"/>
        <v>0</v>
      </c>
      <c r="I154" s="48">
        <f t="shared" si="26"/>
        <v>4865300</v>
      </c>
      <c r="J154" s="48">
        <f t="shared" si="26"/>
        <v>4860300</v>
      </c>
      <c r="K154" s="48">
        <f t="shared" si="26"/>
        <v>5000</v>
      </c>
      <c r="L154" s="48">
        <f t="shared" si="26"/>
        <v>0</v>
      </c>
      <c r="M154" s="48">
        <f t="shared" si="26"/>
        <v>0</v>
      </c>
      <c r="N154" s="48">
        <f t="shared" si="26"/>
        <v>4860300</v>
      </c>
      <c r="O154" s="48">
        <f t="shared" si="26"/>
        <v>45164000</v>
      </c>
      <c r="P154" s="227"/>
    </row>
    <row r="155" spans="1:16" ht="22.5" customHeight="1" x14ac:dyDescent="0.25">
      <c r="A155" s="49" t="s">
        <v>72</v>
      </c>
      <c r="B155" s="49" t="s">
        <v>73</v>
      </c>
      <c r="C155" s="65" t="s">
        <v>15</v>
      </c>
      <c r="D155" s="50">
        <f>'дод 3 '!E249</f>
        <v>27722400</v>
      </c>
      <c r="E155" s="50">
        <f>'дод 3 '!F249</f>
        <v>27722400</v>
      </c>
      <c r="F155" s="50">
        <f>'дод 3 '!G249</f>
        <v>19660500</v>
      </c>
      <c r="G155" s="50">
        <f>'дод 3 '!H249</f>
        <v>2672200</v>
      </c>
      <c r="H155" s="50">
        <f>'дод 3 '!I249</f>
        <v>0</v>
      </c>
      <c r="I155" s="50">
        <f>'дод 3 '!J249</f>
        <v>4865300</v>
      </c>
      <c r="J155" s="50">
        <f>'дод 3 '!K249</f>
        <v>4860300</v>
      </c>
      <c r="K155" s="50">
        <f>'дод 3 '!L249</f>
        <v>5000</v>
      </c>
      <c r="L155" s="50">
        <f>'дод 3 '!M249</f>
        <v>0</v>
      </c>
      <c r="M155" s="50">
        <f>'дод 3 '!N249</f>
        <v>0</v>
      </c>
      <c r="N155" s="50">
        <f>'дод 3 '!O249</f>
        <v>4860300</v>
      </c>
      <c r="O155" s="50">
        <f>'дод 3 '!P249</f>
        <v>32587700</v>
      </c>
      <c r="P155" s="227"/>
    </row>
    <row r="156" spans="1:16" ht="33.75" customHeight="1" x14ac:dyDescent="0.25">
      <c r="A156" s="49" t="s">
        <v>313</v>
      </c>
      <c r="B156" s="49" t="s">
        <v>314</v>
      </c>
      <c r="C156" s="65" t="s">
        <v>315</v>
      </c>
      <c r="D156" s="50">
        <f>'дод 3 '!E33+'дод 3 '!E250</f>
        <v>6066500</v>
      </c>
      <c r="E156" s="50">
        <f>'дод 3 '!F33+'дод 3 '!F250</f>
        <v>6066500</v>
      </c>
      <c r="F156" s="50">
        <f>'дод 3 '!G33+'дод 3 '!G250</f>
        <v>3872000</v>
      </c>
      <c r="G156" s="50">
        <f>'дод 3 '!H33+'дод 3 '!H250</f>
        <v>370000</v>
      </c>
      <c r="H156" s="50">
        <f>'дод 3 '!I33+'дод 3 '!I250</f>
        <v>0</v>
      </c>
      <c r="I156" s="50">
        <f>'дод 3 '!J33+'дод 3 '!J250</f>
        <v>0</v>
      </c>
      <c r="J156" s="50">
        <f>'дод 3 '!K33+'дод 3 '!K250</f>
        <v>0</v>
      </c>
      <c r="K156" s="50">
        <f>'дод 3 '!L33+'дод 3 '!L250</f>
        <v>0</v>
      </c>
      <c r="L156" s="50">
        <f>'дод 3 '!M33+'дод 3 '!M250</f>
        <v>0</v>
      </c>
      <c r="M156" s="50">
        <f>'дод 3 '!N33+'дод 3 '!N250</f>
        <v>0</v>
      </c>
      <c r="N156" s="50">
        <f>'дод 3 '!O33+'дод 3 '!O250</f>
        <v>0</v>
      </c>
      <c r="O156" s="50">
        <f>'дод 3 '!P33+'дод 3 '!P250</f>
        <v>6066500</v>
      </c>
      <c r="P156" s="227"/>
    </row>
    <row r="157" spans="1:16" s="56" customFormat="1" ht="37.5" customHeight="1" x14ac:dyDescent="0.25">
      <c r="A157" s="49" t="s">
        <v>287</v>
      </c>
      <c r="B157" s="49" t="s">
        <v>74</v>
      </c>
      <c r="C157" s="65" t="s">
        <v>337</v>
      </c>
      <c r="D157" s="50">
        <f>'дод 3 '!E34+'дод 3 '!E251</f>
        <v>6009800</v>
      </c>
      <c r="E157" s="50">
        <f>'дод 3 '!F34+'дод 3 '!F251</f>
        <v>6009800</v>
      </c>
      <c r="F157" s="50">
        <f>'дод 3 '!G34+'дод 3 '!G251</f>
        <v>4278600</v>
      </c>
      <c r="G157" s="50">
        <f>'дод 3 '!H34+'дод 3 '!H251</f>
        <v>287900</v>
      </c>
      <c r="H157" s="50">
        <f>'дод 3 '!I34+'дод 3 '!I251</f>
        <v>0</v>
      </c>
      <c r="I157" s="50">
        <f>'дод 3 '!J34+'дод 3 '!J251</f>
        <v>0</v>
      </c>
      <c r="J157" s="50">
        <f>'дод 3 '!K34+'дод 3 '!K251</f>
        <v>0</v>
      </c>
      <c r="K157" s="50">
        <f>'дод 3 '!L34+'дод 3 '!L251</f>
        <v>0</v>
      </c>
      <c r="L157" s="50">
        <f>'дод 3 '!M34+'дод 3 '!M251</f>
        <v>0</v>
      </c>
      <c r="M157" s="50">
        <f>'дод 3 '!N34+'дод 3 '!N251</f>
        <v>0</v>
      </c>
      <c r="N157" s="50">
        <f>'дод 3 '!O34+'дод 3 '!O251</f>
        <v>0</v>
      </c>
      <c r="O157" s="50">
        <f>'дод 3 '!P34+'дод 3 '!P251</f>
        <v>6009800</v>
      </c>
      <c r="P157" s="227"/>
    </row>
    <row r="158" spans="1:16" s="56" customFormat="1" ht="22.5" customHeight="1" x14ac:dyDescent="0.25">
      <c r="A158" s="49" t="s">
        <v>288</v>
      </c>
      <c r="B158" s="49" t="s">
        <v>74</v>
      </c>
      <c r="C158" s="65" t="s">
        <v>289</v>
      </c>
      <c r="D158" s="50">
        <f>'дод 3 '!E35+'дод 3 '!E252</f>
        <v>500000</v>
      </c>
      <c r="E158" s="50">
        <f>'дод 3 '!F35+'дод 3 '!F252</f>
        <v>500000</v>
      </c>
      <c r="F158" s="50">
        <f>'дод 3 '!G35+'дод 3 '!G252</f>
        <v>0</v>
      </c>
      <c r="G158" s="50">
        <f>'дод 3 '!H35+'дод 3 '!H252</f>
        <v>0</v>
      </c>
      <c r="H158" s="50">
        <f>'дод 3 '!I35+'дод 3 '!I252</f>
        <v>0</v>
      </c>
      <c r="I158" s="50">
        <f>'дод 3 '!J35+'дод 3 '!J252</f>
        <v>0</v>
      </c>
      <c r="J158" s="50">
        <f>'дод 3 '!K35+'дод 3 '!K252</f>
        <v>0</v>
      </c>
      <c r="K158" s="50">
        <f>'дод 3 '!L35+'дод 3 '!L252</f>
        <v>0</v>
      </c>
      <c r="L158" s="50">
        <f>'дод 3 '!M35+'дод 3 '!M252</f>
        <v>0</v>
      </c>
      <c r="M158" s="50">
        <f>'дод 3 '!N35+'дод 3 '!N252</f>
        <v>0</v>
      </c>
      <c r="N158" s="50">
        <f>'дод 3 '!O35+'дод 3 '!O252</f>
        <v>0</v>
      </c>
      <c r="O158" s="50">
        <f>'дод 3 '!P35+'дод 3 '!P252</f>
        <v>500000</v>
      </c>
      <c r="P158" s="227"/>
    </row>
    <row r="159" spans="1:16" s="43" customFormat="1" ht="21.75" customHeight="1" x14ac:dyDescent="0.25">
      <c r="A159" s="57" t="s">
        <v>77</v>
      </c>
      <c r="B159" s="74"/>
      <c r="C159" s="75" t="s">
        <v>558</v>
      </c>
      <c r="D159" s="48">
        <f t="shared" ref="D159:O159" si="27">D161+D162+D163+D165+D166+D167</f>
        <v>85557600</v>
      </c>
      <c r="E159" s="48">
        <f t="shared" si="27"/>
        <v>85557600</v>
      </c>
      <c r="F159" s="48">
        <f t="shared" si="27"/>
        <v>35666800</v>
      </c>
      <c r="G159" s="48">
        <f t="shared" si="27"/>
        <v>3201000</v>
      </c>
      <c r="H159" s="48">
        <f t="shared" si="27"/>
        <v>0</v>
      </c>
      <c r="I159" s="48">
        <f t="shared" si="27"/>
        <v>670440</v>
      </c>
      <c r="J159" s="48">
        <f t="shared" si="27"/>
        <v>130000</v>
      </c>
      <c r="K159" s="48">
        <f t="shared" si="27"/>
        <v>540440</v>
      </c>
      <c r="L159" s="48">
        <f t="shared" si="27"/>
        <v>345344</v>
      </c>
      <c r="M159" s="48">
        <f t="shared" si="27"/>
        <v>98012</v>
      </c>
      <c r="N159" s="48">
        <f t="shared" si="27"/>
        <v>130000</v>
      </c>
      <c r="O159" s="48">
        <f t="shared" si="27"/>
        <v>86228040</v>
      </c>
      <c r="P159" s="227"/>
    </row>
    <row r="160" spans="1:16" s="43" customFormat="1" ht="21.75" hidden="1" customHeight="1" x14ac:dyDescent="0.25">
      <c r="A160" s="57"/>
      <c r="B160" s="74"/>
      <c r="C160" s="9" t="s">
        <v>388</v>
      </c>
      <c r="D160" s="61">
        <f>D164</f>
        <v>0</v>
      </c>
      <c r="E160" s="61">
        <f t="shared" ref="E160:O160" si="28">E164</f>
        <v>0</v>
      </c>
      <c r="F160" s="61">
        <f t="shared" si="28"/>
        <v>0</v>
      </c>
      <c r="G160" s="61">
        <f t="shared" si="28"/>
        <v>0</v>
      </c>
      <c r="H160" s="61">
        <f t="shared" si="28"/>
        <v>0</v>
      </c>
      <c r="I160" s="61">
        <f t="shared" si="28"/>
        <v>0</v>
      </c>
      <c r="J160" s="61">
        <f t="shared" si="28"/>
        <v>0</v>
      </c>
      <c r="K160" s="61">
        <f t="shared" si="28"/>
        <v>0</v>
      </c>
      <c r="L160" s="61">
        <f t="shared" si="28"/>
        <v>0</v>
      </c>
      <c r="M160" s="61">
        <f t="shared" si="28"/>
        <v>0</v>
      </c>
      <c r="N160" s="61">
        <f t="shared" si="28"/>
        <v>0</v>
      </c>
      <c r="O160" s="61">
        <f t="shared" si="28"/>
        <v>0</v>
      </c>
      <c r="P160" s="227"/>
    </row>
    <row r="161" spans="1:16" s="56" customFormat="1" ht="37.5" customHeight="1" x14ac:dyDescent="0.25">
      <c r="A161" s="49" t="s">
        <v>78</v>
      </c>
      <c r="B161" s="49" t="s">
        <v>79</v>
      </c>
      <c r="C161" s="65" t="s">
        <v>21</v>
      </c>
      <c r="D161" s="50">
        <f>'дод 3 '!E36</f>
        <v>400000</v>
      </c>
      <c r="E161" s="50">
        <f>'дод 3 '!F36</f>
        <v>400000</v>
      </c>
      <c r="F161" s="50">
        <f>'дод 3 '!G36</f>
        <v>0</v>
      </c>
      <c r="G161" s="50">
        <f>'дод 3 '!H36</f>
        <v>0</v>
      </c>
      <c r="H161" s="50">
        <f>'дод 3 '!I36</f>
        <v>0</v>
      </c>
      <c r="I161" s="50">
        <f>'дод 3 '!J36</f>
        <v>0</v>
      </c>
      <c r="J161" s="50">
        <f>'дод 3 '!K36</f>
        <v>0</v>
      </c>
      <c r="K161" s="50">
        <f>'дод 3 '!L36</f>
        <v>0</v>
      </c>
      <c r="L161" s="50">
        <f>'дод 3 '!M36</f>
        <v>0</v>
      </c>
      <c r="M161" s="50">
        <f>'дод 3 '!N36</f>
        <v>0</v>
      </c>
      <c r="N161" s="50">
        <f>'дод 3 '!O36</f>
        <v>0</v>
      </c>
      <c r="O161" s="50">
        <f>'дод 3 '!P36</f>
        <v>400000</v>
      </c>
      <c r="P161" s="227"/>
    </row>
    <row r="162" spans="1:16" s="56" customFormat="1" ht="34.5" customHeight="1" x14ac:dyDescent="0.25">
      <c r="A162" s="49" t="s">
        <v>80</v>
      </c>
      <c r="B162" s="49" t="s">
        <v>79</v>
      </c>
      <c r="C162" s="65" t="s">
        <v>16</v>
      </c>
      <c r="D162" s="50">
        <f>'дод 3 '!E37</f>
        <v>400000</v>
      </c>
      <c r="E162" s="50">
        <f>'дод 3 '!F37</f>
        <v>400000</v>
      </c>
      <c r="F162" s="50">
        <f>'дод 3 '!G37</f>
        <v>0</v>
      </c>
      <c r="G162" s="50">
        <f>'дод 3 '!H37</f>
        <v>0</v>
      </c>
      <c r="H162" s="50">
        <f>'дод 3 '!I37</f>
        <v>0</v>
      </c>
      <c r="I162" s="50">
        <f>'дод 3 '!J37</f>
        <v>0</v>
      </c>
      <c r="J162" s="50">
        <f>'дод 3 '!K37</f>
        <v>0</v>
      </c>
      <c r="K162" s="50">
        <f>'дод 3 '!L37</f>
        <v>0</v>
      </c>
      <c r="L162" s="50">
        <f>'дод 3 '!M37</f>
        <v>0</v>
      </c>
      <c r="M162" s="50">
        <f>'дод 3 '!N37</f>
        <v>0</v>
      </c>
      <c r="N162" s="50">
        <f>'дод 3 '!O37</f>
        <v>0</v>
      </c>
      <c r="O162" s="50">
        <f>'дод 3 '!P37</f>
        <v>400000</v>
      </c>
      <c r="P162" s="227"/>
    </row>
    <row r="163" spans="1:16" s="56" customFormat="1" ht="36.75" customHeight="1" x14ac:dyDescent="0.25">
      <c r="A163" s="49" t="s">
        <v>114</v>
      </c>
      <c r="B163" s="49" t="s">
        <v>79</v>
      </c>
      <c r="C163" s="65" t="s">
        <v>538</v>
      </c>
      <c r="D163" s="50">
        <f>'дод 3 '!E38+'дод 3 '!E130</f>
        <v>42199600</v>
      </c>
      <c r="E163" s="50">
        <f>'дод 3 '!F38+'дод 3 '!F130</f>
        <v>42199600</v>
      </c>
      <c r="F163" s="50">
        <f>'дод 3 '!G38+'дод 3 '!G130</f>
        <v>31518800</v>
      </c>
      <c r="G163" s="50">
        <f>'дод 3 '!H38+'дод 3 '!H130</f>
        <v>2361600</v>
      </c>
      <c r="H163" s="50">
        <f>'дод 3 '!I38+'дод 3 '!I130</f>
        <v>0</v>
      </c>
      <c r="I163" s="50">
        <f>'дод 3 '!J38+'дод 3 '!J130</f>
        <v>130000</v>
      </c>
      <c r="J163" s="50">
        <f>'дод 3 '!K38+'дод 3 '!K130</f>
        <v>130000</v>
      </c>
      <c r="K163" s="50">
        <f>'дод 3 '!L38+'дод 3 '!L130</f>
        <v>0</v>
      </c>
      <c r="L163" s="50">
        <f>'дод 3 '!M38+'дод 3 '!M130</f>
        <v>0</v>
      </c>
      <c r="M163" s="50">
        <f>'дод 3 '!N38+'дод 3 '!N130</f>
        <v>0</v>
      </c>
      <c r="N163" s="50">
        <f>'дод 3 '!O38+'дод 3 '!O130</f>
        <v>130000</v>
      </c>
      <c r="O163" s="50">
        <f>'дод 3 '!P38+'дод 3 '!P130</f>
        <v>42329600</v>
      </c>
      <c r="P163" s="80"/>
    </row>
    <row r="164" spans="1:16" s="56" customFormat="1" ht="25.5" hidden="1" customHeight="1" x14ac:dyDescent="0.25">
      <c r="A164" s="49"/>
      <c r="B164" s="49"/>
      <c r="C164" s="64" t="s">
        <v>388</v>
      </c>
      <c r="D164" s="55">
        <f>'дод 3 '!E131</f>
        <v>0</v>
      </c>
      <c r="E164" s="55">
        <f>'дод 3 '!F131</f>
        <v>0</v>
      </c>
      <c r="F164" s="55">
        <f>'дод 3 '!G131</f>
        <v>0</v>
      </c>
      <c r="G164" s="55">
        <f>'дод 3 '!H131</f>
        <v>0</v>
      </c>
      <c r="H164" s="55">
        <f>'дод 3 '!I131</f>
        <v>0</v>
      </c>
      <c r="I164" s="55">
        <f>'дод 3 '!J131</f>
        <v>0</v>
      </c>
      <c r="J164" s="55">
        <f>'дод 3 '!K131</f>
        <v>0</v>
      </c>
      <c r="K164" s="55">
        <f>'дод 3 '!L131</f>
        <v>0</v>
      </c>
      <c r="L164" s="55">
        <f>'дод 3 '!M131</f>
        <v>0</v>
      </c>
      <c r="M164" s="55">
        <f>'дод 3 '!N131</f>
        <v>0</v>
      </c>
      <c r="N164" s="55">
        <f>'дод 3 '!O131</f>
        <v>0</v>
      </c>
      <c r="O164" s="55">
        <f>'дод 3 '!P131</f>
        <v>0</v>
      </c>
      <c r="P164" s="80"/>
    </row>
    <row r="165" spans="1:16" s="56" customFormat="1" ht="38.25" customHeight="1" x14ac:dyDescent="0.25">
      <c r="A165" s="49" t="s">
        <v>115</v>
      </c>
      <c r="B165" s="49" t="s">
        <v>79</v>
      </c>
      <c r="C165" s="65" t="s">
        <v>22</v>
      </c>
      <c r="D165" s="50">
        <f>'дод 3 '!E39</f>
        <v>21975100</v>
      </c>
      <c r="E165" s="50">
        <f>'дод 3 '!F39</f>
        <v>21975100</v>
      </c>
      <c r="F165" s="50">
        <f>'дод 3 '!G39</f>
        <v>0</v>
      </c>
      <c r="G165" s="50">
        <f>'дод 3 '!H39</f>
        <v>0</v>
      </c>
      <c r="H165" s="50">
        <f>'дод 3 '!I39</f>
        <v>0</v>
      </c>
      <c r="I165" s="50">
        <f>'дод 3 '!J39</f>
        <v>0</v>
      </c>
      <c r="J165" s="50">
        <f>'дод 3 '!K39</f>
        <v>0</v>
      </c>
      <c r="K165" s="50">
        <f>'дод 3 '!L39</f>
        <v>0</v>
      </c>
      <c r="L165" s="50">
        <f>'дод 3 '!M39</f>
        <v>0</v>
      </c>
      <c r="M165" s="50">
        <f>'дод 3 '!N39</f>
        <v>0</v>
      </c>
      <c r="N165" s="50">
        <f>'дод 3 '!O39</f>
        <v>0</v>
      </c>
      <c r="O165" s="50">
        <f>'дод 3 '!P39</f>
        <v>21975100</v>
      </c>
      <c r="P165" s="80"/>
    </row>
    <row r="166" spans="1:16" s="56" customFormat="1" ht="54" customHeight="1" x14ac:dyDescent="0.25">
      <c r="A166" s="49" t="s">
        <v>111</v>
      </c>
      <c r="B166" s="49" t="s">
        <v>79</v>
      </c>
      <c r="C166" s="65" t="s">
        <v>564</v>
      </c>
      <c r="D166" s="50">
        <f>'дод 3 '!E40</f>
        <v>6952500</v>
      </c>
      <c r="E166" s="50">
        <f>'дод 3 '!F40</f>
        <v>6952500</v>
      </c>
      <c r="F166" s="50">
        <f>'дод 3 '!G40</f>
        <v>4148000</v>
      </c>
      <c r="G166" s="50">
        <f>'дод 3 '!H40</f>
        <v>839400</v>
      </c>
      <c r="H166" s="50">
        <f>'дод 3 '!I40</f>
        <v>0</v>
      </c>
      <c r="I166" s="50">
        <f>'дод 3 '!J40</f>
        <v>540440</v>
      </c>
      <c r="J166" s="50">
        <f>'дод 3 '!K40</f>
        <v>0</v>
      </c>
      <c r="K166" s="50">
        <f>'дод 3 '!L40</f>
        <v>540440</v>
      </c>
      <c r="L166" s="50">
        <f>'дод 3 '!M40</f>
        <v>345344</v>
      </c>
      <c r="M166" s="50">
        <f>'дод 3 '!N40</f>
        <v>98012</v>
      </c>
      <c r="N166" s="50">
        <f>'дод 3 '!O40</f>
        <v>0</v>
      </c>
      <c r="O166" s="50">
        <f>'дод 3 '!P40</f>
        <v>7492940</v>
      </c>
      <c r="P166" s="80"/>
    </row>
    <row r="167" spans="1:16" s="56" customFormat="1" ht="46.5" customHeight="1" x14ac:dyDescent="0.25">
      <c r="A167" s="49" t="s">
        <v>113</v>
      </c>
      <c r="B167" s="49" t="s">
        <v>79</v>
      </c>
      <c r="C167" s="65" t="s">
        <v>112</v>
      </c>
      <c r="D167" s="50">
        <f>'дод 3 '!E41</f>
        <v>13630400</v>
      </c>
      <c r="E167" s="50">
        <f>'дод 3 '!F41</f>
        <v>13630400</v>
      </c>
      <c r="F167" s="50">
        <f>'дод 3 '!G41</f>
        <v>0</v>
      </c>
      <c r="G167" s="50">
        <f>'дод 3 '!H41</f>
        <v>0</v>
      </c>
      <c r="H167" s="50">
        <f>'дод 3 '!I41</f>
        <v>0</v>
      </c>
      <c r="I167" s="50">
        <f>'дод 3 '!J41</f>
        <v>0</v>
      </c>
      <c r="J167" s="50">
        <f>'дод 3 '!K41</f>
        <v>0</v>
      </c>
      <c r="K167" s="50">
        <f>'дод 3 '!L41</f>
        <v>0</v>
      </c>
      <c r="L167" s="50">
        <f>'дод 3 '!M41</f>
        <v>0</v>
      </c>
      <c r="M167" s="50">
        <f>'дод 3 '!N41</f>
        <v>0</v>
      </c>
      <c r="N167" s="50">
        <f>'дод 3 '!O41</f>
        <v>0</v>
      </c>
      <c r="O167" s="50">
        <f>'дод 3 '!P41</f>
        <v>13630400</v>
      </c>
      <c r="P167" s="80"/>
    </row>
    <row r="168" spans="1:16" s="43" customFormat="1" ht="26.25" customHeight="1" x14ac:dyDescent="0.25">
      <c r="A168" s="57" t="s">
        <v>65</v>
      </c>
      <c r="B168" s="74"/>
      <c r="C168" s="75" t="s">
        <v>66</v>
      </c>
      <c r="D168" s="48">
        <f>D170+D171+D173+D174+D175+D176+D178+D180+D181+D177+D172</f>
        <v>283410120</v>
      </c>
      <c r="E168" s="48">
        <f t="shared" ref="E168:O168" si="29">E170+E171+E173+E174+E175+E176+E178+E180+E181+E177+E172</f>
        <v>250820120</v>
      </c>
      <c r="F168" s="48">
        <f t="shared" si="29"/>
        <v>0</v>
      </c>
      <c r="G168" s="48">
        <f t="shared" si="29"/>
        <v>43385000</v>
      </c>
      <c r="H168" s="48">
        <f>H170+H171+H173+H174+H175+H176+H178+H180+H181+H177+H172</f>
        <v>32590000</v>
      </c>
      <c r="I168" s="48">
        <f t="shared" si="29"/>
        <v>412200</v>
      </c>
      <c r="J168" s="48">
        <f t="shared" si="29"/>
        <v>0</v>
      </c>
      <c r="K168" s="48">
        <f t="shared" si="29"/>
        <v>0</v>
      </c>
      <c r="L168" s="48">
        <f t="shared" si="29"/>
        <v>0</v>
      </c>
      <c r="M168" s="48">
        <f t="shared" si="29"/>
        <v>0</v>
      </c>
      <c r="N168" s="48">
        <f t="shared" si="29"/>
        <v>412200</v>
      </c>
      <c r="O168" s="48">
        <f t="shared" si="29"/>
        <v>283822320</v>
      </c>
      <c r="P168" s="80"/>
    </row>
    <row r="169" spans="1:16" s="62" customFormat="1" ht="113.25" hidden="1" customHeight="1" x14ac:dyDescent="0.25">
      <c r="A169" s="59"/>
      <c r="B169" s="76"/>
      <c r="C169" s="81" t="s">
        <v>545</v>
      </c>
      <c r="D169" s="61">
        <f>D179</f>
        <v>0</v>
      </c>
      <c r="E169" s="61">
        <f t="shared" ref="E169:O169" si="30">E179</f>
        <v>0</v>
      </c>
      <c r="F169" s="61">
        <f t="shared" si="30"/>
        <v>0</v>
      </c>
      <c r="G169" s="61">
        <f t="shared" si="30"/>
        <v>0</v>
      </c>
      <c r="H169" s="61">
        <f t="shared" si="30"/>
        <v>0</v>
      </c>
      <c r="I169" s="61">
        <f t="shared" si="30"/>
        <v>0</v>
      </c>
      <c r="J169" s="61">
        <f t="shared" si="30"/>
        <v>0</v>
      </c>
      <c r="K169" s="61">
        <f t="shared" si="30"/>
        <v>0</v>
      </c>
      <c r="L169" s="61">
        <f t="shared" si="30"/>
        <v>0</v>
      </c>
      <c r="M169" s="61">
        <f t="shared" si="30"/>
        <v>0</v>
      </c>
      <c r="N169" s="61">
        <f t="shared" si="30"/>
        <v>0</v>
      </c>
      <c r="O169" s="61">
        <f t="shared" si="30"/>
        <v>0</v>
      </c>
      <c r="P169" s="80"/>
    </row>
    <row r="170" spans="1:16" s="56" customFormat="1" hidden="1" x14ac:dyDescent="0.25">
      <c r="A170" s="49" t="s">
        <v>125</v>
      </c>
      <c r="B170" s="49" t="s">
        <v>67</v>
      </c>
      <c r="C170" s="65" t="s">
        <v>126</v>
      </c>
      <c r="D170" s="50">
        <f>'дод 3 '!E270</f>
        <v>0</v>
      </c>
      <c r="E170" s="50">
        <f>'дод 3 '!F270</f>
        <v>0</v>
      </c>
      <c r="F170" s="50">
        <f>'дод 3 '!G270</f>
        <v>0</v>
      </c>
      <c r="G170" s="50">
        <f>'дод 3 '!H270</f>
        <v>0</v>
      </c>
      <c r="H170" s="50">
        <f>'дод 3 '!I270</f>
        <v>0</v>
      </c>
      <c r="I170" s="50">
        <f>'дод 3 '!J270</f>
        <v>0</v>
      </c>
      <c r="J170" s="50">
        <f>'дод 3 '!K270</f>
        <v>0</v>
      </c>
      <c r="K170" s="50">
        <f>'дод 3 '!L270</f>
        <v>0</v>
      </c>
      <c r="L170" s="50">
        <f>'дод 3 '!M270</f>
        <v>0</v>
      </c>
      <c r="M170" s="50">
        <f>'дод 3 '!N270</f>
        <v>0</v>
      </c>
      <c r="N170" s="50">
        <f>'дод 3 '!O270</f>
        <v>0</v>
      </c>
      <c r="O170" s="50">
        <f>'дод 3 '!P270</f>
        <v>0</v>
      </c>
      <c r="P170" s="80"/>
    </row>
    <row r="171" spans="1:16" s="56" customFormat="1" ht="32.25" customHeight="1" x14ac:dyDescent="0.25">
      <c r="A171" s="49" t="s">
        <v>127</v>
      </c>
      <c r="B171" s="49" t="s">
        <v>69</v>
      </c>
      <c r="C171" s="65" t="s">
        <v>144</v>
      </c>
      <c r="D171" s="50">
        <f>'дод 3 '!E271</f>
        <v>30685000</v>
      </c>
      <c r="E171" s="50">
        <f>'дод 3 '!F271</f>
        <v>685000</v>
      </c>
      <c r="F171" s="50">
        <f>'дод 3 '!G271</f>
        <v>0</v>
      </c>
      <c r="G171" s="50">
        <f>'дод 3 '!H271</f>
        <v>0</v>
      </c>
      <c r="H171" s="50">
        <f>'дод 3 '!I271</f>
        <v>30000000</v>
      </c>
      <c r="I171" s="50">
        <f>'дод 3 '!J271</f>
        <v>0</v>
      </c>
      <c r="J171" s="50">
        <f>'дод 3 '!K271</f>
        <v>0</v>
      </c>
      <c r="K171" s="50">
        <f>'дод 3 '!L271</f>
        <v>0</v>
      </c>
      <c r="L171" s="50">
        <f>'дод 3 '!M271</f>
        <v>0</v>
      </c>
      <c r="M171" s="50">
        <f>'дод 3 '!N271</f>
        <v>0</v>
      </c>
      <c r="N171" s="50">
        <f>'дод 3 '!O271</f>
        <v>0</v>
      </c>
      <c r="O171" s="50">
        <f>'дод 3 '!P271</f>
        <v>30685000</v>
      </c>
      <c r="P171" s="80"/>
    </row>
    <row r="172" spans="1:16" s="56" customFormat="1" ht="32.25" hidden="1" customHeight="1" x14ac:dyDescent="0.25">
      <c r="A172" s="49">
        <v>6014</v>
      </c>
      <c r="B172" s="49" t="s">
        <v>69</v>
      </c>
      <c r="C172" s="65" t="s">
        <v>589</v>
      </c>
      <c r="D172" s="50">
        <f>'дод 3 '!E272</f>
        <v>0</v>
      </c>
      <c r="E172" s="50">
        <f>'дод 3 '!F272</f>
        <v>0</v>
      </c>
      <c r="F172" s="50">
        <f>'дод 3 '!G272</f>
        <v>0</v>
      </c>
      <c r="G172" s="50">
        <f>'дод 3 '!H272</f>
        <v>0</v>
      </c>
      <c r="H172" s="50">
        <f>'дод 3 '!I272</f>
        <v>0</v>
      </c>
      <c r="I172" s="50">
        <f>'дод 3 '!J272</f>
        <v>0</v>
      </c>
      <c r="J172" s="50">
        <f>'дод 3 '!K272</f>
        <v>0</v>
      </c>
      <c r="K172" s="50">
        <f>'дод 3 '!L272</f>
        <v>0</v>
      </c>
      <c r="L172" s="50">
        <f>'дод 3 '!M272</f>
        <v>0</v>
      </c>
      <c r="M172" s="50">
        <f>'дод 3 '!N272</f>
        <v>0</v>
      </c>
      <c r="N172" s="50">
        <f>'дод 3 '!O272</f>
        <v>0</v>
      </c>
      <c r="O172" s="50">
        <f>'дод 3 '!P272</f>
        <v>0</v>
      </c>
      <c r="P172" s="80"/>
    </row>
    <row r="173" spans="1:16" s="56" customFormat="1" ht="32.25" hidden="1" customHeight="1" x14ac:dyDescent="0.25">
      <c r="A173" s="49" t="s">
        <v>257</v>
      </c>
      <c r="B173" s="49" t="s">
        <v>69</v>
      </c>
      <c r="C173" s="65" t="s">
        <v>258</v>
      </c>
      <c r="D173" s="50">
        <f>'дод 3 '!E273</f>
        <v>0</v>
      </c>
      <c r="E173" s="50">
        <f>'дод 3 '!F273</f>
        <v>0</v>
      </c>
      <c r="F173" s="50">
        <f>'дод 3 '!G273</f>
        <v>0</v>
      </c>
      <c r="G173" s="50">
        <f>'дод 3 '!H273</f>
        <v>0</v>
      </c>
      <c r="H173" s="50">
        <f>'дод 3 '!I273</f>
        <v>0</v>
      </c>
      <c r="I173" s="50">
        <f>'дод 3 '!J273</f>
        <v>0</v>
      </c>
      <c r="J173" s="50">
        <f>'дод 3 '!K273</f>
        <v>0</v>
      </c>
      <c r="K173" s="50">
        <f>'дод 3 '!L273</f>
        <v>0</v>
      </c>
      <c r="L173" s="50">
        <f>'дод 3 '!M273</f>
        <v>0</v>
      </c>
      <c r="M173" s="50">
        <f>'дод 3 '!N273</f>
        <v>0</v>
      </c>
      <c r="N173" s="50">
        <f>'дод 3 '!O273</f>
        <v>0</v>
      </c>
      <c r="O173" s="50">
        <f>'дод 3 '!P273</f>
        <v>0</v>
      </c>
      <c r="P173" s="80"/>
    </row>
    <row r="174" spans="1:16" s="56" customFormat="1" ht="33" customHeight="1" x14ac:dyDescent="0.25">
      <c r="A174" s="49" t="s">
        <v>260</v>
      </c>
      <c r="B174" s="49" t="s">
        <v>69</v>
      </c>
      <c r="C174" s="65" t="s">
        <v>338</v>
      </c>
      <c r="D174" s="50">
        <f>'дод 3 '!E274</f>
        <v>400000</v>
      </c>
      <c r="E174" s="50">
        <f>'дод 3 '!F274</f>
        <v>400000</v>
      </c>
      <c r="F174" s="50">
        <f>'дод 3 '!G274</f>
        <v>0</v>
      </c>
      <c r="G174" s="50">
        <f>'дод 3 '!H274</f>
        <v>0</v>
      </c>
      <c r="H174" s="50">
        <f>'дод 3 '!I274</f>
        <v>0</v>
      </c>
      <c r="I174" s="50">
        <f>'дод 3 '!J274</f>
        <v>0</v>
      </c>
      <c r="J174" s="50">
        <f>'дод 3 '!K274</f>
        <v>0</v>
      </c>
      <c r="K174" s="50">
        <f>'дод 3 '!L274</f>
        <v>0</v>
      </c>
      <c r="L174" s="50">
        <f>'дод 3 '!M274</f>
        <v>0</v>
      </c>
      <c r="M174" s="50">
        <f>'дод 3 '!N274</f>
        <v>0</v>
      </c>
      <c r="N174" s="50">
        <f>'дод 3 '!O274</f>
        <v>0</v>
      </c>
      <c r="O174" s="50">
        <f>'дод 3 '!P274</f>
        <v>400000</v>
      </c>
      <c r="P174" s="80"/>
    </row>
    <row r="175" spans="1:16" s="56" customFormat="1" ht="57.75" customHeight="1" x14ac:dyDescent="0.25">
      <c r="A175" s="49" t="s">
        <v>68</v>
      </c>
      <c r="B175" s="49" t="s">
        <v>69</v>
      </c>
      <c r="C175" s="65" t="s">
        <v>130</v>
      </c>
      <c r="D175" s="50">
        <f>'дод 3 '!E275</f>
        <v>600000</v>
      </c>
      <c r="E175" s="50">
        <f>'дод 3 '!F275</f>
        <v>0</v>
      </c>
      <c r="F175" s="50">
        <f>'дод 3 '!G275</f>
        <v>0</v>
      </c>
      <c r="G175" s="50">
        <f>'дод 3 '!H275</f>
        <v>0</v>
      </c>
      <c r="H175" s="50">
        <f>'дод 3 '!I275</f>
        <v>600000</v>
      </c>
      <c r="I175" s="50">
        <f>'дод 3 '!J275</f>
        <v>0</v>
      </c>
      <c r="J175" s="50">
        <f>'дод 3 '!K275</f>
        <v>0</v>
      </c>
      <c r="K175" s="50">
        <f>'дод 3 '!L275</f>
        <v>0</v>
      </c>
      <c r="L175" s="50">
        <f>'дод 3 '!M275</f>
        <v>0</v>
      </c>
      <c r="M175" s="50">
        <f>'дод 3 '!N275</f>
        <v>0</v>
      </c>
      <c r="N175" s="50">
        <f>'дод 3 '!O275</f>
        <v>0</v>
      </c>
      <c r="O175" s="50">
        <f>'дод 3 '!P275</f>
        <v>600000</v>
      </c>
      <c r="P175" s="80"/>
    </row>
    <row r="176" spans="1:16" ht="24" customHeight="1" x14ac:dyDescent="0.25">
      <c r="A176" s="49" t="s">
        <v>128</v>
      </c>
      <c r="B176" s="49" t="s">
        <v>69</v>
      </c>
      <c r="C176" s="65" t="s">
        <v>129</v>
      </c>
      <c r="D176" s="50">
        <f>'дод 3 '!E276+'дод 3 '!E337</f>
        <v>243225000</v>
      </c>
      <c r="E176" s="50">
        <f>'дод 3 '!F276+'дод 3 '!F337</f>
        <v>242155000</v>
      </c>
      <c r="F176" s="50">
        <f>'дод 3 '!G276+'дод 3 '!G337</f>
        <v>0</v>
      </c>
      <c r="G176" s="50">
        <f>'дод 3 '!H276+'дод 3 '!H337</f>
        <v>43380000</v>
      </c>
      <c r="H176" s="50">
        <f>'дод 3 '!I276+'дод 3 '!I337</f>
        <v>1070000</v>
      </c>
      <c r="I176" s="50">
        <f>'дод 3 '!J276+'дод 3 '!J337</f>
        <v>0</v>
      </c>
      <c r="J176" s="50">
        <f>'дод 3 '!K276+'дод 3 '!K337</f>
        <v>0</v>
      </c>
      <c r="K176" s="50">
        <f>'дод 3 '!L276+'дод 3 '!L337</f>
        <v>0</v>
      </c>
      <c r="L176" s="50">
        <f>'дод 3 '!M276+'дод 3 '!M337</f>
        <v>0</v>
      </c>
      <c r="M176" s="50">
        <f>'дод 3 '!N276+'дод 3 '!N337</f>
        <v>0</v>
      </c>
      <c r="N176" s="50">
        <f>'дод 3 '!O276+'дод 3 '!O337</f>
        <v>0</v>
      </c>
      <c r="O176" s="50">
        <f>'дод 3 '!P276+'дод 3 '!P337</f>
        <v>243225000</v>
      </c>
      <c r="P176" s="80"/>
    </row>
    <row r="177" spans="1:16" ht="94.5" hidden="1" customHeight="1" x14ac:dyDescent="0.25">
      <c r="A177" s="49">
        <v>6071</v>
      </c>
      <c r="B177" s="1" t="s">
        <v>306</v>
      </c>
      <c r="C177" s="67" t="s">
        <v>553</v>
      </c>
      <c r="D177" s="50">
        <f>'дод 3 '!E279</f>
        <v>0</v>
      </c>
      <c r="E177" s="50">
        <f>'дод 3 '!F279</f>
        <v>0</v>
      </c>
      <c r="F177" s="50">
        <f>'дод 3 '!G279</f>
        <v>0</v>
      </c>
      <c r="G177" s="50">
        <f>'дод 3 '!H279</f>
        <v>0</v>
      </c>
      <c r="H177" s="50">
        <f>'дод 3 '!I279</f>
        <v>0</v>
      </c>
      <c r="I177" s="50">
        <f>'дод 3 '!J279</f>
        <v>0</v>
      </c>
      <c r="J177" s="50">
        <f>'дод 3 '!K279</f>
        <v>0</v>
      </c>
      <c r="K177" s="50">
        <f>'дод 3 '!L279</f>
        <v>0</v>
      </c>
      <c r="L177" s="50">
        <f>'дод 3 '!M279</f>
        <v>0</v>
      </c>
      <c r="M177" s="50">
        <f>'дод 3 '!N279</f>
        <v>0</v>
      </c>
      <c r="N177" s="50">
        <f>'дод 3 '!O279</f>
        <v>0</v>
      </c>
      <c r="O177" s="50">
        <f>'дод 3 '!P279</f>
        <v>0</v>
      </c>
      <c r="P177" s="80"/>
    </row>
    <row r="178" spans="1:16" ht="83.25" hidden="1" customHeight="1" x14ac:dyDescent="0.25">
      <c r="A178" s="49">
        <v>6083</v>
      </c>
      <c r="B178" s="51" t="s">
        <v>67</v>
      </c>
      <c r="C178" s="67" t="s">
        <v>422</v>
      </c>
      <c r="D178" s="50">
        <f>'дод 3 '!E243+'дод 3 '!E277</f>
        <v>0</v>
      </c>
      <c r="E178" s="50">
        <f>'дод 3 '!F243+'дод 3 '!F277</f>
        <v>0</v>
      </c>
      <c r="F178" s="50">
        <f>'дод 3 '!G243+'дод 3 '!G277</f>
        <v>0</v>
      </c>
      <c r="G178" s="50">
        <f>'дод 3 '!H243+'дод 3 '!H277</f>
        <v>0</v>
      </c>
      <c r="H178" s="50">
        <f>'дод 3 '!I243+'дод 3 '!I277</f>
        <v>0</v>
      </c>
      <c r="I178" s="50">
        <f>'дод 3 '!J243+'дод 3 '!J277</f>
        <v>0</v>
      </c>
      <c r="J178" s="50">
        <f>'дод 3 '!K243+'дод 3 '!K277</f>
        <v>0</v>
      </c>
      <c r="K178" s="50">
        <f>'дод 3 '!L243+'дод 3 '!L277</f>
        <v>0</v>
      </c>
      <c r="L178" s="50">
        <f>'дод 3 '!M243+'дод 3 '!M277</f>
        <v>0</v>
      </c>
      <c r="M178" s="50">
        <f>'дод 3 '!N243+'дод 3 '!N277</f>
        <v>0</v>
      </c>
      <c r="N178" s="50">
        <f>'дод 3 '!O243+'дод 3 '!O277</f>
        <v>0</v>
      </c>
      <c r="O178" s="50">
        <f>'дод 3 '!P243+'дод 3 '!P277</f>
        <v>0</v>
      </c>
      <c r="P178" s="80"/>
    </row>
    <row r="179" spans="1:16" s="56" customFormat="1" ht="126" hidden="1" customHeight="1" x14ac:dyDescent="0.25">
      <c r="A179" s="52"/>
      <c r="B179" s="71"/>
      <c r="C179" s="82" t="s">
        <v>545</v>
      </c>
      <c r="D179" s="55">
        <f>'дод 3 '!E244+'дод 3 '!E278</f>
        <v>0</v>
      </c>
      <c r="E179" s="55">
        <f>'дод 3 '!F244+'дод 3 '!F278</f>
        <v>0</v>
      </c>
      <c r="F179" s="55">
        <f>'дод 3 '!G244+'дод 3 '!G278</f>
        <v>0</v>
      </c>
      <c r="G179" s="55">
        <f>'дод 3 '!H244+'дод 3 '!H278</f>
        <v>0</v>
      </c>
      <c r="H179" s="55">
        <f>'дод 3 '!I244+'дод 3 '!I278</f>
        <v>0</v>
      </c>
      <c r="I179" s="55">
        <f>'дод 3 '!J244+'дод 3 '!J278</f>
        <v>0</v>
      </c>
      <c r="J179" s="55">
        <f>'дод 3 '!K244+'дод 3 '!K278</f>
        <v>0</v>
      </c>
      <c r="K179" s="55">
        <f>'дод 3 '!L244+'дод 3 '!L278</f>
        <v>0</v>
      </c>
      <c r="L179" s="55">
        <f>'дод 3 '!M244+'дод 3 '!M278</f>
        <v>0</v>
      </c>
      <c r="M179" s="55">
        <f>'дод 3 '!N244+'дод 3 '!N278</f>
        <v>0</v>
      </c>
      <c r="N179" s="55">
        <f>'дод 3 '!O244+'дод 3 '!O278</f>
        <v>0</v>
      </c>
      <c r="O179" s="55">
        <f>'дод 3 '!P244+'дод 3 '!P278</f>
        <v>0</v>
      </c>
      <c r="P179" s="80"/>
    </row>
    <row r="180" spans="1:16" s="56" customFormat="1" ht="66" customHeight="1" x14ac:dyDescent="0.25">
      <c r="A180" s="49" t="s">
        <v>132</v>
      </c>
      <c r="B180" s="3" t="s">
        <v>67</v>
      </c>
      <c r="C180" s="65" t="s">
        <v>565</v>
      </c>
      <c r="D180" s="50">
        <f>'дод 3 '!E341</f>
        <v>0</v>
      </c>
      <c r="E180" s="50">
        <f>'дод 3 '!F341</f>
        <v>0</v>
      </c>
      <c r="F180" s="50">
        <f>'дод 3 '!G341</f>
        <v>0</v>
      </c>
      <c r="G180" s="50">
        <f>'дод 3 '!H341</f>
        <v>0</v>
      </c>
      <c r="H180" s="50">
        <f>'дод 3 '!I341</f>
        <v>0</v>
      </c>
      <c r="I180" s="50">
        <f>'дод 3 '!J341</f>
        <v>412200</v>
      </c>
      <c r="J180" s="50">
        <f>'дод 3 '!K341</f>
        <v>0</v>
      </c>
      <c r="K180" s="50">
        <f>'дод 3 '!L341</f>
        <v>0</v>
      </c>
      <c r="L180" s="50">
        <f>'дод 3 '!M341</f>
        <v>0</v>
      </c>
      <c r="M180" s="50">
        <f>'дод 3 '!N341</f>
        <v>0</v>
      </c>
      <c r="N180" s="50">
        <f>'дод 3 '!O341</f>
        <v>412200</v>
      </c>
      <c r="O180" s="50">
        <f>'дод 3 '!P341</f>
        <v>412200</v>
      </c>
      <c r="P180" s="80"/>
    </row>
    <row r="181" spans="1:16" ht="32.25" customHeight="1" x14ac:dyDescent="0.25">
      <c r="A181" s="49" t="s">
        <v>138</v>
      </c>
      <c r="B181" s="3" t="s">
        <v>306</v>
      </c>
      <c r="C181" s="65" t="s">
        <v>139</v>
      </c>
      <c r="D181" s="50">
        <f>'дод 3 '!E280+'дод 3 '!E360+'дод 3 '!E391</f>
        <v>8500120</v>
      </c>
      <c r="E181" s="50">
        <f>'дод 3 '!F280+'дод 3 '!F360+'дод 3 '!F391</f>
        <v>7580120</v>
      </c>
      <c r="F181" s="50">
        <f>'дод 3 '!G280+'дод 3 '!G360+'дод 3 '!G391</f>
        <v>0</v>
      </c>
      <c r="G181" s="50">
        <f>'дод 3 '!H280+'дод 3 '!H360+'дод 3 '!H391</f>
        <v>5000</v>
      </c>
      <c r="H181" s="50">
        <f>'дод 3 '!I280+'дод 3 '!I360+'дод 3 '!I391</f>
        <v>920000</v>
      </c>
      <c r="I181" s="50">
        <f>'дод 3 '!J280+'дод 3 '!J360+'дод 3 '!J391</f>
        <v>0</v>
      </c>
      <c r="J181" s="50">
        <f>'дод 3 '!K280+'дод 3 '!K360+'дод 3 '!K391</f>
        <v>0</v>
      </c>
      <c r="K181" s="50">
        <f>'дод 3 '!L280+'дод 3 '!L360+'дод 3 '!L391</f>
        <v>0</v>
      </c>
      <c r="L181" s="50">
        <f>'дод 3 '!M280+'дод 3 '!M360+'дод 3 '!M391</f>
        <v>0</v>
      </c>
      <c r="M181" s="50">
        <f>'дод 3 '!N280+'дод 3 '!N360+'дод 3 '!N391</f>
        <v>0</v>
      </c>
      <c r="N181" s="50">
        <f>'дод 3 '!O280+'дод 3 '!O360+'дод 3 '!O391</f>
        <v>0</v>
      </c>
      <c r="O181" s="50">
        <f>'дод 3 '!P280+'дод 3 '!P360+'дод 3 '!P391</f>
        <v>8500120</v>
      </c>
      <c r="P181" s="80"/>
    </row>
    <row r="182" spans="1:16" s="43" customFormat="1" ht="21.75" customHeight="1" x14ac:dyDescent="0.25">
      <c r="A182" s="57" t="s">
        <v>133</v>
      </c>
      <c r="B182" s="74"/>
      <c r="C182" s="75" t="s">
        <v>656</v>
      </c>
      <c r="D182" s="48">
        <f>D189+D191+D218+D231+D233+D245</f>
        <v>111962202</v>
      </c>
      <c r="E182" s="48">
        <f t="shared" ref="E182:O182" si="31">E189+E191+E218+E231+E233+E245</f>
        <v>18222202</v>
      </c>
      <c r="F182" s="48">
        <f t="shared" si="31"/>
        <v>0</v>
      </c>
      <c r="G182" s="48">
        <f t="shared" si="31"/>
        <v>0</v>
      </c>
      <c r="H182" s="48">
        <f t="shared" si="31"/>
        <v>93740000</v>
      </c>
      <c r="I182" s="48">
        <f t="shared" si="31"/>
        <v>348571884.65999997</v>
      </c>
      <c r="J182" s="48">
        <f t="shared" si="31"/>
        <v>281311258</v>
      </c>
      <c r="K182" s="48">
        <f t="shared" si="31"/>
        <v>110000</v>
      </c>
      <c r="L182" s="48">
        <f t="shared" si="31"/>
        <v>0</v>
      </c>
      <c r="M182" s="48">
        <f t="shared" ca="1" si="31"/>
        <v>0</v>
      </c>
      <c r="N182" s="48">
        <f t="shared" si="31"/>
        <v>348461884.65999997</v>
      </c>
      <c r="O182" s="48">
        <f t="shared" si="31"/>
        <v>460534086.65999997</v>
      </c>
      <c r="P182" s="80"/>
    </row>
    <row r="183" spans="1:16" s="62" customFormat="1" ht="47.25" hidden="1" customHeight="1" x14ac:dyDescent="0.25">
      <c r="A183" s="59"/>
      <c r="B183" s="76"/>
      <c r="C183" s="60" t="s">
        <v>382</v>
      </c>
      <c r="D183" s="61">
        <f>D192</f>
        <v>0</v>
      </c>
      <c r="E183" s="61">
        <f t="shared" ref="E183:O183" si="32">E192</f>
        <v>0</v>
      </c>
      <c r="F183" s="61">
        <f t="shared" si="32"/>
        <v>0</v>
      </c>
      <c r="G183" s="61">
        <f t="shared" si="32"/>
        <v>0</v>
      </c>
      <c r="H183" s="61">
        <f t="shared" si="32"/>
        <v>0</v>
      </c>
      <c r="I183" s="61">
        <f t="shared" si="32"/>
        <v>0</v>
      </c>
      <c r="J183" s="61">
        <f t="shared" si="32"/>
        <v>0</v>
      </c>
      <c r="K183" s="61">
        <f t="shared" si="32"/>
        <v>0</v>
      </c>
      <c r="L183" s="61">
        <f t="shared" si="32"/>
        <v>0</v>
      </c>
      <c r="M183" s="61">
        <f t="shared" si="32"/>
        <v>0</v>
      </c>
      <c r="N183" s="61">
        <f t="shared" si="32"/>
        <v>0</v>
      </c>
      <c r="O183" s="61">
        <f t="shared" si="32"/>
        <v>0</v>
      </c>
      <c r="P183" s="80"/>
    </row>
    <row r="184" spans="1:16" s="62" customFormat="1" ht="15.75" hidden="1" customHeight="1" x14ac:dyDescent="0.25">
      <c r="A184" s="59"/>
      <c r="B184" s="76"/>
      <c r="C184" s="9" t="s">
        <v>388</v>
      </c>
      <c r="D184" s="61">
        <f>D193</f>
        <v>0</v>
      </c>
      <c r="E184" s="61">
        <f t="shared" ref="E184:O184" si="33">E193</f>
        <v>0</v>
      </c>
      <c r="F184" s="61">
        <f t="shared" si="33"/>
        <v>0</v>
      </c>
      <c r="G184" s="61">
        <f t="shared" si="33"/>
        <v>0</v>
      </c>
      <c r="H184" s="61">
        <f t="shared" si="33"/>
        <v>0</v>
      </c>
      <c r="I184" s="61">
        <f t="shared" si="33"/>
        <v>0</v>
      </c>
      <c r="J184" s="61">
        <f t="shared" si="33"/>
        <v>0</v>
      </c>
      <c r="K184" s="61">
        <f t="shared" si="33"/>
        <v>0</v>
      </c>
      <c r="L184" s="61">
        <f t="shared" si="33"/>
        <v>0</v>
      </c>
      <c r="M184" s="61">
        <f t="shared" si="33"/>
        <v>0</v>
      </c>
      <c r="N184" s="61">
        <f t="shared" si="33"/>
        <v>0</v>
      </c>
      <c r="O184" s="61">
        <f t="shared" si="33"/>
        <v>0</v>
      </c>
      <c r="P184" s="80"/>
    </row>
    <row r="185" spans="1:16" s="62" customFormat="1" ht="101.25" hidden="1" customHeight="1" x14ac:dyDescent="0.25">
      <c r="A185" s="59"/>
      <c r="B185" s="76"/>
      <c r="C185" s="9" t="str">
        <f>'дод 3 '!D264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5" s="9">
        <f>'дод 3 '!E264</f>
        <v>0</v>
      </c>
      <c r="E185" s="9">
        <f>'дод 3 '!F264</f>
        <v>0</v>
      </c>
      <c r="F185" s="9">
        <f>'дод 3 '!G264</f>
        <v>0</v>
      </c>
      <c r="G185" s="9">
        <f>'дод 3 '!H264</f>
        <v>0</v>
      </c>
      <c r="H185" s="9">
        <f>'дод 3 '!I264</f>
        <v>0</v>
      </c>
      <c r="I185" s="83">
        <f>'дод 3 '!J264</f>
        <v>0</v>
      </c>
      <c r="J185" s="83">
        <f>'дод 3 '!K264</f>
        <v>0</v>
      </c>
      <c r="K185" s="83">
        <f>'дод 3 '!L264</f>
        <v>0</v>
      </c>
      <c r="L185" s="83">
        <f>'дод 3 '!M264</f>
        <v>0</v>
      </c>
      <c r="M185" s="83">
        <f>'дод 3 '!N264</f>
        <v>0</v>
      </c>
      <c r="N185" s="83">
        <f>'дод 3 '!O264</f>
        <v>0</v>
      </c>
      <c r="O185" s="83">
        <f>'дод 3 '!P264</f>
        <v>0</v>
      </c>
      <c r="P185" s="80"/>
    </row>
    <row r="186" spans="1:16" s="62" customFormat="1" ht="56.25" hidden="1" customHeight="1" x14ac:dyDescent="0.25">
      <c r="A186" s="59"/>
      <c r="B186" s="76"/>
      <c r="C186" s="9" t="str">
        <f>C215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6" s="9">
        <f>D215</f>
        <v>0</v>
      </c>
      <c r="E186" s="84">
        <f t="shared" ref="E186:O186" si="34">E215</f>
        <v>0</v>
      </c>
      <c r="F186" s="84">
        <f t="shared" si="34"/>
        <v>0</v>
      </c>
      <c r="G186" s="84">
        <f t="shared" si="34"/>
        <v>0</v>
      </c>
      <c r="H186" s="84">
        <f t="shared" si="34"/>
        <v>0</v>
      </c>
      <c r="I186" s="84">
        <f t="shared" si="34"/>
        <v>0</v>
      </c>
      <c r="J186" s="84">
        <f t="shared" si="34"/>
        <v>0</v>
      </c>
      <c r="K186" s="84">
        <f t="shared" si="34"/>
        <v>0</v>
      </c>
      <c r="L186" s="84">
        <f t="shared" si="34"/>
        <v>0</v>
      </c>
      <c r="M186" s="84">
        <f t="shared" si="34"/>
        <v>0</v>
      </c>
      <c r="N186" s="84">
        <f t="shared" si="34"/>
        <v>0</v>
      </c>
      <c r="O186" s="84">
        <f t="shared" si="34"/>
        <v>0</v>
      </c>
      <c r="P186" s="80"/>
    </row>
    <row r="187" spans="1:16" s="62" customFormat="1" ht="92.25" customHeight="1" x14ac:dyDescent="0.25">
      <c r="A187" s="59"/>
      <c r="B187" s="76"/>
      <c r="C187" s="85" t="s">
        <v>730</v>
      </c>
      <c r="D187" s="61">
        <f>D194</f>
        <v>0</v>
      </c>
      <c r="E187" s="61">
        <f t="shared" ref="E187:O187" si="35">E194</f>
        <v>0</v>
      </c>
      <c r="F187" s="61">
        <f t="shared" si="35"/>
        <v>0</v>
      </c>
      <c r="G187" s="61">
        <f t="shared" si="35"/>
        <v>0</v>
      </c>
      <c r="H187" s="61">
        <f t="shared" si="35"/>
        <v>0</v>
      </c>
      <c r="I187" s="61">
        <f t="shared" si="35"/>
        <v>67150626.659999996</v>
      </c>
      <c r="J187" s="61">
        <f t="shared" si="35"/>
        <v>0</v>
      </c>
      <c r="K187" s="61">
        <f t="shared" si="35"/>
        <v>0</v>
      </c>
      <c r="L187" s="61">
        <f t="shared" si="35"/>
        <v>0</v>
      </c>
      <c r="M187" s="61">
        <f t="shared" si="35"/>
        <v>0</v>
      </c>
      <c r="N187" s="61">
        <f t="shared" si="35"/>
        <v>67150626.659999996</v>
      </c>
      <c r="O187" s="61">
        <f t="shared" si="35"/>
        <v>67150626.659999996</v>
      </c>
      <c r="P187" s="86"/>
    </row>
    <row r="188" spans="1:16" s="62" customFormat="1" ht="18" customHeight="1" x14ac:dyDescent="0.25">
      <c r="A188" s="59"/>
      <c r="B188" s="59"/>
      <c r="C188" s="9" t="s">
        <v>407</v>
      </c>
      <c r="D188" s="61">
        <f>D234</f>
        <v>0</v>
      </c>
      <c r="E188" s="61">
        <f t="shared" ref="E188:O188" si="36">E234</f>
        <v>0</v>
      </c>
      <c r="F188" s="61">
        <f t="shared" si="36"/>
        <v>0</v>
      </c>
      <c r="G188" s="61">
        <f t="shared" si="36"/>
        <v>0</v>
      </c>
      <c r="H188" s="61">
        <f t="shared" si="36"/>
        <v>0</v>
      </c>
      <c r="I188" s="61">
        <f t="shared" si="36"/>
        <v>61868709</v>
      </c>
      <c r="J188" s="61">
        <f t="shared" si="36"/>
        <v>61868709</v>
      </c>
      <c r="K188" s="61">
        <f t="shared" si="36"/>
        <v>0</v>
      </c>
      <c r="L188" s="61">
        <f t="shared" si="36"/>
        <v>0</v>
      </c>
      <c r="M188" s="61">
        <f t="shared" si="36"/>
        <v>0</v>
      </c>
      <c r="N188" s="61">
        <f t="shared" si="36"/>
        <v>61868709</v>
      </c>
      <c r="O188" s="61">
        <f t="shared" si="36"/>
        <v>61868709</v>
      </c>
      <c r="P188" s="80"/>
    </row>
    <row r="189" spans="1:16" s="43" customFormat="1" x14ac:dyDescent="0.25">
      <c r="A189" s="57" t="s">
        <v>140</v>
      </c>
      <c r="B189" s="74"/>
      <c r="C189" s="75" t="s">
        <v>141</v>
      </c>
      <c r="D189" s="48">
        <f t="shared" ref="D189:O189" si="37">D190</f>
        <v>200000</v>
      </c>
      <c r="E189" s="48">
        <f t="shared" si="37"/>
        <v>200000</v>
      </c>
      <c r="F189" s="48">
        <f t="shared" si="37"/>
        <v>0</v>
      </c>
      <c r="G189" s="48">
        <f t="shared" si="37"/>
        <v>0</v>
      </c>
      <c r="H189" s="48">
        <f t="shared" si="37"/>
        <v>0</v>
      </c>
      <c r="I189" s="48">
        <f t="shared" si="37"/>
        <v>0</v>
      </c>
      <c r="J189" s="48">
        <f t="shared" si="37"/>
        <v>0</v>
      </c>
      <c r="K189" s="48">
        <f t="shared" si="37"/>
        <v>0</v>
      </c>
      <c r="L189" s="48">
        <f t="shared" si="37"/>
        <v>0</v>
      </c>
      <c r="M189" s="48">
        <f t="shared" si="37"/>
        <v>0</v>
      </c>
      <c r="N189" s="48">
        <f t="shared" si="37"/>
        <v>0</v>
      </c>
      <c r="O189" s="48">
        <f t="shared" si="37"/>
        <v>200000</v>
      </c>
      <c r="P189" s="80"/>
    </row>
    <row r="190" spans="1:16" ht="24" customHeight="1" x14ac:dyDescent="0.25">
      <c r="A190" s="49" t="s">
        <v>134</v>
      </c>
      <c r="B190" s="49" t="s">
        <v>82</v>
      </c>
      <c r="C190" s="65" t="s">
        <v>339</v>
      </c>
      <c r="D190" s="50">
        <f>'дод 3 '!E375+'дод 3 '!E383+'дод 3 '!E392</f>
        <v>200000</v>
      </c>
      <c r="E190" s="50">
        <f>'дод 3 '!F375+'дод 3 '!F383+'дод 3 '!F392</f>
        <v>200000</v>
      </c>
      <c r="F190" s="50">
        <f>'дод 3 '!G375+'дод 3 '!G383+'дод 3 '!G392</f>
        <v>0</v>
      </c>
      <c r="G190" s="50">
        <f>'дод 3 '!H375+'дод 3 '!H383+'дод 3 '!H392</f>
        <v>0</v>
      </c>
      <c r="H190" s="50">
        <f>'дод 3 '!I375+'дод 3 '!I383+'дод 3 '!I392</f>
        <v>0</v>
      </c>
      <c r="I190" s="50">
        <f>'дод 3 '!J375+'дод 3 '!J383+'дод 3 '!J392</f>
        <v>0</v>
      </c>
      <c r="J190" s="50">
        <f>'дод 3 '!K375+'дод 3 '!K383+'дод 3 '!K392</f>
        <v>0</v>
      </c>
      <c r="K190" s="50">
        <f>'дод 3 '!L375+'дод 3 '!L383+'дод 3 '!L392</f>
        <v>0</v>
      </c>
      <c r="L190" s="50">
        <f>'дод 3 '!M375+'дод 3 '!M383+'дод 3 '!M392</f>
        <v>0</v>
      </c>
      <c r="M190" s="50">
        <f>'дод 3 '!N375+'дод 3 '!N383+'дод 3 '!N392</f>
        <v>0</v>
      </c>
      <c r="N190" s="50">
        <f>'дод 3 '!O375+'дод 3 '!O383+'дод 3 '!O392</f>
        <v>0</v>
      </c>
      <c r="O190" s="50">
        <f>'дод 3 '!P375+'дод 3 '!P383+'дод 3 '!P392</f>
        <v>200000</v>
      </c>
      <c r="P190" s="80"/>
    </row>
    <row r="191" spans="1:16" s="43" customFormat="1" ht="21" customHeight="1" x14ac:dyDescent="0.25">
      <c r="A191" s="57" t="s">
        <v>96</v>
      </c>
      <c r="B191" s="57"/>
      <c r="C191" s="87" t="s">
        <v>729</v>
      </c>
      <c r="D191" s="48">
        <f>D195+D197+D199+D200+D201+D202+D203+D204+D205+D206+D208+D210+D212+D214+D213+D216</f>
        <v>7045000</v>
      </c>
      <c r="E191" s="48">
        <f t="shared" ref="E191:O191" si="38">E195+E197+E199+E200+E201+E202+E203+E204+E205+E206+E208+E210+E212+E214+E213+E216</f>
        <v>7045000</v>
      </c>
      <c r="F191" s="48">
        <f t="shared" si="38"/>
        <v>0</v>
      </c>
      <c r="G191" s="48">
        <f t="shared" si="38"/>
        <v>0</v>
      </c>
      <c r="H191" s="48">
        <f t="shared" si="38"/>
        <v>0</v>
      </c>
      <c r="I191" s="48">
        <f t="shared" si="38"/>
        <v>115444051.66</v>
      </c>
      <c r="J191" s="48">
        <f t="shared" si="38"/>
        <v>48293425</v>
      </c>
      <c r="K191" s="48">
        <f t="shared" si="38"/>
        <v>0</v>
      </c>
      <c r="L191" s="48">
        <f t="shared" si="38"/>
        <v>0</v>
      </c>
      <c r="M191" s="48">
        <f t="shared" si="38"/>
        <v>0</v>
      </c>
      <c r="N191" s="48">
        <f t="shared" si="38"/>
        <v>115444051.66</v>
      </c>
      <c r="O191" s="48">
        <f t="shared" si="38"/>
        <v>122489051.66</v>
      </c>
      <c r="P191" s="80"/>
    </row>
    <row r="192" spans="1:16" s="62" customFormat="1" ht="63" hidden="1" customHeight="1" x14ac:dyDescent="0.25">
      <c r="A192" s="59"/>
      <c r="B192" s="59"/>
      <c r="C192" s="60" t="s">
        <v>598</v>
      </c>
      <c r="D192" s="61">
        <f>D209</f>
        <v>0</v>
      </c>
      <c r="E192" s="61">
        <f t="shared" ref="E192:O192" si="39">E209</f>
        <v>0</v>
      </c>
      <c r="F192" s="61">
        <f t="shared" si="39"/>
        <v>0</v>
      </c>
      <c r="G192" s="61">
        <f t="shared" si="39"/>
        <v>0</v>
      </c>
      <c r="H192" s="61">
        <f t="shared" si="39"/>
        <v>0</v>
      </c>
      <c r="I192" s="61">
        <f t="shared" si="39"/>
        <v>0</v>
      </c>
      <c r="J192" s="61">
        <f t="shared" si="39"/>
        <v>0</v>
      </c>
      <c r="K192" s="61">
        <f t="shared" si="39"/>
        <v>0</v>
      </c>
      <c r="L192" s="61">
        <f t="shared" si="39"/>
        <v>0</v>
      </c>
      <c r="M192" s="61">
        <f t="shared" si="39"/>
        <v>0</v>
      </c>
      <c r="N192" s="61">
        <f t="shared" si="39"/>
        <v>0</v>
      </c>
      <c r="O192" s="61">
        <f t="shared" si="39"/>
        <v>0</v>
      </c>
      <c r="P192" s="80"/>
    </row>
    <row r="193" spans="1:16" s="62" customFormat="1" ht="15.75" hidden="1" customHeight="1" x14ac:dyDescent="0.25">
      <c r="A193" s="59"/>
      <c r="B193" s="59"/>
      <c r="C193" s="9" t="s">
        <v>388</v>
      </c>
      <c r="D193" s="61">
        <f>D198+D211</f>
        <v>0</v>
      </c>
      <c r="E193" s="61">
        <f t="shared" ref="E193:O193" si="40">E198+E211</f>
        <v>0</v>
      </c>
      <c r="F193" s="61">
        <f t="shared" si="40"/>
        <v>0</v>
      </c>
      <c r="G193" s="61">
        <f t="shared" si="40"/>
        <v>0</v>
      </c>
      <c r="H193" s="61">
        <f t="shared" si="40"/>
        <v>0</v>
      </c>
      <c r="I193" s="61">
        <f t="shared" si="40"/>
        <v>0</v>
      </c>
      <c r="J193" s="61">
        <f t="shared" si="40"/>
        <v>0</v>
      </c>
      <c r="K193" s="61">
        <f t="shared" si="40"/>
        <v>0</v>
      </c>
      <c r="L193" s="61">
        <f t="shared" si="40"/>
        <v>0</v>
      </c>
      <c r="M193" s="61">
        <f t="shared" si="40"/>
        <v>0</v>
      </c>
      <c r="N193" s="61">
        <f t="shared" si="40"/>
        <v>0</v>
      </c>
      <c r="O193" s="61">
        <f t="shared" si="40"/>
        <v>0</v>
      </c>
      <c r="P193" s="80"/>
    </row>
    <row r="194" spans="1:16" s="62" customFormat="1" ht="95.65" customHeight="1" x14ac:dyDescent="0.25">
      <c r="A194" s="59"/>
      <c r="B194" s="59"/>
      <c r="C194" s="85" t="s">
        <v>730</v>
      </c>
      <c r="D194" s="61">
        <f>D217</f>
        <v>0</v>
      </c>
      <c r="E194" s="61">
        <f t="shared" ref="E194:O194" si="41">E217</f>
        <v>0</v>
      </c>
      <c r="F194" s="61">
        <f t="shared" si="41"/>
        <v>0</v>
      </c>
      <c r="G194" s="61">
        <f t="shared" si="41"/>
        <v>0</v>
      </c>
      <c r="H194" s="61">
        <f t="shared" si="41"/>
        <v>0</v>
      </c>
      <c r="I194" s="61">
        <f t="shared" si="41"/>
        <v>67150626.659999996</v>
      </c>
      <c r="J194" s="61">
        <f t="shared" si="41"/>
        <v>0</v>
      </c>
      <c r="K194" s="61">
        <f t="shared" si="41"/>
        <v>0</v>
      </c>
      <c r="L194" s="61">
        <f t="shared" si="41"/>
        <v>0</v>
      </c>
      <c r="M194" s="61">
        <f t="shared" si="41"/>
        <v>0</v>
      </c>
      <c r="N194" s="61">
        <f t="shared" si="41"/>
        <v>67150626.659999996</v>
      </c>
      <c r="O194" s="61">
        <f t="shared" si="41"/>
        <v>67150626.659999996</v>
      </c>
      <c r="P194" s="80"/>
    </row>
    <row r="195" spans="1:16" ht="33.75" customHeight="1" x14ac:dyDescent="0.25">
      <c r="A195" s="49" t="s">
        <v>269</v>
      </c>
      <c r="B195" s="49" t="s">
        <v>110</v>
      </c>
      <c r="C195" s="4" t="s">
        <v>713</v>
      </c>
      <c r="D195" s="50">
        <f>'дод 3 '!E342+'дод 3 '!E281</f>
        <v>0</v>
      </c>
      <c r="E195" s="50">
        <f>'дод 3 '!F342+'дод 3 '!F281</f>
        <v>0</v>
      </c>
      <c r="F195" s="50">
        <f>'дод 3 '!G342+'дод 3 '!G281</f>
        <v>0</v>
      </c>
      <c r="G195" s="50">
        <f>'дод 3 '!H342+'дод 3 '!H281</f>
        <v>0</v>
      </c>
      <c r="H195" s="50">
        <f>'дод 3 '!I342+'дод 3 '!I281</f>
        <v>0</v>
      </c>
      <c r="I195" s="50">
        <f>'дод 3 '!J342+'дод 3 '!J281</f>
        <v>12153360</v>
      </c>
      <c r="J195" s="50">
        <f>'дод 3 '!K342+'дод 3 '!K281</f>
        <v>12153360</v>
      </c>
      <c r="K195" s="50">
        <f>'дод 3 '!L342+'дод 3 '!L281</f>
        <v>0</v>
      </c>
      <c r="L195" s="50">
        <f>'дод 3 '!M342+'дод 3 '!M281</f>
        <v>0</v>
      </c>
      <c r="M195" s="50">
        <f>'дод 3 '!N342+'дод 3 '!N281</f>
        <v>0</v>
      </c>
      <c r="N195" s="50">
        <f>'дод 3 '!O342+'дод 3 '!O281</f>
        <v>12153360</v>
      </c>
      <c r="O195" s="50">
        <f>'дод 3 '!P342+'дод 3 '!P281</f>
        <v>12153360</v>
      </c>
      <c r="P195" s="80"/>
    </row>
    <row r="196" spans="1:16" ht="98.25" hidden="1" customHeight="1" x14ac:dyDescent="0.25">
      <c r="A196" s="49"/>
      <c r="B196" s="49"/>
      <c r="C196" s="54" t="str">
        <f>'дод 3 '!D282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6" s="54">
        <f>'дод 3 '!E282</f>
        <v>0</v>
      </c>
      <c r="E196" s="54">
        <f>'дод 3 '!F282</f>
        <v>0</v>
      </c>
      <c r="F196" s="54">
        <f>'дод 3 '!G282</f>
        <v>0</v>
      </c>
      <c r="G196" s="54">
        <f>'дод 3 '!H282</f>
        <v>0</v>
      </c>
      <c r="H196" s="54">
        <f>'дод 3 '!I282</f>
        <v>0</v>
      </c>
      <c r="I196" s="88">
        <f>'дод 3 '!J282</f>
        <v>0</v>
      </c>
      <c r="J196" s="88">
        <f>'дод 3 '!K282</f>
        <v>0</v>
      </c>
      <c r="K196" s="88">
        <f>'дод 3 '!L282</f>
        <v>0</v>
      </c>
      <c r="L196" s="88">
        <f>'дод 3 '!M282</f>
        <v>0</v>
      </c>
      <c r="M196" s="88">
        <f>'дод 3 '!N282</f>
        <v>0</v>
      </c>
      <c r="N196" s="88">
        <f>'дод 3 '!O282</f>
        <v>0</v>
      </c>
      <c r="O196" s="88">
        <f>'дод 3 '!P282</f>
        <v>0</v>
      </c>
      <c r="P196" s="80"/>
    </row>
    <row r="197" spans="1:16" s="56" customFormat="1" ht="18.75" x14ac:dyDescent="0.25">
      <c r="A197" s="49" t="s">
        <v>274</v>
      </c>
      <c r="B197" s="49" t="s">
        <v>110</v>
      </c>
      <c r="C197" s="4" t="s">
        <v>508</v>
      </c>
      <c r="D197" s="50">
        <f>'дод 3 '!E132+'дод 3 '!E343</f>
        <v>0</v>
      </c>
      <c r="E197" s="50">
        <f>'дод 3 '!F132+'дод 3 '!F343</f>
        <v>0</v>
      </c>
      <c r="F197" s="50">
        <f>'дод 3 '!G132+'дод 3 '!G343</f>
        <v>0</v>
      </c>
      <c r="G197" s="50">
        <f>'дод 3 '!H132+'дод 3 '!H343</f>
        <v>0</v>
      </c>
      <c r="H197" s="50">
        <f>'дод 3 '!I132+'дод 3 '!I343</f>
        <v>0</v>
      </c>
      <c r="I197" s="50">
        <f>'дод 3 '!J132+'дод 3 '!J343</f>
        <v>5525574</v>
      </c>
      <c r="J197" s="50">
        <f>'дод 3 '!K132+'дод 3 '!K343</f>
        <v>5525574</v>
      </c>
      <c r="K197" s="50">
        <f>'дод 3 '!L132+'дод 3 '!L343</f>
        <v>0</v>
      </c>
      <c r="L197" s="50">
        <f>'дод 3 '!M132+'дод 3 '!M343</f>
        <v>0</v>
      </c>
      <c r="M197" s="50">
        <f>'дод 3 '!N132+'дод 3 '!N343</f>
        <v>0</v>
      </c>
      <c r="N197" s="50">
        <f>'дод 3 '!O132+'дод 3 '!O343</f>
        <v>5525574</v>
      </c>
      <c r="O197" s="50">
        <f>'дод 3 '!P132+'дод 3 '!P343</f>
        <v>5525574</v>
      </c>
      <c r="P197" s="80"/>
    </row>
    <row r="198" spans="1:16" s="56" customFormat="1" ht="21.75" hidden="1" customHeight="1" x14ac:dyDescent="0.25">
      <c r="A198" s="52"/>
      <c r="B198" s="52"/>
      <c r="C198" s="64" t="s">
        <v>388</v>
      </c>
      <c r="D198" s="55">
        <f>'дод 3 '!E133</f>
        <v>0</v>
      </c>
      <c r="E198" s="55">
        <f>'дод 3 '!F133</f>
        <v>0</v>
      </c>
      <c r="F198" s="55">
        <f>'дод 3 '!G133</f>
        <v>0</v>
      </c>
      <c r="G198" s="55">
        <f>'дод 3 '!H133</f>
        <v>0</v>
      </c>
      <c r="H198" s="55">
        <f>'дод 3 '!I133</f>
        <v>0</v>
      </c>
      <c r="I198" s="55">
        <f>'дод 3 '!J133</f>
        <v>0</v>
      </c>
      <c r="J198" s="55">
        <f>'дод 3 '!K133</f>
        <v>0</v>
      </c>
      <c r="K198" s="55">
        <f>'дод 3 '!L133</f>
        <v>0</v>
      </c>
      <c r="L198" s="55">
        <f>'дод 3 '!M133</f>
        <v>0</v>
      </c>
      <c r="M198" s="55">
        <f>'дод 3 '!N133</f>
        <v>0</v>
      </c>
      <c r="N198" s="55">
        <f>'дод 3 '!O133</f>
        <v>0</v>
      </c>
      <c r="O198" s="55">
        <f>'дод 3 '!P133</f>
        <v>0</v>
      </c>
      <c r="P198" s="80"/>
    </row>
    <row r="199" spans="1:16" s="56" customFormat="1" ht="24" customHeight="1" x14ac:dyDescent="0.25">
      <c r="A199" s="49" t="s">
        <v>276</v>
      </c>
      <c r="B199" s="49" t="s">
        <v>110</v>
      </c>
      <c r="C199" s="4" t="s">
        <v>509</v>
      </c>
      <c r="D199" s="50">
        <f>'дод 3 '!E344+'дод 3 '!E180</f>
        <v>0</v>
      </c>
      <c r="E199" s="50">
        <f>'дод 3 '!F344+'дод 3 '!F180</f>
        <v>0</v>
      </c>
      <c r="F199" s="50">
        <f>'дод 3 '!G344+'дод 3 '!G180</f>
        <v>0</v>
      </c>
      <c r="G199" s="50">
        <f>'дод 3 '!H344+'дод 3 '!H180</f>
        <v>0</v>
      </c>
      <c r="H199" s="50">
        <f>'дод 3 '!I344+'дод 3 '!I180</f>
        <v>0</v>
      </c>
      <c r="I199" s="50">
        <f>'дод 3 '!J344+'дод 3 '!J180</f>
        <v>9256612</v>
      </c>
      <c r="J199" s="50">
        <f>'дод 3 '!K344+'дод 3 '!K180</f>
        <v>9256612</v>
      </c>
      <c r="K199" s="50">
        <f>'дод 3 '!L344+'дод 3 '!L180</f>
        <v>0</v>
      </c>
      <c r="L199" s="50">
        <f>'дод 3 '!M344+'дод 3 '!M180</f>
        <v>0</v>
      </c>
      <c r="M199" s="50">
        <f>'дод 3 '!N344+'дод 3 '!N180</f>
        <v>0</v>
      </c>
      <c r="N199" s="50">
        <f>'дод 3 '!O344+'дод 3 '!O180</f>
        <v>9256612</v>
      </c>
      <c r="O199" s="50">
        <f>'дод 3 '!P344+'дод 3 '!P180</f>
        <v>9256612</v>
      </c>
      <c r="P199" s="80"/>
    </row>
    <row r="200" spans="1:16" s="56" customFormat="1" ht="22.5" hidden="1" customHeight="1" x14ac:dyDescent="0.25">
      <c r="A200" s="49">
        <v>7323</v>
      </c>
      <c r="B200" s="51" t="s">
        <v>110</v>
      </c>
      <c r="C200" s="89" t="s">
        <v>510</v>
      </c>
      <c r="D200" s="50">
        <f>'дод 3 '!E231+'дод 3 '!E42</f>
        <v>0</v>
      </c>
      <c r="E200" s="50">
        <f>'дод 3 '!F231+'дод 3 '!F42</f>
        <v>0</v>
      </c>
      <c r="F200" s="50">
        <f>'дод 3 '!G231+'дод 3 '!G42</f>
        <v>0</v>
      </c>
      <c r="G200" s="50">
        <f>'дод 3 '!H231+'дод 3 '!H42</f>
        <v>0</v>
      </c>
      <c r="H200" s="50">
        <f>'дод 3 '!I231+'дод 3 '!I42</f>
        <v>0</v>
      </c>
      <c r="I200" s="50">
        <f>'дод 3 '!J231+'дод 3 '!J42</f>
        <v>0</v>
      </c>
      <c r="J200" s="50">
        <f>'дод 3 '!K231+'дод 3 '!K42</f>
        <v>0</v>
      </c>
      <c r="K200" s="50">
        <f>'дод 3 '!L231+'дод 3 '!L42</f>
        <v>0</v>
      </c>
      <c r="L200" s="50">
        <f>'дод 3 '!M231+'дод 3 '!M42</f>
        <v>0</v>
      </c>
      <c r="M200" s="50">
        <f>'дод 3 '!N231+'дод 3 '!N42</f>
        <v>0</v>
      </c>
      <c r="N200" s="50">
        <f>'дод 3 '!O231+'дод 3 '!O42</f>
        <v>0</v>
      </c>
      <c r="O200" s="50">
        <f>'дод 3 '!P231+'дод 3 '!P42</f>
        <v>0</v>
      </c>
      <c r="P200" s="80"/>
    </row>
    <row r="201" spans="1:16" s="56" customFormat="1" ht="19.5" hidden="1" customHeight="1" x14ac:dyDescent="0.25">
      <c r="A201" s="49">
        <v>7324</v>
      </c>
      <c r="B201" s="51" t="s">
        <v>110</v>
      </c>
      <c r="C201" s="4" t="s">
        <v>511</v>
      </c>
      <c r="D201" s="50">
        <f>'дод 3 '!E253+'дод 3 '!E345</f>
        <v>0</v>
      </c>
      <c r="E201" s="50">
        <f>'дод 3 '!F253+'дод 3 '!F345</f>
        <v>0</v>
      </c>
      <c r="F201" s="50">
        <f>'дод 3 '!G253+'дод 3 '!G345</f>
        <v>0</v>
      </c>
      <c r="G201" s="50">
        <f>'дод 3 '!H253+'дод 3 '!H345</f>
        <v>0</v>
      </c>
      <c r="H201" s="50">
        <f>'дод 3 '!I253+'дод 3 '!I345</f>
        <v>0</v>
      </c>
      <c r="I201" s="50">
        <f>'дод 3 '!J253+'дод 3 '!J345</f>
        <v>0</v>
      </c>
      <c r="J201" s="50">
        <f>'дод 3 '!K253+'дод 3 '!K345</f>
        <v>0</v>
      </c>
      <c r="K201" s="50">
        <f>'дод 3 '!L253+'дод 3 '!L345</f>
        <v>0</v>
      </c>
      <c r="L201" s="50">
        <f>'дод 3 '!M253+'дод 3 '!M345</f>
        <v>0</v>
      </c>
      <c r="M201" s="50">
        <f>'дод 3 '!N253+'дод 3 '!N345</f>
        <v>0</v>
      </c>
      <c r="N201" s="50">
        <f>'дод 3 '!O253+'дод 3 '!O345</f>
        <v>0</v>
      </c>
      <c r="O201" s="50">
        <f>'дод 3 '!P253+'дод 3 '!P345</f>
        <v>0</v>
      </c>
      <c r="P201" s="80"/>
    </row>
    <row r="202" spans="1:16" s="56" customFormat="1" ht="41.25" hidden="1" customHeight="1" x14ac:dyDescent="0.25">
      <c r="A202" s="49">
        <v>7325</v>
      </c>
      <c r="B202" s="51" t="s">
        <v>110</v>
      </c>
      <c r="C202" s="4" t="s">
        <v>506</v>
      </c>
      <c r="D202" s="50">
        <f>'дод 3 '!E346+'дод 3 '!E43</f>
        <v>0</v>
      </c>
      <c r="E202" s="50">
        <f>'дод 3 '!F346+'дод 3 '!F43</f>
        <v>0</v>
      </c>
      <c r="F202" s="50">
        <f>'дод 3 '!G346+'дод 3 '!G43</f>
        <v>0</v>
      </c>
      <c r="G202" s="50">
        <f>'дод 3 '!H346+'дод 3 '!H43</f>
        <v>0</v>
      </c>
      <c r="H202" s="50">
        <f>'дод 3 '!I346+'дод 3 '!I43</f>
        <v>0</v>
      </c>
      <c r="I202" s="50">
        <f>'дод 3 '!J346+'дод 3 '!J43</f>
        <v>0</v>
      </c>
      <c r="J202" s="50">
        <f>'дод 3 '!K346+'дод 3 '!K43</f>
        <v>0</v>
      </c>
      <c r="K202" s="50">
        <f>'дод 3 '!L346+'дод 3 '!L43</f>
        <v>0</v>
      </c>
      <c r="L202" s="50">
        <f>'дод 3 '!M346+'дод 3 '!M43</f>
        <v>0</v>
      </c>
      <c r="M202" s="50">
        <f>'дод 3 '!N346+'дод 3 '!N43</f>
        <v>0</v>
      </c>
      <c r="N202" s="50">
        <f>'дод 3 '!O346+'дод 3 '!O43</f>
        <v>0</v>
      </c>
      <c r="O202" s="50">
        <f>'дод 3 '!P346+'дод 3 '!P43</f>
        <v>0</v>
      </c>
      <c r="P202" s="80"/>
    </row>
    <row r="203" spans="1:16" ht="21.75" customHeight="1" x14ac:dyDescent="0.25">
      <c r="A203" s="49" t="s">
        <v>271</v>
      </c>
      <c r="B203" s="49" t="s">
        <v>110</v>
      </c>
      <c r="C203" s="4" t="s">
        <v>507</v>
      </c>
      <c r="D203" s="50">
        <f>'дод 3 '!E347+'дод 3 '!E283+'дод 3 '!E44</f>
        <v>0</v>
      </c>
      <c r="E203" s="50">
        <f>'дод 3 '!F347+'дод 3 '!F283+'дод 3 '!F44</f>
        <v>0</v>
      </c>
      <c r="F203" s="50">
        <f>'дод 3 '!G347+'дод 3 '!G283+'дод 3 '!G44</f>
        <v>0</v>
      </c>
      <c r="G203" s="50">
        <f>'дод 3 '!H347+'дод 3 '!H283+'дод 3 '!H44</f>
        <v>0</v>
      </c>
      <c r="H203" s="50">
        <f>'дод 3 '!I347+'дод 3 '!I283+'дод 3 '!I44</f>
        <v>0</v>
      </c>
      <c r="I203" s="50">
        <f>'дод 3 '!J347+'дод 3 '!J283+'дод 3 '!J44</f>
        <v>11900000</v>
      </c>
      <c r="J203" s="50">
        <f>'дод 3 '!K347+'дод 3 '!K283+'дод 3 '!K44</f>
        <v>11900000</v>
      </c>
      <c r="K203" s="50">
        <f>'дод 3 '!L347+'дод 3 '!L283+'дод 3 '!L44</f>
        <v>0</v>
      </c>
      <c r="L203" s="50">
        <f>'дод 3 '!M347+'дод 3 '!M283+'дод 3 '!M44</f>
        <v>0</v>
      </c>
      <c r="M203" s="50">
        <f>'дод 3 '!N347+'дод 3 '!N283+'дод 3 '!N44</f>
        <v>0</v>
      </c>
      <c r="N203" s="50">
        <f>'дод 3 '!O347+'дод 3 '!O283+'дод 3 '!O44</f>
        <v>11900000</v>
      </c>
      <c r="O203" s="50">
        <f>'дод 3 '!P347+'дод 3 '!P283+'дод 3 '!P44</f>
        <v>11900000</v>
      </c>
      <c r="P203" s="80"/>
    </row>
    <row r="204" spans="1:16" ht="31.5" customHeight="1" x14ac:dyDescent="0.25">
      <c r="A204" s="49" t="s">
        <v>135</v>
      </c>
      <c r="B204" s="49" t="s">
        <v>110</v>
      </c>
      <c r="C204" s="65" t="s">
        <v>1</v>
      </c>
      <c r="D204" s="50">
        <f>'дод 3 '!E284+'дод 3 '!E348+'дод 3 '!E361+'дод 3 '!E393</f>
        <v>0</v>
      </c>
      <c r="E204" s="50">
        <f>'дод 3 '!F284+'дод 3 '!F348+'дод 3 '!F361+'дод 3 '!F393</f>
        <v>0</v>
      </c>
      <c r="F204" s="50">
        <f>'дод 3 '!G284+'дод 3 '!G348+'дод 3 '!G361+'дод 3 '!G393</f>
        <v>0</v>
      </c>
      <c r="G204" s="50">
        <f>'дод 3 '!H284+'дод 3 '!H348+'дод 3 '!H361+'дод 3 '!H393</f>
        <v>0</v>
      </c>
      <c r="H204" s="50">
        <f>'дод 3 '!I284+'дод 3 '!I348+'дод 3 '!I361+'дод 3 '!I393</f>
        <v>0</v>
      </c>
      <c r="I204" s="50">
        <f>'дод 3 '!J284+'дод 3 '!J348+'дод 3 '!J361+'дод 3 '!J393</f>
        <v>7807879</v>
      </c>
      <c r="J204" s="50">
        <f>'дод 3 '!K284+'дод 3 '!K348+'дод 3 '!K361+'дод 3 '!K393</f>
        <v>7807879</v>
      </c>
      <c r="K204" s="50">
        <f>'дод 3 '!L284+'дод 3 '!L348+'дод 3 '!L361+'дод 3 '!L393</f>
        <v>0</v>
      </c>
      <c r="L204" s="50">
        <f>'дод 3 '!M284+'дод 3 '!M348+'дод 3 '!M361+'дод 3 '!M393</f>
        <v>0</v>
      </c>
      <c r="M204" s="50">
        <f>'дод 3 '!N284+'дод 3 '!N348+'дод 3 '!N361+'дод 3 '!N393</f>
        <v>0</v>
      </c>
      <c r="N204" s="50">
        <f>'дод 3 '!O284+'дод 3 '!O348+'дод 3 '!O361+'дод 3 '!O393</f>
        <v>7807879</v>
      </c>
      <c r="O204" s="50">
        <f>'дод 3 '!P284+'дод 3 '!P348+'дод 3 '!P361+'дод 3 '!P393</f>
        <v>7807879</v>
      </c>
      <c r="P204" s="80"/>
    </row>
    <row r="205" spans="1:16" ht="35.25" hidden="1" customHeight="1" x14ac:dyDescent="0.25">
      <c r="A205" s="51" t="s">
        <v>437</v>
      </c>
      <c r="B205" s="51" t="s">
        <v>110</v>
      </c>
      <c r="C205" s="65" t="s">
        <v>438</v>
      </c>
      <c r="D205" s="50">
        <f>'дод 3 '!E362</f>
        <v>0</v>
      </c>
      <c r="E205" s="50">
        <f>'дод 3 '!F362</f>
        <v>0</v>
      </c>
      <c r="F205" s="50">
        <f>'дод 3 '!G362</f>
        <v>0</v>
      </c>
      <c r="G205" s="50">
        <f>'дод 3 '!H362</f>
        <v>0</v>
      </c>
      <c r="H205" s="50">
        <f>'дод 3 '!I362</f>
        <v>0</v>
      </c>
      <c r="I205" s="50">
        <f>'дод 3 '!J362</f>
        <v>0</v>
      </c>
      <c r="J205" s="50">
        <f>'дод 3 '!K362</f>
        <v>0</v>
      </c>
      <c r="K205" s="50">
        <f>'дод 3 '!L362</f>
        <v>0</v>
      </c>
      <c r="L205" s="50">
        <f>'дод 3 '!M362</f>
        <v>0</v>
      </c>
      <c r="M205" s="50">
        <f>'дод 3 '!N362</f>
        <v>0</v>
      </c>
      <c r="N205" s="50">
        <f>'дод 3 '!O362</f>
        <v>0</v>
      </c>
      <c r="O205" s="50">
        <f>'дод 3 '!P362</f>
        <v>0</v>
      </c>
      <c r="P205" s="80"/>
    </row>
    <row r="206" spans="1:16" ht="40.9" customHeight="1" x14ac:dyDescent="0.25">
      <c r="A206" s="49">
        <v>7361</v>
      </c>
      <c r="B206" s="49" t="s">
        <v>81</v>
      </c>
      <c r="C206" s="65" t="s">
        <v>366</v>
      </c>
      <c r="D206" s="50">
        <f>'дод 3 '!E285+'дод 3 '!E349+'дод 3 '!E181</f>
        <v>0</v>
      </c>
      <c r="E206" s="50">
        <f>'дод 3 '!F285+'дод 3 '!F349+'дод 3 '!F181</f>
        <v>0</v>
      </c>
      <c r="F206" s="50">
        <f>'дод 3 '!G285+'дод 3 '!G349+'дод 3 '!G181</f>
        <v>0</v>
      </c>
      <c r="G206" s="50">
        <f>'дод 3 '!H285+'дод 3 '!H349+'дод 3 '!H181</f>
        <v>0</v>
      </c>
      <c r="H206" s="50">
        <f>'дод 3 '!I285+'дод 3 '!I349+'дод 3 '!I181</f>
        <v>0</v>
      </c>
      <c r="I206" s="50">
        <f>'дод 3 '!J285+'дод 3 '!J349+'дод 3 '!J181</f>
        <v>0</v>
      </c>
      <c r="J206" s="50">
        <f>'дод 3 '!K285+'дод 3 '!K349+'дод 3 '!K181</f>
        <v>0</v>
      </c>
      <c r="K206" s="50">
        <f>'дод 3 '!L285+'дод 3 '!L349+'дод 3 '!L181</f>
        <v>0</v>
      </c>
      <c r="L206" s="50">
        <f>'дод 3 '!M285+'дод 3 '!M349+'дод 3 '!M181</f>
        <v>0</v>
      </c>
      <c r="M206" s="50">
        <f>'дод 3 '!N285+'дод 3 '!N349+'дод 3 '!N181</f>
        <v>0</v>
      </c>
      <c r="N206" s="50">
        <f>'дод 3 '!O285+'дод 3 '!O349+'дод 3 '!O181</f>
        <v>0</v>
      </c>
      <c r="O206" s="50">
        <f>'дод 3 '!P285+'дод 3 '!P349+'дод 3 '!P181</f>
        <v>0</v>
      </c>
      <c r="P206" s="80"/>
    </row>
    <row r="207" spans="1:16" s="56" customFormat="1" ht="46.5" hidden="1" customHeight="1" x14ac:dyDescent="0.25">
      <c r="A207" s="49">
        <v>7362</v>
      </c>
      <c r="B207" s="49" t="s">
        <v>81</v>
      </c>
      <c r="C207" s="65" t="s">
        <v>358</v>
      </c>
      <c r="D207" s="50">
        <f>'дод 3 '!E286</f>
        <v>0</v>
      </c>
      <c r="E207" s="50">
        <f>'дод 3 '!F286</f>
        <v>0</v>
      </c>
      <c r="F207" s="50">
        <f>'дод 3 '!G286</f>
        <v>0</v>
      </c>
      <c r="G207" s="50">
        <f>'дод 3 '!H286</f>
        <v>0</v>
      </c>
      <c r="H207" s="50">
        <f>'дод 3 '!I286</f>
        <v>0</v>
      </c>
      <c r="I207" s="50">
        <f>'дод 3 '!J286</f>
        <v>0</v>
      </c>
      <c r="J207" s="50">
        <f>'дод 3 '!K286</f>
        <v>0</v>
      </c>
      <c r="K207" s="50">
        <f>'дод 3 '!L286</f>
        <v>0</v>
      </c>
      <c r="L207" s="50">
        <f>'дод 3 '!M286</f>
        <v>0</v>
      </c>
      <c r="M207" s="50">
        <f>'дод 3 '!N286</f>
        <v>0</v>
      </c>
      <c r="N207" s="50">
        <f>'дод 3 '!O286</f>
        <v>0</v>
      </c>
      <c r="O207" s="50">
        <f>'дод 3 '!P286</f>
        <v>0</v>
      </c>
      <c r="P207" s="80"/>
    </row>
    <row r="208" spans="1:16" s="56" customFormat="1" ht="47.25" hidden="1" customHeight="1" x14ac:dyDescent="0.25">
      <c r="A208" s="49">
        <v>7363</v>
      </c>
      <c r="B208" s="1" t="s">
        <v>81</v>
      </c>
      <c r="C208" s="63" t="s">
        <v>571</v>
      </c>
      <c r="D208" s="50">
        <f>'дод 3 '!E287+'дод 3 '!E134+'дод 3 '!E182+'дод 3 '!E350</f>
        <v>0</v>
      </c>
      <c r="E208" s="50">
        <f>'дод 3 '!F287+'дод 3 '!F134+'дод 3 '!F182+'дод 3 '!F350</f>
        <v>0</v>
      </c>
      <c r="F208" s="50">
        <f>'дод 3 '!G287+'дод 3 '!G134+'дод 3 '!G182+'дод 3 '!G350</f>
        <v>0</v>
      </c>
      <c r="G208" s="50">
        <f>'дод 3 '!H287+'дод 3 '!H134+'дод 3 '!H182+'дод 3 '!H350</f>
        <v>0</v>
      </c>
      <c r="H208" s="50">
        <f>'дод 3 '!I287+'дод 3 '!I134+'дод 3 '!I182+'дод 3 '!I350</f>
        <v>0</v>
      </c>
      <c r="I208" s="50">
        <f>'дод 3 '!J287+'дод 3 '!J134+'дод 3 '!J182+'дод 3 '!J350</f>
        <v>0</v>
      </c>
      <c r="J208" s="50">
        <f>'дод 3 '!K287+'дод 3 '!K134+'дод 3 '!K182+'дод 3 '!K350</f>
        <v>0</v>
      </c>
      <c r="K208" s="50">
        <f>'дод 3 '!L287+'дод 3 '!L134+'дод 3 '!L182+'дод 3 '!L350</f>
        <v>0</v>
      </c>
      <c r="L208" s="50">
        <f>'дод 3 '!M287+'дод 3 '!M134+'дод 3 '!M182+'дод 3 '!M350</f>
        <v>0</v>
      </c>
      <c r="M208" s="50">
        <f>'дод 3 '!N287+'дод 3 '!N134+'дод 3 '!N182+'дод 3 '!N350</f>
        <v>0</v>
      </c>
      <c r="N208" s="50">
        <f>'дод 3 '!O287+'дод 3 '!O134+'дод 3 '!O182+'дод 3 '!O350</f>
        <v>0</v>
      </c>
      <c r="O208" s="50">
        <f>'дод 3 '!P287+'дод 3 '!P134+'дод 3 '!P182+'дод 3 '!P350</f>
        <v>0</v>
      </c>
      <c r="P208" s="80"/>
    </row>
    <row r="209" spans="1:16" s="56" customFormat="1" ht="47.25" hidden="1" customHeight="1" x14ac:dyDescent="0.25">
      <c r="A209" s="52"/>
      <c r="B209" s="66"/>
      <c r="C209" s="54" t="s">
        <v>598</v>
      </c>
      <c r="D209" s="55">
        <f>'дод 3 '!E135+'дод 3 '!E183+'дод 3 '!E288+'дод 3 '!E351</f>
        <v>0</v>
      </c>
      <c r="E209" s="55">
        <f>'дод 3 '!F135+'дод 3 '!F183+'дод 3 '!F288+'дод 3 '!F351</f>
        <v>0</v>
      </c>
      <c r="F209" s="55">
        <f>'дод 3 '!G135+'дод 3 '!G183+'дод 3 '!G288+'дод 3 '!G351</f>
        <v>0</v>
      </c>
      <c r="G209" s="55">
        <f>'дод 3 '!H135+'дод 3 '!H183+'дод 3 '!H288+'дод 3 '!H351</f>
        <v>0</v>
      </c>
      <c r="H209" s="55">
        <f>'дод 3 '!I135+'дод 3 '!I183+'дод 3 '!I288+'дод 3 '!I351</f>
        <v>0</v>
      </c>
      <c r="I209" s="55">
        <f>'дод 3 '!J135+'дод 3 '!J183+'дод 3 '!J288+'дод 3 '!J351</f>
        <v>0</v>
      </c>
      <c r="J209" s="55">
        <f>'дод 3 '!K135+'дод 3 '!K183+'дод 3 '!K288+'дод 3 '!K351</f>
        <v>0</v>
      </c>
      <c r="K209" s="55">
        <f>'дод 3 '!L135+'дод 3 '!L183+'дод 3 '!L288+'дод 3 '!L351</f>
        <v>0</v>
      </c>
      <c r="L209" s="55">
        <f>'дод 3 '!M135+'дод 3 '!M183+'дод 3 '!M288+'дод 3 '!M351</f>
        <v>0</v>
      </c>
      <c r="M209" s="55">
        <f>'дод 3 '!N135+'дод 3 '!N183+'дод 3 '!N288+'дод 3 '!N351</f>
        <v>0</v>
      </c>
      <c r="N209" s="55">
        <f>'дод 3 '!O135+'дод 3 '!O183+'дод 3 '!O288+'дод 3 '!O351</f>
        <v>0</v>
      </c>
      <c r="O209" s="55">
        <f>'дод 3 '!P135+'дод 3 '!P183+'дод 3 '!P288+'дод 3 '!P351</f>
        <v>0</v>
      </c>
      <c r="P209" s="80"/>
    </row>
    <row r="210" spans="1:16" ht="31.5" hidden="1" customHeight="1" x14ac:dyDescent="0.25">
      <c r="A210" s="49">
        <v>7368</v>
      </c>
      <c r="B210" s="49" t="s">
        <v>81</v>
      </c>
      <c r="C210" s="63" t="s">
        <v>535</v>
      </c>
      <c r="D210" s="50">
        <f>'дод 3 '!E289</f>
        <v>0</v>
      </c>
      <c r="E210" s="50">
        <f>'дод 3 '!F289</f>
        <v>0</v>
      </c>
      <c r="F210" s="50">
        <f>'дод 3 '!G289</f>
        <v>0</v>
      </c>
      <c r="G210" s="50">
        <f>'дод 3 '!H289</f>
        <v>0</v>
      </c>
      <c r="H210" s="50">
        <f>'дод 3 '!I289</f>
        <v>0</v>
      </c>
      <c r="I210" s="50">
        <f>'дод 3 '!J289</f>
        <v>0</v>
      </c>
      <c r="J210" s="50">
        <f>'дод 3 '!K289</f>
        <v>0</v>
      </c>
      <c r="K210" s="50">
        <f>'дод 3 '!L289</f>
        <v>0</v>
      </c>
      <c r="L210" s="50">
        <f>'дод 3 '!M289</f>
        <v>0</v>
      </c>
      <c r="M210" s="50">
        <f>'дод 3 '!N289</f>
        <v>0</v>
      </c>
      <c r="N210" s="50">
        <f>'дод 3 '!O289</f>
        <v>0</v>
      </c>
      <c r="O210" s="50">
        <f>'дод 3 '!P289</f>
        <v>0</v>
      </c>
      <c r="P210" s="80"/>
    </row>
    <row r="211" spans="1:16" s="56" customFormat="1" ht="15.75" hidden="1" customHeight="1" x14ac:dyDescent="0.25">
      <c r="A211" s="52"/>
      <c r="B211" s="66"/>
      <c r="C211" s="64" t="s">
        <v>387</v>
      </c>
      <c r="D211" s="55">
        <f>'дод 3 '!E290</f>
        <v>0</v>
      </c>
      <c r="E211" s="55">
        <f>'дод 3 '!F290</f>
        <v>0</v>
      </c>
      <c r="F211" s="55">
        <f>'дод 3 '!G290</f>
        <v>0</v>
      </c>
      <c r="G211" s="55">
        <f>'дод 3 '!H290</f>
        <v>0</v>
      </c>
      <c r="H211" s="55">
        <f>'дод 3 '!I290</f>
        <v>0</v>
      </c>
      <c r="I211" s="55">
        <f>'дод 3 '!J290</f>
        <v>0</v>
      </c>
      <c r="J211" s="55">
        <f>'дод 3 '!K290</f>
        <v>0</v>
      </c>
      <c r="K211" s="55">
        <f>'дод 3 '!L290</f>
        <v>0</v>
      </c>
      <c r="L211" s="55">
        <f>'дод 3 '!M290</f>
        <v>0</v>
      </c>
      <c r="M211" s="55">
        <f>'дод 3 '!N290</f>
        <v>0</v>
      </c>
      <c r="N211" s="55">
        <f>'дод 3 '!O290</f>
        <v>0</v>
      </c>
      <c r="O211" s="55">
        <f>'дод 3 '!P290</f>
        <v>0</v>
      </c>
      <c r="P211" s="80"/>
    </row>
    <row r="212" spans="1:16" s="56" customFormat="1" ht="31.5" customHeight="1" x14ac:dyDescent="0.25">
      <c r="A212" s="49">
        <v>7370</v>
      </c>
      <c r="B212" s="1" t="s">
        <v>81</v>
      </c>
      <c r="C212" s="63" t="s">
        <v>415</v>
      </c>
      <c r="D212" s="50">
        <f>'дод 3 '!E352+'дод 3 '!E363+'дод 3 '!E394</f>
        <v>45000</v>
      </c>
      <c r="E212" s="50">
        <f>'дод 3 '!F352+'дод 3 '!F363+'дод 3 '!F394</f>
        <v>45000</v>
      </c>
      <c r="F212" s="50">
        <f>'дод 3 '!G352+'дод 3 '!G363+'дод 3 '!G394</f>
        <v>0</v>
      </c>
      <c r="G212" s="50">
        <f>'дод 3 '!H352+'дод 3 '!H363+'дод 3 '!H394</f>
        <v>0</v>
      </c>
      <c r="H212" s="50">
        <f>'дод 3 '!I352+'дод 3 '!I363+'дод 3 '!I394</f>
        <v>0</v>
      </c>
      <c r="I212" s="50">
        <f>'дод 3 '!J352+'дод 3 '!J363+'дод 3 '!J394</f>
        <v>150000</v>
      </c>
      <c r="J212" s="50">
        <f>'дод 3 '!K352+'дод 3 '!K363+'дод 3 '!K394</f>
        <v>150000</v>
      </c>
      <c r="K212" s="50">
        <f>'дод 3 '!L352+'дод 3 '!L363+'дод 3 '!L394</f>
        <v>0</v>
      </c>
      <c r="L212" s="50">
        <f>'дод 3 '!M352+'дод 3 '!M363+'дод 3 '!M394</f>
        <v>0</v>
      </c>
      <c r="M212" s="50">
        <f>'дод 3 '!N352+'дод 3 '!N363+'дод 3 '!N394</f>
        <v>0</v>
      </c>
      <c r="N212" s="50">
        <f>'дод 3 '!O352+'дод 3 '!O363+'дод 3 '!O394</f>
        <v>150000</v>
      </c>
      <c r="O212" s="50">
        <f>'дод 3 '!P352+'дод 3 '!P363+'дод 3 '!P394</f>
        <v>195000</v>
      </c>
      <c r="P212" s="80"/>
    </row>
    <row r="213" spans="1:16" s="56" customFormat="1" ht="47.25" x14ac:dyDescent="0.25">
      <c r="A213" s="49">
        <v>7375</v>
      </c>
      <c r="B213" s="1" t="s">
        <v>81</v>
      </c>
      <c r="C213" s="63" t="s">
        <v>709</v>
      </c>
      <c r="D213" s="50">
        <f>'дод 3 '!E296</f>
        <v>7000000</v>
      </c>
      <c r="E213" s="50">
        <f>'дод 3 '!F296</f>
        <v>7000000</v>
      </c>
      <c r="F213" s="50">
        <f>'дод 3 '!G296</f>
        <v>0</v>
      </c>
      <c r="G213" s="50">
        <f>'дод 3 '!H296</f>
        <v>0</v>
      </c>
      <c r="H213" s="50">
        <f>'дод 3 '!I296</f>
        <v>0</v>
      </c>
      <c r="I213" s="50">
        <f>'дод 3 '!J296</f>
        <v>1500000</v>
      </c>
      <c r="J213" s="50">
        <f>'дод 3 '!K296</f>
        <v>1500000</v>
      </c>
      <c r="K213" s="50">
        <f>'дод 3 '!L296</f>
        <v>0</v>
      </c>
      <c r="L213" s="50">
        <f>'дод 3 '!M296</f>
        <v>0</v>
      </c>
      <c r="M213" s="50">
        <f>'дод 3 '!N296</f>
        <v>0</v>
      </c>
      <c r="N213" s="50">
        <f>'дод 3 '!O296</f>
        <v>1500000</v>
      </c>
      <c r="O213" s="50">
        <f>'дод 3 '!P296</f>
        <v>8500000</v>
      </c>
      <c r="P213" s="80"/>
    </row>
    <row r="214" spans="1:16" s="56" customFormat="1" ht="45.75" hidden="1" customHeight="1" x14ac:dyDescent="0.25">
      <c r="A214" s="49">
        <v>7383</v>
      </c>
      <c r="B214" s="1" t="s">
        <v>81</v>
      </c>
      <c r="C214" s="63" t="s">
        <v>681</v>
      </c>
      <c r="D214" s="50">
        <f>'дод 3 '!E297</f>
        <v>0</v>
      </c>
      <c r="E214" s="50">
        <f>'дод 3 '!F297</f>
        <v>0</v>
      </c>
      <c r="F214" s="50">
        <f>'дод 3 '!G297</f>
        <v>0</v>
      </c>
      <c r="G214" s="50">
        <f>'дод 3 '!H297</f>
        <v>0</v>
      </c>
      <c r="H214" s="50">
        <f>'дод 3 '!I297</f>
        <v>0</v>
      </c>
      <c r="I214" s="50">
        <f>'дод 3 '!J297</f>
        <v>0</v>
      </c>
      <c r="J214" s="50">
        <f>'дод 3 '!K297</f>
        <v>0</v>
      </c>
      <c r="K214" s="50">
        <f>'дод 3 '!L297</f>
        <v>0</v>
      </c>
      <c r="L214" s="50">
        <f>'дод 3 '!M297</f>
        <v>0</v>
      </c>
      <c r="M214" s="50">
        <f>'дод 3 '!N297</f>
        <v>0</v>
      </c>
      <c r="N214" s="50">
        <f>'дод 3 '!O297</f>
        <v>0</v>
      </c>
      <c r="O214" s="50">
        <f>'дод 3 '!P297</f>
        <v>0</v>
      </c>
      <c r="P214" s="80"/>
    </row>
    <row r="215" spans="1:16" s="56" customFormat="1" ht="48" hidden="1" customHeight="1" x14ac:dyDescent="0.25">
      <c r="A215" s="49"/>
      <c r="B215" s="1"/>
      <c r="C215" s="64" t="s">
        <v>682</v>
      </c>
      <c r="D215" s="55">
        <f>'дод 3 '!E298</f>
        <v>0</v>
      </c>
      <c r="E215" s="55">
        <f>'дод 3 '!F298</f>
        <v>0</v>
      </c>
      <c r="F215" s="55">
        <f>'дод 3 '!G298</f>
        <v>0</v>
      </c>
      <c r="G215" s="55">
        <f>'дод 3 '!H298</f>
        <v>0</v>
      </c>
      <c r="H215" s="55">
        <f>'дод 3 '!I298</f>
        <v>0</v>
      </c>
      <c r="I215" s="55">
        <f>'дод 3 '!J298</f>
        <v>0</v>
      </c>
      <c r="J215" s="55">
        <f>'дод 3 '!K298</f>
        <v>0</v>
      </c>
      <c r="K215" s="55">
        <f>'дод 3 '!L298</f>
        <v>0</v>
      </c>
      <c r="L215" s="55">
        <f>'дод 3 '!M298</f>
        <v>0</v>
      </c>
      <c r="M215" s="55">
        <f>'дод 3 '!N298</f>
        <v>0</v>
      </c>
      <c r="N215" s="55">
        <f>'дод 3 '!O298</f>
        <v>0</v>
      </c>
      <c r="O215" s="55">
        <f>'дод 3 '!P298</f>
        <v>0</v>
      </c>
      <c r="P215" s="80"/>
    </row>
    <row r="216" spans="1:16" s="56" customFormat="1" ht="75.400000000000006" customHeight="1" x14ac:dyDescent="0.25">
      <c r="A216" s="49">
        <v>7384</v>
      </c>
      <c r="B216" s="1" t="s">
        <v>81</v>
      </c>
      <c r="C216" s="65" t="s">
        <v>726</v>
      </c>
      <c r="D216" s="55">
        <f>'дод 3 '!E302+'дод 3 '!E136</f>
        <v>0</v>
      </c>
      <c r="E216" s="55">
        <f>'дод 3 '!F302+'дод 3 '!F136</f>
        <v>0</v>
      </c>
      <c r="F216" s="55">
        <f>'дод 3 '!G302+'дод 3 '!G136</f>
        <v>0</v>
      </c>
      <c r="G216" s="55">
        <f>'дод 3 '!H302+'дод 3 '!H136</f>
        <v>0</v>
      </c>
      <c r="H216" s="55">
        <f>'дод 3 '!I302+'дод 3 '!I136</f>
        <v>0</v>
      </c>
      <c r="I216" s="55">
        <f>'дод 3 '!J302+'дод 3 '!J136</f>
        <v>67150626.659999996</v>
      </c>
      <c r="J216" s="55">
        <f>'дод 3 '!K302+'дод 3 '!K136</f>
        <v>0</v>
      </c>
      <c r="K216" s="55">
        <f>'дод 3 '!L302+'дод 3 '!L136</f>
        <v>0</v>
      </c>
      <c r="L216" s="55">
        <f>'дод 3 '!M302+'дод 3 '!M136</f>
        <v>0</v>
      </c>
      <c r="M216" s="55">
        <f>'дод 3 '!N302+'дод 3 '!N136</f>
        <v>0</v>
      </c>
      <c r="N216" s="55">
        <f>'дод 3 '!O302+'дод 3 '!O136</f>
        <v>67150626.659999996</v>
      </c>
      <c r="O216" s="55">
        <f>'дод 3 '!P302+'дод 3 '!P136</f>
        <v>67150626.659999996</v>
      </c>
      <c r="P216" s="80"/>
    </row>
    <row r="217" spans="1:16" s="56" customFormat="1" ht="102.75" customHeight="1" x14ac:dyDescent="0.25">
      <c r="A217" s="49"/>
      <c r="B217" s="1"/>
      <c r="C217" s="73" t="s">
        <v>730</v>
      </c>
      <c r="D217" s="55">
        <f>'дод 3 '!E303+'дод 3 '!E137</f>
        <v>0</v>
      </c>
      <c r="E217" s="55">
        <f>'дод 3 '!F303+'дод 3 '!F137</f>
        <v>0</v>
      </c>
      <c r="F217" s="55">
        <f>'дод 3 '!G303+'дод 3 '!G137</f>
        <v>0</v>
      </c>
      <c r="G217" s="55">
        <f>'дод 3 '!H303+'дод 3 '!H137</f>
        <v>0</v>
      </c>
      <c r="H217" s="55">
        <f>'дод 3 '!I303+'дод 3 '!I137</f>
        <v>0</v>
      </c>
      <c r="I217" s="55">
        <f>'дод 3 '!J303+'дод 3 '!J137</f>
        <v>67150626.659999996</v>
      </c>
      <c r="J217" s="55">
        <f>'дод 3 '!K303+'дод 3 '!K137</f>
        <v>0</v>
      </c>
      <c r="K217" s="55">
        <f>'дод 3 '!L303+'дод 3 '!L137</f>
        <v>0</v>
      </c>
      <c r="L217" s="55">
        <f>'дод 3 '!M303+'дод 3 '!M137</f>
        <v>0</v>
      </c>
      <c r="M217" s="55">
        <f>'дод 3 '!N303+'дод 3 '!N137</f>
        <v>0</v>
      </c>
      <c r="N217" s="55">
        <f>'дод 3 '!O303+'дод 3 '!O137</f>
        <v>67150626.659999996</v>
      </c>
      <c r="O217" s="55">
        <f>'дод 3 '!P303+'дод 3 '!P137</f>
        <v>67150626.659999996</v>
      </c>
      <c r="P217" s="80"/>
    </row>
    <row r="218" spans="1:16" s="43" customFormat="1" ht="34.5" customHeight="1" x14ac:dyDescent="0.25">
      <c r="A218" s="57" t="s">
        <v>84</v>
      </c>
      <c r="B218" s="74"/>
      <c r="C218" s="75" t="s">
        <v>559</v>
      </c>
      <c r="D218" s="48">
        <f>D222+D223+D224+D225+D227+D229+D228</f>
        <v>91381000</v>
      </c>
      <c r="E218" s="48">
        <f t="shared" ref="E218:N218" si="42">E222+E223+E224+E225+E227+E229+E228</f>
        <v>321000</v>
      </c>
      <c r="F218" s="48">
        <f t="shared" si="42"/>
        <v>0</v>
      </c>
      <c r="G218" s="48">
        <f t="shared" si="42"/>
        <v>0</v>
      </c>
      <c r="H218" s="48">
        <f t="shared" si="42"/>
        <v>91060000</v>
      </c>
      <c r="I218" s="48">
        <f>I222+I223+I224+I225+I227+I229+I228</f>
        <v>0</v>
      </c>
      <c r="J218" s="48">
        <f t="shared" si="42"/>
        <v>0</v>
      </c>
      <c r="K218" s="48">
        <f t="shared" si="42"/>
        <v>0</v>
      </c>
      <c r="L218" s="48">
        <f t="shared" si="42"/>
        <v>0</v>
      </c>
      <c r="M218" s="48">
        <f t="shared" si="42"/>
        <v>0</v>
      </c>
      <c r="N218" s="48">
        <f t="shared" si="42"/>
        <v>0</v>
      </c>
      <c r="O218" s="48">
        <f>O222+O223+O224+O225+O227+O229+O228</f>
        <v>91381000</v>
      </c>
      <c r="P218" s="80"/>
    </row>
    <row r="219" spans="1:16" s="62" customFormat="1" ht="97.5" hidden="1" customHeight="1" x14ac:dyDescent="0.25">
      <c r="A219" s="59"/>
      <c r="B219" s="76"/>
      <c r="C219" s="60" t="s">
        <v>389</v>
      </c>
      <c r="D219" s="61">
        <f t="shared" ref="D219:O219" si="43">D230</f>
        <v>0</v>
      </c>
      <c r="E219" s="61">
        <f t="shared" si="43"/>
        <v>0</v>
      </c>
      <c r="F219" s="61">
        <f t="shared" si="43"/>
        <v>0</v>
      </c>
      <c r="G219" s="61">
        <f t="shared" si="43"/>
        <v>0</v>
      </c>
      <c r="H219" s="61">
        <f t="shared" si="43"/>
        <v>0</v>
      </c>
      <c r="I219" s="61">
        <f>I230</f>
        <v>0</v>
      </c>
      <c r="J219" s="61">
        <f t="shared" si="43"/>
        <v>0</v>
      </c>
      <c r="K219" s="61">
        <f t="shared" si="43"/>
        <v>0</v>
      </c>
      <c r="L219" s="61">
        <f t="shared" si="43"/>
        <v>0</v>
      </c>
      <c r="M219" s="61">
        <f t="shared" si="43"/>
        <v>0</v>
      </c>
      <c r="N219" s="61">
        <f t="shared" si="43"/>
        <v>0</v>
      </c>
      <c r="O219" s="61">
        <f t="shared" si="43"/>
        <v>0</v>
      </c>
      <c r="P219" s="80"/>
    </row>
    <row r="220" spans="1:16" s="62" customFormat="1" ht="65.25" hidden="1" customHeight="1" x14ac:dyDescent="0.25">
      <c r="A220" s="59"/>
      <c r="B220" s="76"/>
      <c r="C220" s="60" t="s">
        <v>426</v>
      </c>
      <c r="D220" s="61" t="e">
        <f>#REF!</f>
        <v>#REF!</v>
      </c>
      <c r="E220" s="61" t="e">
        <f>#REF!</f>
        <v>#REF!</v>
      </c>
      <c r="F220" s="61" t="e">
        <f>#REF!</f>
        <v>#REF!</v>
      </c>
      <c r="G220" s="61" t="e">
        <f>#REF!</f>
        <v>#REF!</v>
      </c>
      <c r="H220" s="61" t="e">
        <f>#REF!</f>
        <v>#REF!</v>
      </c>
      <c r="I220" s="61" t="e">
        <f>#REF!</f>
        <v>#REF!</v>
      </c>
      <c r="J220" s="61" t="e">
        <f>#REF!</f>
        <v>#REF!</v>
      </c>
      <c r="K220" s="61" t="e">
        <f>#REF!</f>
        <v>#REF!</v>
      </c>
      <c r="L220" s="61" t="e">
        <f>#REF!</f>
        <v>#REF!</v>
      </c>
      <c r="M220" s="61" t="e">
        <f>#REF!</f>
        <v>#REF!</v>
      </c>
      <c r="N220" s="61" t="e">
        <f>#REF!</f>
        <v>#REF!</v>
      </c>
      <c r="O220" s="61" t="e">
        <f>#REF!</f>
        <v>#REF!</v>
      </c>
      <c r="P220" s="80"/>
    </row>
    <row r="221" spans="1:16" s="62" customFormat="1" ht="15.75" hidden="1" customHeight="1" x14ac:dyDescent="0.25">
      <c r="A221" s="59"/>
      <c r="B221" s="76"/>
      <c r="C221" s="9" t="s">
        <v>387</v>
      </c>
      <c r="D221" s="61" t="e">
        <f>#REF!</f>
        <v>#REF!</v>
      </c>
      <c r="E221" s="61" t="e">
        <f>#REF!</f>
        <v>#REF!</v>
      </c>
      <c r="F221" s="61" t="e">
        <f>#REF!</f>
        <v>#REF!</v>
      </c>
      <c r="G221" s="61" t="e">
        <f>#REF!</f>
        <v>#REF!</v>
      </c>
      <c r="H221" s="61" t="e">
        <f>#REF!</f>
        <v>#REF!</v>
      </c>
      <c r="I221" s="61" t="e">
        <f>#REF!</f>
        <v>#REF!</v>
      </c>
      <c r="J221" s="61" t="e">
        <f>#REF!</f>
        <v>#REF!</v>
      </c>
      <c r="K221" s="61" t="e">
        <f>#REF!</f>
        <v>#REF!</v>
      </c>
      <c r="L221" s="61" t="e">
        <f>#REF!</f>
        <v>#REF!</v>
      </c>
      <c r="M221" s="61" t="e">
        <f>#REF!</f>
        <v>#REF!</v>
      </c>
      <c r="N221" s="61" t="e">
        <f>#REF!</f>
        <v>#REF!</v>
      </c>
      <c r="O221" s="61" t="e">
        <f>#REF!</f>
        <v>#REF!</v>
      </c>
      <c r="P221" s="80"/>
    </row>
    <row r="222" spans="1:16" s="56" customFormat="1" ht="18.75" customHeight="1" x14ac:dyDescent="0.25">
      <c r="A222" s="49" t="s">
        <v>3</v>
      </c>
      <c r="B222" s="49" t="s">
        <v>83</v>
      </c>
      <c r="C222" s="65" t="s">
        <v>35</v>
      </c>
      <c r="D222" s="50">
        <f>'дод 3 '!E45</f>
        <v>26100000</v>
      </c>
      <c r="E222" s="50">
        <f>'дод 3 '!F45</f>
        <v>0</v>
      </c>
      <c r="F222" s="50">
        <f>'дод 3 '!G45</f>
        <v>0</v>
      </c>
      <c r="G222" s="50">
        <f>'дод 3 '!H45</f>
        <v>0</v>
      </c>
      <c r="H222" s="50">
        <f>'дод 3 '!I45</f>
        <v>26100000</v>
      </c>
      <c r="I222" s="50">
        <f>'дод 3 '!J45</f>
        <v>0</v>
      </c>
      <c r="J222" s="50">
        <f>'дод 3 '!K45</f>
        <v>0</v>
      </c>
      <c r="K222" s="50">
        <f>'дод 3 '!L45</f>
        <v>0</v>
      </c>
      <c r="L222" s="50">
        <f>'дод 3 '!M45</f>
        <v>0</v>
      </c>
      <c r="M222" s="50">
        <f>'дод 3 '!N45</f>
        <v>0</v>
      </c>
      <c r="N222" s="50">
        <f>'дод 3 '!O45</f>
        <v>0</v>
      </c>
      <c r="O222" s="50">
        <f>'дод 3 '!P45</f>
        <v>26100000</v>
      </c>
      <c r="P222" s="80"/>
    </row>
    <row r="223" spans="1:16" s="56" customFormat="1" ht="20.25" hidden="1" customHeight="1" x14ac:dyDescent="0.25">
      <c r="A223" s="49">
        <v>7413</v>
      </c>
      <c r="B223" s="49" t="s">
        <v>83</v>
      </c>
      <c r="C223" s="65" t="s">
        <v>369</v>
      </c>
      <c r="D223" s="50">
        <f>'дод 3 '!E46</f>
        <v>0</v>
      </c>
      <c r="E223" s="50">
        <f>'дод 3 '!F46</f>
        <v>0</v>
      </c>
      <c r="F223" s="50">
        <f>'дод 3 '!G46</f>
        <v>0</v>
      </c>
      <c r="G223" s="50">
        <f>'дод 3 '!H46</f>
        <v>0</v>
      </c>
      <c r="H223" s="50">
        <f>'дод 3 '!I46</f>
        <v>0</v>
      </c>
      <c r="I223" s="50">
        <f>'дод 3 '!J46</f>
        <v>0</v>
      </c>
      <c r="J223" s="50">
        <f>'дод 3 '!K46</f>
        <v>0</v>
      </c>
      <c r="K223" s="50">
        <f>'дод 3 '!L46</f>
        <v>0</v>
      </c>
      <c r="L223" s="50">
        <f>'дод 3 '!M46</f>
        <v>0</v>
      </c>
      <c r="M223" s="50">
        <f>'дод 3 '!N46</f>
        <v>0</v>
      </c>
      <c r="N223" s="50">
        <f>'дод 3 '!O46</f>
        <v>0</v>
      </c>
      <c r="O223" s="50">
        <f>'дод 3 '!P46</f>
        <v>0</v>
      </c>
      <c r="P223" s="80"/>
    </row>
    <row r="224" spans="1:16" s="56" customFormat="1" ht="36" customHeight="1" x14ac:dyDescent="0.25">
      <c r="A224" s="3">
        <v>7422</v>
      </c>
      <c r="B224" s="1" t="s">
        <v>401</v>
      </c>
      <c r="C224" s="90" t="s">
        <v>523</v>
      </c>
      <c r="D224" s="50">
        <f>'дод 3 '!E47</f>
        <v>64960000</v>
      </c>
      <c r="E224" s="50">
        <f>'дод 3 '!F47</f>
        <v>0</v>
      </c>
      <c r="F224" s="50">
        <f>'дод 3 '!G47</f>
        <v>0</v>
      </c>
      <c r="G224" s="50">
        <f>'дод 3 '!H47</f>
        <v>0</v>
      </c>
      <c r="H224" s="50">
        <f>'дод 3 '!I47</f>
        <v>64960000</v>
      </c>
      <c r="I224" s="50">
        <f>'дод 3 '!J47</f>
        <v>0</v>
      </c>
      <c r="J224" s="50">
        <f>'дод 3 '!K47</f>
        <v>0</v>
      </c>
      <c r="K224" s="50">
        <f>'дод 3 '!L47</f>
        <v>0</v>
      </c>
      <c r="L224" s="50">
        <f>'дод 3 '!M47</f>
        <v>0</v>
      </c>
      <c r="M224" s="50">
        <f>'дод 3 '!N47</f>
        <v>0</v>
      </c>
      <c r="N224" s="50">
        <f>'дод 3 '!O47</f>
        <v>0</v>
      </c>
      <c r="O224" s="50">
        <f>'дод 3 '!P47</f>
        <v>64960000</v>
      </c>
      <c r="P224" s="80"/>
    </row>
    <row r="225" spans="1:16" s="56" customFormat="1" ht="24" hidden="1" customHeight="1" x14ac:dyDescent="0.25">
      <c r="A225" s="49">
        <v>7426</v>
      </c>
      <c r="B225" s="51" t="s">
        <v>401</v>
      </c>
      <c r="C225" s="65" t="s">
        <v>370</v>
      </c>
      <c r="D225" s="50">
        <f>'дод 3 '!E48</f>
        <v>0</v>
      </c>
      <c r="E225" s="50">
        <f>'дод 3 '!F48</f>
        <v>0</v>
      </c>
      <c r="F225" s="50">
        <f>'дод 3 '!G48</f>
        <v>0</v>
      </c>
      <c r="G225" s="50">
        <f>'дод 3 '!H48</f>
        <v>0</v>
      </c>
      <c r="H225" s="50">
        <f>'дод 3 '!I48</f>
        <v>0</v>
      </c>
      <c r="I225" s="50">
        <f>'дод 3 '!J48</f>
        <v>0</v>
      </c>
      <c r="J225" s="50">
        <f>'дод 3 '!K48</f>
        <v>0</v>
      </c>
      <c r="K225" s="50">
        <f>'дод 3 '!L48</f>
        <v>0</v>
      </c>
      <c r="L225" s="50">
        <f>'дод 3 '!M48</f>
        <v>0</v>
      </c>
      <c r="M225" s="50">
        <f>'дод 3 '!N48</f>
        <v>0</v>
      </c>
      <c r="N225" s="50">
        <f>'дод 3 '!O48</f>
        <v>0</v>
      </c>
      <c r="O225" s="50">
        <f>'дод 3 '!P48</f>
        <v>0</v>
      </c>
      <c r="P225" s="80"/>
    </row>
    <row r="226" spans="1:16" s="56" customFormat="1" ht="63" hidden="1" customHeight="1" x14ac:dyDescent="0.25">
      <c r="A226" s="52"/>
      <c r="B226" s="52"/>
      <c r="C226" s="54" t="s">
        <v>426</v>
      </c>
      <c r="D226" s="55">
        <f>'дод 3 '!E292</f>
        <v>0</v>
      </c>
      <c r="E226" s="55">
        <f>'дод 3 '!F292</f>
        <v>0</v>
      </c>
      <c r="F226" s="55">
        <f>'дод 3 '!G292</f>
        <v>0</v>
      </c>
      <c r="G226" s="55">
        <f>'дод 3 '!H292</f>
        <v>0</v>
      </c>
      <c r="H226" s="55">
        <f>'дод 3 '!I292</f>
        <v>0</v>
      </c>
      <c r="I226" s="55">
        <f>'дод 3 '!J292</f>
        <v>0</v>
      </c>
      <c r="J226" s="55">
        <f>'дод 3 '!K292</f>
        <v>0</v>
      </c>
      <c r="K226" s="55">
        <f>'дод 3 '!L292</f>
        <v>0</v>
      </c>
      <c r="L226" s="55">
        <f>'дод 3 '!M292</f>
        <v>0</v>
      </c>
      <c r="M226" s="55">
        <f>'дод 3 '!N292</f>
        <v>0</v>
      </c>
      <c r="N226" s="55">
        <f>'дод 3 '!O292</f>
        <v>0</v>
      </c>
      <c r="O226" s="55">
        <f>'дод 3 '!P292</f>
        <v>0</v>
      </c>
      <c r="P226" s="80"/>
    </row>
    <row r="227" spans="1:16" s="56" customFormat="1" ht="18" customHeight="1" x14ac:dyDescent="0.25">
      <c r="A227" s="51" t="s">
        <v>433</v>
      </c>
      <c r="B227" s="51" t="s">
        <v>392</v>
      </c>
      <c r="C227" s="65" t="s">
        <v>439</v>
      </c>
      <c r="D227" s="50">
        <f>'дод 3 '!E49</f>
        <v>321000</v>
      </c>
      <c r="E227" s="50">
        <f>'дод 3 '!F49</f>
        <v>321000</v>
      </c>
      <c r="F227" s="50">
        <f>'дод 3 '!G49</f>
        <v>0</v>
      </c>
      <c r="G227" s="50">
        <f>'дод 3 '!H49</f>
        <v>0</v>
      </c>
      <c r="H227" s="50">
        <f>'дод 3 '!I49</f>
        <v>0</v>
      </c>
      <c r="I227" s="50">
        <f>'дод 3 '!J49</f>
        <v>0</v>
      </c>
      <c r="J227" s="50">
        <f>'дод 3 '!K49</f>
        <v>0</v>
      </c>
      <c r="K227" s="50">
        <f>'дод 3 '!L49</f>
        <v>0</v>
      </c>
      <c r="L227" s="50">
        <f>'дод 3 '!M49</f>
        <v>0</v>
      </c>
      <c r="M227" s="50">
        <f>'дод 3 '!N49</f>
        <v>0</v>
      </c>
      <c r="N227" s="50">
        <f>'дод 3 '!O49</f>
        <v>0</v>
      </c>
      <c r="O227" s="50">
        <f>'дод 3 '!P49</f>
        <v>321000</v>
      </c>
      <c r="P227" s="80"/>
    </row>
    <row r="228" spans="1:16" s="56" customFormat="1" ht="39" hidden="1" customHeight="1" x14ac:dyDescent="0.25">
      <c r="A228" s="51" t="s">
        <v>703</v>
      </c>
      <c r="B228" s="51" t="s">
        <v>392</v>
      </c>
      <c r="C228" s="63" t="s">
        <v>704</v>
      </c>
      <c r="D228" s="50">
        <f>'дод 3 '!E299</f>
        <v>0</v>
      </c>
      <c r="E228" s="50">
        <f>'дод 3 '!F299</f>
        <v>0</v>
      </c>
      <c r="F228" s="50">
        <f>'дод 3 '!G299</f>
        <v>0</v>
      </c>
      <c r="G228" s="50">
        <f>'дод 3 '!H299</f>
        <v>0</v>
      </c>
      <c r="H228" s="50">
        <f>'дод 3 '!I299</f>
        <v>0</v>
      </c>
      <c r="I228" s="50">
        <f>'дод 3 '!J299</f>
        <v>0</v>
      </c>
      <c r="J228" s="50">
        <f>'дод 3 '!K299</f>
        <v>0</v>
      </c>
      <c r="K228" s="50">
        <f>'дод 3 '!L299</f>
        <v>0</v>
      </c>
      <c r="L228" s="50">
        <f>'дод 3 '!M299</f>
        <v>0</v>
      </c>
      <c r="M228" s="50">
        <f>'дод 3 '!N299</f>
        <v>0</v>
      </c>
      <c r="N228" s="50">
        <f>'дод 3 '!O299</f>
        <v>0</v>
      </c>
      <c r="O228" s="50">
        <f>'дод 3 '!P299</f>
        <v>0</v>
      </c>
      <c r="P228" s="80"/>
    </row>
    <row r="229" spans="1:16" s="56" customFormat="1" ht="54.75" hidden="1" customHeight="1" x14ac:dyDescent="0.25">
      <c r="A229" s="51" t="s">
        <v>503</v>
      </c>
      <c r="B229" s="51" t="s">
        <v>392</v>
      </c>
      <c r="C229" s="90" t="s">
        <v>391</v>
      </c>
      <c r="D229" s="50">
        <f>'дод 3 '!E300</f>
        <v>0</v>
      </c>
      <c r="E229" s="50">
        <f>'дод 3 '!F300</f>
        <v>0</v>
      </c>
      <c r="F229" s="50">
        <f>'дод 3 '!G300</f>
        <v>0</v>
      </c>
      <c r="G229" s="50">
        <f>'дод 3 '!H300</f>
        <v>0</v>
      </c>
      <c r="H229" s="50">
        <f>'дод 3 '!I300</f>
        <v>0</v>
      </c>
      <c r="I229" s="50">
        <f>'дод 3 '!J300</f>
        <v>0</v>
      </c>
      <c r="J229" s="50">
        <f>'дод 3 '!K300</f>
        <v>0</v>
      </c>
      <c r="K229" s="50">
        <f>'дод 3 '!L300</f>
        <v>0</v>
      </c>
      <c r="L229" s="50">
        <f>'дод 3 '!M300</f>
        <v>0</v>
      </c>
      <c r="M229" s="50">
        <f>'дод 3 '!N300</f>
        <v>0</v>
      </c>
      <c r="N229" s="50">
        <f>'дод 3 '!O300</f>
        <v>0</v>
      </c>
      <c r="O229" s="50">
        <f>'дод 3 '!P300</f>
        <v>0</v>
      </c>
      <c r="P229" s="80"/>
    </row>
    <row r="230" spans="1:16" s="56" customFormat="1" ht="104.25" hidden="1" customHeight="1" x14ac:dyDescent="0.25">
      <c r="A230" s="52"/>
      <c r="B230" s="52"/>
      <c r="C230" s="54" t="s">
        <v>389</v>
      </c>
      <c r="D230" s="55">
        <f>'дод 3 '!E301</f>
        <v>0</v>
      </c>
      <c r="E230" s="55">
        <f>'дод 3 '!F301</f>
        <v>0</v>
      </c>
      <c r="F230" s="55">
        <f>'дод 3 '!G301</f>
        <v>0</v>
      </c>
      <c r="G230" s="55">
        <f>'дод 3 '!H301</f>
        <v>0</v>
      </c>
      <c r="H230" s="55">
        <f>'дод 3 '!I301</f>
        <v>0</v>
      </c>
      <c r="I230" s="55">
        <f>'дод 3 '!J301</f>
        <v>0</v>
      </c>
      <c r="J230" s="55">
        <f>'дод 3 '!K301</f>
        <v>0</v>
      </c>
      <c r="K230" s="55">
        <f>'дод 3 '!L301</f>
        <v>0</v>
      </c>
      <c r="L230" s="55">
        <f>'дод 3 '!M301</f>
        <v>0</v>
      </c>
      <c r="M230" s="55">
        <f>'дод 3 '!N301</f>
        <v>0</v>
      </c>
      <c r="N230" s="55">
        <f>'дод 3 '!O301</f>
        <v>0</v>
      </c>
      <c r="O230" s="55">
        <f>'дод 3 '!P301</f>
        <v>0</v>
      </c>
      <c r="P230" s="80"/>
    </row>
    <row r="231" spans="1:16" s="43" customFormat="1" ht="18.75" customHeight="1" x14ac:dyDescent="0.25">
      <c r="A231" s="58" t="s">
        <v>234</v>
      </c>
      <c r="B231" s="74"/>
      <c r="C231" s="75" t="s">
        <v>235</v>
      </c>
      <c r="D231" s="48">
        <f>D232</f>
        <v>5323200</v>
      </c>
      <c r="E231" s="48">
        <f t="shared" ref="E231:O231" si="44">E232</f>
        <v>5323200</v>
      </c>
      <c r="F231" s="48">
        <f t="shared" si="44"/>
        <v>0</v>
      </c>
      <c r="G231" s="48">
        <f t="shared" si="44"/>
        <v>0</v>
      </c>
      <c r="H231" s="48">
        <f t="shared" si="44"/>
        <v>0</v>
      </c>
      <c r="I231" s="48">
        <f>I232</f>
        <v>19036280</v>
      </c>
      <c r="J231" s="48">
        <f t="shared" si="44"/>
        <v>19036280</v>
      </c>
      <c r="K231" s="48">
        <f t="shared" si="44"/>
        <v>0</v>
      </c>
      <c r="L231" s="48">
        <f t="shared" si="44"/>
        <v>0</v>
      </c>
      <c r="M231" s="48">
        <f t="shared" si="44"/>
        <v>0</v>
      </c>
      <c r="N231" s="48">
        <f t="shared" si="44"/>
        <v>19036280</v>
      </c>
      <c r="O231" s="48">
        <f t="shared" si="44"/>
        <v>24359480</v>
      </c>
      <c r="P231" s="80"/>
    </row>
    <row r="232" spans="1:16" ht="28.5" customHeight="1" x14ac:dyDescent="0.25">
      <c r="A232" s="49" t="s">
        <v>232</v>
      </c>
      <c r="B232" s="49" t="s">
        <v>233</v>
      </c>
      <c r="C232" s="67" t="s">
        <v>231</v>
      </c>
      <c r="D232" s="50">
        <f>'дод 3 '!E50+'дод 3 '!E295</f>
        <v>5323200</v>
      </c>
      <c r="E232" s="50">
        <f>'дод 3 '!F50+'дод 3 '!F295</f>
        <v>5323200</v>
      </c>
      <c r="F232" s="50">
        <f>'дод 3 '!G50+'дод 3 '!G295</f>
        <v>0</v>
      </c>
      <c r="G232" s="50">
        <f>'дод 3 '!H50+'дод 3 '!H295</f>
        <v>0</v>
      </c>
      <c r="H232" s="50">
        <f>'дод 3 '!I50+'дод 3 '!I295</f>
        <v>0</v>
      </c>
      <c r="I232" s="50">
        <f>'дод 3 '!J50+'дод 3 '!J295</f>
        <v>19036280</v>
      </c>
      <c r="J232" s="50">
        <f>'дод 3 '!K50+'дод 3 '!K295</f>
        <v>19036280</v>
      </c>
      <c r="K232" s="50">
        <f>'дод 3 '!L50+'дод 3 '!L295</f>
        <v>0</v>
      </c>
      <c r="L232" s="50">
        <f>'дод 3 '!M50+'дод 3 '!M295</f>
        <v>0</v>
      </c>
      <c r="M232" s="50">
        <f>'дод 3 '!N50+'дод 3 '!N295</f>
        <v>0</v>
      </c>
      <c r="N232" s="50">
        <f>'дод 3 '!O50+'дод 3 '!O295</f>
        <v>19036280</v>
      </c>
      <c r="O232" s="50">
        <f>'дод 3 '!P50+'дод 3 '!P295</f>
        <v>24359480</v>
      </c>
      <c r="P232" s="80"/>
    </row>
    <row r="233" spans="1:16" s="43" customFormat="1" ht="39.75" customHeight="1" x14ac:dyDescent="0.25">
      <c r="A233" s="57" t="s">
        <v>87</v>
      </c>
      <c r="B233" s="74"/>
      <c r="C233" s="75" t="s">
        <v>409</v>
      </c>
      <c r="D233" s="48">
        <f>D235+D236+D238+D239+D240+D242+D243+D244</f>
        <v>8013002</v>
      </c>
      <c r="E233" s="48">
        <f t="shared" ref="E233:H233" si="45">E235+E236+E238+E239+E240+E242+E243+E244</f>
        <v>5333002</v>
      </c>
      <c r="F233" s="48">
        <f t="shared" si="45"/>
        <v>0</v>
      </c>
      <c r="G233" s="48">
        <f t="shared" si="45"/>
        <v>0</v>
      </c>
      <c r="H233" s="48">
        <f t="shared" si="45"/>
        <v>2680000</v>
      </c>
      <c r="I233" s="48">
        <f>I235+I236+I238+I239+I240+I242+I243+I244</f>
        <v>214091553</v>
      </c>
      <c r="J233" s="48">
        <f t="shared" ref="J233:O233" si="46">J235+J236+J238+J239+J240+J242+J243+J244</f>
        <v>213981553</v>
      </c>
      <c r="K233" s="48">
        <f t="shared" si="46"/>
        <v>110000</v>
      </c>
      <c r="L233" s="48">
        <f t="shared" si="46"/>
        <v>0</v>
      </c>
      <c r="M233" s="48">
        <f t="shared" ca="1" si="46"/>
        <v>0</v>
      </c>
      <c r="N233" s="48">
        <f t="shared" si="46"/>
        <v>213981553</v>
      </c>
      <c r="O233" s="48">
        <f t="shared" si="46"/>
        <v>222104555</v>
      </c>
      <c r="P233" s="227"/>
    </row>
    <row r="234" spans="1:16" s="62" customFormat="1" ht="16.5" customHeight="1" x14ac:dyDescent="0.25">
      <c r="A234" s="59"/>
      <c r="B234" s="59"/>
      <c r="C234" s="9" t="s">
        <v>407</v>
      </c>
      <c r="D234" s="61">
        <f>D237+D241</f>
        <v>0</v>
      </c>
      <c r="E234" s="61">
        <f t="shared" ref="E234:O234" si="47">E237+E241</f>
        <v>0</v>
      </c>
      <c r="F234" s="61">
        <f t="shared" si="47"/>
        <v>0</v>
      </c>
      <c r="G234" s="61">
        <f t="shared" si="47"/>
        <v>0</v>
      </c>
      <c r="H234" s="61">
        <f t="shared" si="47"/>
        <v>0</v>
      </c>
      <c r="I234" s="61">
        <f t="shared" si="47"/>
        <v>61868709</v>
      </c>
      <c r="J234" s="61">
        <f t="shared" si="47"/>
        <v>61868709</v>
      </c>
      <c r="K234" s="61">
        <f t="shared" si="47"/>
        <v>0</v>
      </c>
      <c r="L234" s="61">
        <f t="shared" si="47"/>
        <v>0</v>
      </c>
      <c r="M234" s="61">
        <f t="shared" si="47"/>
        <v>0</v>
      </c>
      <c r="N234" s="61">
        <f t="shared" si="47"/>
        <v>61868709</v>
      </c>
      <c r="O234" s="61">
        <f t="shared" si="47"/>
        <v>61868709</v>
      </c>
      <c r="P234" s="227"/>
    </row>
    <row r="235" spans="1:16" ht="34.5" customHeight="1" x14ac:dyDescent="0.25">
      <c r="A235" s="49" t="s">
        <v>4</v>
      </c>
      <c r="B235" s="49" t="s">
        <v>86</v>
      </c>
      <c r="C235" s="65" t="s">
        <v>23</v>
      </c>
      <c r="D235" s="50">
        <f>'дод 3 '!E51+'дод 3 '!E376+'дод 3 '!E384+'дод 3 '!E395+'дод 3 '!E326+'дод 3 '!E371</f>
        <v>520000</v>
      </c>
      <c r="E235" s="50">
        <f>'дод 3 '!F51+'дод 3 '!F376+'дод 3 '!F384+'дод 3 '!F395+'дод 3 '!F326+'дод 3 '!F371</f>
        <v>40000</v>
      </c>
      <c r="F235" s="50">
        <f>'дод 3 '!G51+'дод 3 '!G376+'дод 3 '!G384+'дод 3 '!G395+'дод 3 '!G326+'дод 3 '!G371</f>
        <v>0</v>
      </c>
      <c r="G235" s="50">
        <f>'дод 3 '!H51+'дод 3 '!H376+'дод 3 '!H384+'дод 3 '!H395+'дод 3 '!H326+'дод 3 '!H371</f>
        <v>0</v>
      </c>
      <c r="H235" s="50">
        <f>'дод 3 '!I51+'дод 3 '!I376+'дод 3 '!I384+'дод 3 '!I395+'дод 3 '!I326+'дод 3 '!I371</f>
        <v>480000</v>
      </c>
      <c r="I235" s="50">
        <f>'дод 3 '!J51+'дод 3 '!J376+'дод 3 '!J384+'дод 3 '!J395+'дод 3 '!J326+'дод 3 '!J371</f>
        <v>0</v>
      </c>
      <c r="J235" s="50">
        <f>'дод 3 '!K51+'дод 3 '!K376+'дод 3 '!K384+'дод 3 '!K395+'дод 3 '!K326+'дод 3 '!K371</f>
        <v>0</v>
      </c>
      <c r="K235" s="50">
        <f>'дод 3 '!L51+'дод 3 '!L376+'дод 3 '!L384+'дод 3 '!L395+'дод 3 '!L326+'дод 3 '!L371</f>
        <v>0</v>
      </c>
      <c r="L235" s="50">
        <f>'дод 3 '!M51+'дод 3 '!M376+'дод 3 '!M384+'дод 3 '!M395+'дод 3 '!M326+'дод 3 '!M371</f>
        <v>0</v>
      </c>
      <c r="M235" s="50">
        <f>'дод 3 '!N51+'дод 3 '!N376+'дод 3 '!N384+'дод 3 '!N395+'дод 3 '!N326+'дод 3 '!N371</f>
        <v>0</v>
      </c>
      <c r="N235" s="50">
        <f>'дод 3 '!O51+'дод 3 '!O376+'дод 3 '!O384+'дод 3 '!O395+'дод 3 '!O326+'дод 3 '!O371</f>
        <v>0</v>
      </c>
      <c r="O235" s="50">
        <f>'дод 3 '!P51+'дод 3 '!P376+'дод 3 '!P384+'дод 3 '!P395+'дод 3 '!P326+'дод 3 '!P371</f>
        <v>520000</v>
      </c>
      <c r="P235" s="227"/>
    </row>
    <row r="236" spans="1:16" ht="25.5" customHeight="1" x14ac:dyDescent="0.25">
      <c r="A236" s="49" t="s">
        <v>2</v>
      </c>
      <c r="B236" s="49" t="s">
        <v>85</v>
      </c>
      <c r="C236" s="65" t="s">
        <v>406</v>
      </c>
      <c r="D236" s="50">
        <f>'дод 3 '!E139+'дод 3 '!E184+'дод 3 '!E254+'дод 3 '!E304+'дод 3 '!E353+'дод 3 '!E402+'дод 3 '!E232+'дод 3 '!E52</f>
        <v>5030884</v>
      </c>
      <c r="E236" s="50">
        <f>'дод 3 '!F139+'дод 3 '!F184+'дод 3 '!F254+'дод 3 '!F304+'дод 3 '!F353+'дод 3 '!F402+'дод 3 '!F232+'дод 3 '!F52</f>
        <v>2830884</v>
      </c>
      <c r="F236" s="50">
        <f>'дод 3 '!G139+'дод 3 '!G184+'дод 3 '!G254+'дод 3 '!G304+'дод 3 '!G353+'дод 3 '!G402+'дод 3 '!G232+'дод 3 '!G52</f>
        <v>0</v>
      </c>
      <c r="G236" s="50">
        <f>'дод 3 '!H139+'дод 3 '!H184+'дод 3 '!H254+'дод 3 '!H304+'дод 3 '!H353+'дод 3 '!H402+'дод 3 '!H232+'дод 3 '!H52</f>
        <v>0</v>
      </c>
      <c r="H236" s="50">
        <f>'дод 3 '!I139+'дод 3 '!I184+'дод 3 '!I254+'дод 3 '!I304+'дод 3 '!I353+'дод 3 '!I402+'дод 3 '!I232+'дод 3 '!I52</f>
        <v>2200000</v>
      </c>
      <c r="I236" s="50">
        <f>'дод 3 '!J139+'дод 3 '!J184+'дод 3 '!J254+'дод 3 '!J304+'дод 3 '!J353+'дод 3 '!J402+'дод 3 '!J232+'дод 3 '!J52</f>
        <v>212321153</v>
      </c>
      <c r="J236" s="50">
        <f>'дод 3 '!K139+'дод 3 '!K184+'дод 3 '!K254+'дод 3 '!K304+'дод 3 '!K353+'дод 3 '!K402+'дод 3 '!K232+'дод 3 '!K52</f>
        <v>212321153</v>
      </c>
      <c r="K236" s="50">
        <f>'дод 3 '!L139+'дод 3 '!L184+'дод 3 '!L254+'дод 3 '!L304+'дод 3 '!L353+'дод 3 '!L402+'дод 3 '!L232+'дод 3 '!L52</f>
        <v>0</v>
      </c>
      <c r="L236" s="50">
        <f>'дод 3 '!M139+'дод 3 '!M184+'дод 3 '!M254+'дод 3 '!M304+'дод 3 '!M353+'дод 3 '!M402+'дод 3 '!M232+'дод 3 '!M52</f>
        <v>0</v>
      </c>
      <c r="M236" s="50">
        <f>'дод 3 '!N139+'дод 3 '!N184+'дод 3 '!N254+'дод 3 '!N304+'дод 3 '!N353+'дод 3 '!N402+'дод 3 '!N232+'дод 3 '!N52</f>
        <v>0</v>
      </c>
      <c r="N236" s="50">
        <f>'дод 3 '!O139+'дод 3 '!O184+'дод 3 '!O254+'дод 3 '!O304+'дод 3 '!O353+'дод 3 '!O402+'дод 3 '!O232+'дод 3 '!O52</f>
        <v>212321153</v>
      </c>
      <c r="O236" s="50">
        <f>'дод 3 '!P139+'дод 3 '!P184+'дод 3 '!P254+'дод 3 '!P304+'дод 3 '!P353+'дод 3 '!P402+'дод 3 '!P232+'дод 3 '!P52</f>
        <v>217352037</v>
      </c>
      <c r="P236" s="227"/>
    </row>
    <row r="237" spans="1:16" s="56" customFormat="1" ht="24.75" customHeight="1" x14ac:dyDescent="0.25">
      <c r="A237" s="52"/>
      <c r="B237" s="52"/>
      <c r="C237" s="64" t="s">
        <v>407</v>
      </c>
      <c r="D237" s="55">
        <f>'дод 3 '!E185+'дод 3 '!E354</f>
        <v>0</v>
      </c>
      <c r="E237" s="55">
        <f>'дод 3 '!F185+'дод 3 '!F354</f>
        <v>0</v>
      </c>
      <c r="F237" s="55">
        <f>'дод 3 '!G185+'дод 3 '!G354</f>
        <v>0</v>
      </c>
      <c r="G237" s="55">
        <f>'дод 3 '!H185+'дод 3 '!H354</f>
        <v>0</v>
      </c>
      <c r="H237" s="55">
        <f>'дод 3 '!I185+'дод 3 '!I354</f>
        <v>0</v>
      </c>
      <c r="I237" s="55">
        <f>'дод 3 '!J185+'дод 3 '!J354</f>
        <v>61868709</v>
      </c>
      <c r="J237" s="55">
        <f>'дод 3 '!K185+'дод 3 '!K354</f>
        <v>61868709</v>
      </c>
      <c r="K237" s="55">
        <f>'дод 3 '!L185+'дод 3 '!L354</f>
        <v>0</v>
      </c>
      <c r="L237" s="55">
        <f>'дод 3 '!M185+'дод 3 '!M354</f>
        <v>0</v>
      </c>
      <c r="M237" s="55">
        <f>'дод 3 '!N185+'дод 3 '!N354</f>
        <v>0</v>
      </c>
      <c r="N237" s="55">
        <f>'дод 3 '!O185+'дод 3 '!O354</f>
        <v>61868709</v>
      </c>
      <c r="O237" s="55">
        <f>'дод 3 '!P185+'дод 3 '!P354</f>
        <v>61868709</v>
      </c>
      <c r="P237" s="227"/>
    </row>
    <row r="238" spans="1:16" ht="33.75" customHeight="1" x14ac:dyDescent="0.25">
      <c r="A238" s="49" t="s">
        <v>264</v>
      </c>
      <c r="B238" s="49" t="s">
        <v>81</v>
      </c>
      <c r="C238" s="65" t="s">
        <v>340</v>
      </c>
      <c r="D238" s="50">
        <f>'дод 3 '!E377+'дод 3 '!E385+'дод 3 '!E396</f>
        <v>0</v>
      </c>
      <c r="E238" s="50">
        <f>'дод 3 '!F377+'дод 3 '!F385+'дод 3 '!F396</f>
        <v>0</v>
      </c>
      <c r="F238" s="50">
        <f>'дод 3 '!G377+'дод 3 '!G385+'дод 3 '!G396</f>
        <v>0</v>
      </c>
      <c r="G238" s="50">
        <f>'дод 3 '!H377+'дод 3 '!H385+'дод 3 '!H396</f>
        <v>0</v>
      </c>
      <c r="H238" s="50">
        <f>'дод 3 '!I377+'дод 3 '!I385+'дод 3 '!I396</f>
        <v>0</v>
      </c>
      <c r="I238" s="50">
        <f>'дод 3 '!J377+'дод 3 '!J385+'дод 3 '!J396</f>
        <v>30000</v>
      </c>
      <c r="J238" s="50">
        <f>'дод 3 '!K377+'дод 3 '!K385+'дод 3 '!K396</f>
        <v>30000</v>
      </c>
      <c r="K238" s="50">
        <f>'дод 3 '!L377+'дод 3 '!L385+'дод 3 '!L396</f>
        <v>0</v>
      </c>
      <c r="L238" s="50">
        <f>'дод 3 '!M377+'дод 3 '!M385+'дод 3 '!M396</f>
        <v>0</v>
      </c>
      <c r="M238" s="50">
        <f>'дод 3 '!N377+'дод 3 '!N385+'дод 3 '!N396</f>
        <v>0</v>
      </c>
      <c r="N238" s="50">
        <f>'дод 3 '!O377+'дод 3 '!O385+'дод 3 '!O396</f>
        <v>30000</v>
      </c>
      <c r="O238" s="50">
        <f>'дод 3 '!P377+'дод 3 '!P385+'дод 3 '!P396</f>
        <v>30000</v>
      </c>
      <c r="P238" s="227"/>
    </row>
    <row r="239" spans="1:16" ht="47.25" customHeight="1" x14ac:dyDescent="0.25">
      <c r="A239" s="49" t="s">
        <v>266</v>
      </c>
      <c r="B239" s="49" t="s">
        <v>81</v>
      </c>
      <c r="C239" s="65" t="s">
        <v>267</v>
      </c>
      <c r="D239" s="50">
        <f>'дод 3 '!E378+'дод 3 '!E386+'дод 3 '!E397</f>
        <v>0</v>
      </c>
      <c r="E239" s="50">
        <f>'дод 3 '!F378+'дод 3 '!F386+'дод 3 '!F397</f>
        <v>0</v>
      </c>
      <c r="F239" s="50">
        <f>'дод 3 '!G378+'дод 3 '!G386+'дод 3 '!G397</f>
        <v>0</v>
      </c>
      <c r="G239" s="50">
        <f>'дод 3 '!H378+'дод 3 '!H386+'дод 3 '!H397</f>
        <v>0</v>
      </c>
      <c r="H239" s="50">
        <f>'дод 3 '!I378+'дод 3 '!I386+'дод 3 '!I397</f>
        <v>0</v>
      </c>
      <c r="I239" s="50">
        <f>'дод 3 '!J378+'дод 3 '!J386+'дод 3 '!J397</f>
        <v>50000</v>
      </c>
      <c r="J239" s="50">
        <f>'дод 3 '!K378+'дод 3 '!K386+'дод 3 '!K397</f>
        <v>50000</v>
      </c>
      <c r="K239" s="50">
        <f>'дод 3 '!L378+'дод 3 '!L386+'дод 3 '!L397</f>
        <v>0</v>
      </c>
      <c r="L239" s="50">
        <f>'дод 3 '!M378+'дод 3 '!M386+'дод 3 '!M397</f>
        <v>0</v>
      </c>
      <c r="M239" s="50">
        <f>'дод 3 '!N378+'дод 3 '!N386+'дод 3 '!N397</f>
        <v>0</v>
      </c>
      <c r="N239" s="50">
        <f>'дод 3 '!O378+'дод 3 '!O386+'дод 3 '!O397</f>
        <v>50000</v>
      </c>
      <c r="O239" s="50">
        <f>'дод 3 '!P378+'дод 3 '!P386+'дод 3 '!P397</f>
        <v>50000</v>
      </c>
      <c r="P239" s="227"/>
    </row>
    <row r="240" spans="1:16" ht="30" customHeight="1" x14ac:dyDescent="0.25">
      <c r="A240" s="49" t="s">
        <v>5</v>
      </c>
      <c r="B240" s="49" t="s">
        <v>81</v>
      </c>
      <c r="C240" s="65" t="s">
        <v>630</v>
      </c>
      <c r="D240" s="50">
        <f>'дод 3 '!E53+'дод 3 '!E305</f>
        <v>0</v>
      </c>
      <c r="E240" s="50">
        <f>'дод 3 '!F53+'дод 3 '!F305</f>
        <v>0</v>
      </c>
      <c r="F240" s="50">
        <f>'дод 3 '!G53+'дод 3 '!G305</f>
        <v>0</v>
      </c>
      <c r="G240" s="50">
        <f>'дод 3 '!H53+'дод 3 '!H305</f>
        <v>0</v>
      </c>
      <c r="H240" s="50">
        <f>'дод 3 '!I53+'дод 3 '!I305</f>
        <v>0</v>
      </c>
      <c r="I240" s="50">
        <f>'дод 3 '!J53+'дод 3 '!J305</f>
        <v>1580400</v>
      </c>
      <c r="J240" s="50">
        <f>'дод 3 '!K53+'дод 3 '!K305</f>
        <v>1580400</v>
      </c>
      <c r="K240" s="50">
        <f>'дод 3 '!L53+'дод 3 '!L305</f>
        <v>0</v>
      </c>
      <c r="L240" s="50">
        <f>'дод 3 '!M53+'дод 3 '!M305</f>
        <v>0</v>
      </c>
      <c r="M240" s="50">
        <f ca="1">'дод 3 '!N53+'дод 3 '!N305</f>
        <v>0</v>
      </c>
      <c r="N240" s="50">
        <f>'дод 3 '!O53+'дод 3 '!O305</f>
        <v>1580400</v>
      </c>
      <c r="O240" s="50">
        <f>'дод 3 '!P53+'дод 3 '!P305</f>
        <v>1580400</v>
      </c>
      <c r="P240" s="227"/>
    </row>
    <row r="241" spans="1:16" ht="16.5" hidden="1" customHeight="1" x14ac:dyDescent="0.25">
      <c r="A241" s="49"/>
      <c r="B241" s="49"/>
      <c r="C241" s="64" t="s">
        <v>407</v>
      </c>
      <c r="D241" s="50">
        <f>'дод 3 '!E306</f>
        <v>0</v>
      </c>
      <c r="E241" s="50">
        <f>'дод 3 '!F306</f>
        <v>0</v>
      </c>
      <c r="F241" s="50">
        <f>'дод 3 '!G306</f>
        <v>0</v>
      </c>
      <c r="G241" s="50">
        <f>'дод 3 '!H306</f>
        <v>0</v>
      </c>
      <c r="H241" s="50">
        <f>'дод 3 '!I306</f>
        <v>0</v>
      </c>
      <c r="I241" s="50">
        <f>'дод 3 '!J306</f>
        <v>0</v>
      </c>
      <c r="J241" s="50">
        <f>'дод 3 '!K306</f>
        <v>0</v>
      </c>
      <c r="K241" s="50">
        <f>'дод 3 '!L306</f>
        <v>0</v>
      </c>
      <c r="L241" s="50">
        <f>'дод 3 '!M306</f>
        <v>0</v>
      </c>
      <c r="M241" s="50">
        <f>'дод 3 '!N306</f>
        <v>0</v>
      </c>
      <c r="N241" s="50">
        <f>'дод 3 '!O306</f>
        <v>0</v>
      </c>
      <c r="O241" s="50">
        <f>'дод 3 '!P306</f>
        <v>0</v>
      </c>
      <c r="P241" s="227"/>
    </row>
    <row r="242" spans="1:16" ht="33.75" customHeight="1" x14ac:dyDescent="0.25">
      <c r="A242" s="49" t="s">
        <v>245</v>
      </c>
      <c r="B242" s="49" t="s">
        <v>81</v>
      </c>
      <c r="C242" s="65" t="s">
        <v>246</v>
      </c>
      <c r="D242" s="50">
        <f>'дод 3 '!E54</f>
        <v>441318</v>
      </c>
      <c r="E242" s="50">
        <f>'дод 3 '!F54</f>
        <v>441318</v>
      </c>
      <c r="F242" s="50">
        <f>'дод 3 '!G54</f>
        <v>0</v>
      </c>
      <c r="G242" s="50">
        <f>'дод 3 '!H54</f>
        <v>0</v>
      </c>
      <c r="H242" s="50">
        <f>'дод 3 '!I54</f>
        <v>0</v>
      </c>
      <c r="I242" s="50">
        <f>'дод 3 '!J54</f>
        <v>0</v>
      </c>
      <c r="J242" s="50">
        <f>'дод 3 '!K54</f>
        <v>0</v>
      </c>
      <c r="K242" s="50">
        <f>'дод 3 '!L54</f>
        <v>0</v>
      </c>
      <c r="L242" s="50">
        <f>'дод 3 '!M54</f>
        <v>0</v>
      </c>
      <c r="M242" s="50">
        <f>'дод 3 '!N54</f>
        <v>0</v>
      </c>
      <c r="N242" s="50">
        <f>'дод 3 '!O54</f>
        <v>0</v>
      </c>
      <c r="O242" s="50">
        <f>'дод 3 '!P54</f>
        <v>441318</v>
      </c>
      <c r="P242" s="227"/>
    </row>
    <row r="243" spans="1:16" s="56" customFormat="1" ht="90.75" customHeight="1" x14ac:dyDescent="0.25">
      <c r="A243" s="49" t="s">
        <v>290</v>
      </c>
      <c r="B243" s="49" t="s">
        <v>81</v>
      </c>
      <c r="C243" s="65" t="s">
        <v>308</v>
      </c>
      <c r="D243" s="50">
        <f>'дод 3 '!E55+'дод 3 '!E307+'дод 3 '!E355+'дод 3 '!E364</f>
        <v>0</v>
      </c>
      <c r="E243" s="50">
        <f>'дод 3 '!F55+'дод 3 '!F307+'дод 3 '!F355+'дод 3 '!F364</f>
        <v>0</v>
      </c>
      <c r="F243" s="50">
        <f>'дод 3 '!G55+'дод 3 '!G307+'дод 3 '!G355+'дод 3 '!G364</f>
        <v>0</v>
      </c>
      <c r="G243" s="50">
        <f>'дод 3 '!H55+'дод 3 '!H307+'дод 3 '!H355+'дод 3 '!H364</f>
        <v>0</v>
      </c>
      <c r="H243" s="50">
        <f>'дод 3 '!I55+'дод 3 '!I307+'дод 3 '!I355+'дод 3 '!I364</f>
        <v>0</v>
      </c>
      <c r="I243" s="50">
        <f>'дод 3 '!J55+'дод 3 '!J307+'дод 3 '!J355+'дод 3 '!J364</f>
        <v>110000</v>
      </c>
      <c r="J243" s="50">
        <f>'дод 3 '!K55+'дод 3 '!K307+'дод 3 '!K355+'дод 3 '!K364</f>
        <v>0</v>
      </c>
      <c r="K243" s="50">
        <f>'дод 3 '!L55+'дод 3 '!L307+'дод 3 '!L355+'дод 3 '!L364</f>
        <v>110000</v>
      </c>
      <c r="L243" s="50">
        <f>'дод 3 '!M55+'дод 3 '!M307+'дод 3 '!M355+'дод 3 '!M364</f>
        <v>0</v>
      </c>
      <c r="M243" s="50">
        <f>'дод 3 '!N55+'дод 3 '!N307+'дод 3 '!N355+'дод 3 '!N364</f>
        <v>0</v>
      </c>
      <c r="N243" s="50">
        <f>'дод 3 '!O55+'дод 3 '!O307+'дод 3 '!O355+'дод 3 '!O364</f>
        <v>0</v>
      </c>
      <c r="O243" s="50">
        <f>'дод 3 '!P55+'дод 3 '!P307+'дод 3 '!P355+'дод 3 '!P364</f>
        <v>110000</v>
      </c>
      <c r="P243" s="227"/>
    </row>
    <row r="244" spans="1:16" s="56" customFormat="1" ht="23.25" customHeight="1" x14ac:dyDescent="0.25">
      <c r="A244" s="49" t="s">
        <v>236</v>
      </c>
      <c r="B244" s="49" t="s">
        <v>81</v>
      </c>
      <c r="C244" s="65" t="s">
        <v>17</v>
      </c>
      <c r="D244" s="50">
        <f>'дод 3 '!E56+'дод 3 '!E379+'дод 3 '!E403+'дод 3 '!E138+'дод 3 '!E387+'дод 3 '!E398+'дод 3 '!E141</f>
        <v>2020800</v>
      </c>
      <c r="E244" s="50">
        <f>'дод 3 '!F56+'дод 3 '!F379+'дод 3 '!F403+'дод 3 '!F138+'дод 3 '!F387+'дод 3 '!F398+'дод 3 '!F141</f>
        <v>2020800</v>
      </c>
      <c r="F244" s="50">
        <f>'дод 3 '!G56+'дод 3 '!G379+'дод 3 '!G403+'дод 3 '!G138+'дод 3 '!G387+'дод 3 '!G398+'дод 3 '!G141</f>
        <v>0</v>
      </c>
      <c r="G244" s="50">
        <f>'дод 3 '!H56+'дод 3 '!H379+'дод 3 '!H403+'дод 3 '!H138+'дод 3 '!H387+'дод 3 '!H398+'дод 3 '!H141</f>
        <v>0</v>
      </c>
      <c r="H244" s="50">
        <f>'дод 3 '!I56+'дод 3 '!I379+'дод 3 '!I403+'дод 3 '!I138+'дод 3 '!I387+'дод 3 '!I398+'дод 3 '!I141</f>
        <v>0</v>
      </c>
      <c r="I244" s="50">
        <f>'дод 3 '!J56+'дод 3 '!J379+'дод 3 '!J403+'дод 3 '!J138+'дод 3 '!J387+'дод 3 '!J398+'дод 3 '!J141</f>
        <v>0</v>
      </c>
      <c r="J244" s="50">
        <f>'дод 3 '!K56+'дод 3 '!K379+'дод 3 '!K403+'дод 3 '!K138+'дод 3 '!K387+'дод 3 '!K398+'дод 3 '!K141</f>
        <v>0</v>
      </c>
      <c r="K244" s="50">
        <f>'дод 3 '!L56+'дод 3 '!L379+'дод 3 '!L403+'дод 3 '!L138+'дод 3 '!L387+'дод 3 '!L398+'дод 3 '!L141</f>
        <v>0</v>
      </c>
      <c r="L244" s="50">
        <f>'дод 3 '!M56+'дод 3 '!M379+'дод 3 '!M403+'дод 3 '!M138+'дод 3 '!M387+'дод 3 '!M398+'дод 3 '!M141</f>
        <v>0</v>
      </c>
      <c r="M244" s="50">
        <f>'дод 3 '!N56+'дод 3 '!N379+'дод 3 '!N403+'дод 3 '!N138+'дод 3 '!N387+'дод 3 '!N398+'дод 3 '!N141</f>
        <v>0</v>
      </c>
      <c r="N244" s="50">
        <f>'дод 3 '!O56+'дод 3 '!O379+'дод 3 '!O403+'дод 3 '!O138+'дод 3 '!O387+'дод 3 '!O398+'дод 3 '!O141</f>
        <v>0</v>
      </c>
      <c r="O244" s="50">
        <f>'дод 3 '!P56+'дод 3 '!P379+'дод 3 '!P403+'дод 3 '!P138+'дод 3 '!P387+'дод 3 '!P398+'дод 3 '!P141</f>
        <v>2020800</v>
      </c>
      <c r="P244" s="227"/>
    </row>
    <row r="245" spans="1:16" s="62" customFormat="1" ht="59.25" hidden="1" customHeight="1" x14ac:dyDescent="0.25">
      <c r="A245" s="57">
        <v>7700</v>
      </c>
      <c r="B245" s="57"/>
      <c r="C245" s="91" t="s">
        <v>653</v>
      </c>
      <c r="D245" s="48">
        <f>D247</f>
        <v>0</v>
      </c>
      <c r="E245" s="48">
        <f>E247</f>
        <v>0</v>
      </c>
      <c r="F245" s="48">
        <f t="shared" ref="E245:O246" si="48">F247</f>
        <v>0</v>
      </c>
      <c r="G245" s="48">
        <f t="shared" si="48"/>
        <v>0</v>
      </c>
      <c r="H245" s="48">
        <f t="shared" si="48"/>
        <v>0</v>
      </c>
      <c r="I245" s="48">
        <f>I247</f>
        <v>0</v>
      </c>
      <c r="J245" s="48">
        <f>J247</f>
        <v>0</v>
      </c>
      <c r="K245" s="48">
        <f t="shared" si="48"/>
        <v>0</v>
      </c>
      <c r="L245" s="48">
        <f t="shared" si="48"/>
        <v>0</v>
      </c>
      <c r="M245" s="48">
        <f t="shared" si="48"/>
        <v>0</v>
      </c>
      <c r="N245" s="48">
        <f>N247</f>
        <v>0</v>
      </c>
      <c r="O245" s="48">
        <f t="shared" si="48"/>
        <v>0</v>
      </c>
      <c r="P245" s="227"/>
    </row>
    <row r="246" spans="1:16" s="62" customFormat="1" ht="27.75" hidden="1" customHeight="1" x14ac:dyDescent="0.25">
      <c r="A246" s="57"/>
      <c r="B246" s="57"/>
      <c r="C246" s="9" t="s">
        <v>654</v>
      </c>
      <c r="D246" s="48">
        <f>D248</f>
        <v>0</v>
      </c>
      <c r="E246" s="48">
        <f t="shared" si="48"/>
        <v>0</v>
      </c>
      <c r="F246" s="48">
        <f t="shared" si="48"/>
        <v>0</v>
      </c>
      <c r="G246" s="48">
        <f t="shared" si="48"/>
        <v>0</v>
      </c>
      <c r="H246" s="48">
        <f t="shared" si="48"/>
        <v>0</v>
      </c>
      <c r="I246" s="61">
        <f>I248</f>
        <v>0</v>
      </c>
      <c r="J246" s="48">
        <f t="shared" si="48"/>
        <v>0</v>
      </c>
      <c r="K246" s="61">
        <f t="shared" si="48"/>
        <v>0</v>
      </c>
      <c r="L246" s="48">
        <f t="shared" si="48"/>
        <v>0</v>
      </c>
      <c r="M246" s="48">
        <f t="shared" si="48"/>
        <v>0</v>
      </c>
      <c r="N246" s="61">
        <f t="shared" si="48"/>
        <v>0</v>
      </c>
      <c r="O246" s="61">
        <f t="shared" si="48"/>
        <v>0</v>
      </c>
      <c r="P246" s="227"/>
    </row>
    <row r="247" spans="1:16" s="56" customFormat="1" ht="46.5" hidden="1" customHeight="1" x14ac:dyDescent="0.25">
      <c r="A247" s="49">
        <v>7700</v>
      </c>
      <c r="B247" s="51" t="s">
        <v>92</v>
      </c>
      <c r="C247" s="63" t="s">
        <v>653</v>
      </c>
      <c r="D247" s="50">
        <f>'дод 3 '!E140+'дод 3 '!E186+'дод 3 '!E404+'дод 3 '!E142</f>
        <v>0</v>
      </c>
      <c r="E247" s="50">
        <f>'дод 3 '!F140+'дод 3 '!F186+'дод 3 '!F404+'дод 3 '!F142</f>
        <v>0</v>
      </c>
      <c r="F247" s="50">
        <f>'дод 3 '!G140+'дод 3 '!G186+'дод 3 '!G404+'дод 3 '!G142</f>
        <v>0</v>
      </c>
      <c r="G247" s="50">
        <f>'дод 3 '!H140+'дод 3 '!H186+'дод 3 '!H404+'дод 3 '!H142</f>
        <v>0</v>
      </c>
      <c r="H247" s="50">
        <f>'дод 3 '!I140+'дод 3 '!I186+'дод 3 '!I404+'дод 3 '!I142</f>
        <v>0</v>
      </c>
      <c r="I247" s="50">
        <f>'дод 3 '!J140+'дод 3 '!J186+'дод 3 '!J404+'дод 3 '!J142</f>
        <v>0</v>
      </c>
      <c r="J247" s="50">
        <f>'дод 3 '!K140+'дод 3 '!K186+'дод 3 '!K404+'дод 3 '!K142</f>
        <v>0</v>
      </c>
      <c r="K247" s="50">
        <f>'дод 3 '!L140+'дод 3 '!L186+'дод 3 '!L404+'дод 3 '!L142</f>
        <v>0</v>
      </c>
      <c r="L247" s="50">
        <f>'дод 3 '!M140+'дод 3 '!M186+'дод 3 '!M404+'дод 3 '!M142</f>
        <v>0</v>
      </c>
      <c r="M247" s="50">
        <f>'дод 3 '!N140+'дод 3 '!N186+'дод 3 '!N404+'дод 3 '!N142</f>
        <v>0</v>
      </c>
      <c r="N247" s="50">
        <f>'дод 3 '!O140+'дод 3 '!O186+'дод 3 '!O404+'дод 3 '!O142</f>
        <v>0</v>
      </c>
      <c r="O247" s="50">
        <f>'дод 3 '!P140+'дод 3 '!P186+'дод 3 '!P404+'дод 3 '!P142</f>
        <v>0</v>
      </c>
      <c r="P247" s="227"/>
    </row>
    <row r="248" spans="1:16" s="56" customFormat="1" ht="26.25" hidden="1" customHeight="1" x14ac:dyDescent="0.25">
      <c r="A248" s="49"/>
      <c r="B248" s="51"/>
      <c r="C248" s="64" t="s">
        <v>654</v>
      </c>
      <c r="D248" s="50">
        <f>'дод 3 '!E187+'дод 3 '!E143</f>
        <v>0</v>
      </c>
      <c r="E248" s="50">
        <f>'дод 3 '!F187+'дод 3 '!F143</f>
        <v>0</v>
      </c>
      <c r="F248" s="50">
        <f>'дод 3 '!G187+'дод 3 '!G143</f>
        <v>0</v>
      </c>
      <c r="G248" s="50">
        <f>'дод 3 '!H187+'дод 3 '!H143</f>
        <v>0</v>
      </c>
      <c r="H248" s="50">
        <f>'дод 3 '!I187+'дод 3 '!I143</f>
        <v>0</v>
      </c>
      <c r="I248" s="55">
        <f>'дод 3 '!J187+'дод 3 '!J143</f>
        <v>0</v>
      </c>
      <c r="J248" s="50">
        <f>'дод 3 '!K187+'дод 3 '!K143</f>
        <v>0</v>
      </c>
      <c r="K248" s="55">
        <f>'дод 3 '!L187+'дод 3 '!L143</f>
        <v>0</v>
      </c>
      <c r="L248" s="50">
        <f>'дод 3 '!M187+'дод 3 '!M143</f>
        <v>0</v>
      </c>
      <c r="M248" s="50">
        <f>'дод 3 '!N187+'дод 3 '!N143</f>
        <v>0</v>
      </c>
      <c r="N248" s="55">
        <f>'дод 3 '!O187+'дод 3 '!O143</f>
        <v>0</v>
      </c>
      <c r="O248" s="55">
        <f>'дод 3 '!P187+'дод 3 '!P143</f>
        <v>0</v>
      </c>
      <c r="P248" s="227"/>
    </row>
    <row r="249" spans="1:16" s="43" customFormat="1" ht="30.75" customHeight="1" x14ac:dyDescent="0.25">
      <c r="A249" s="57" t="s">
        <v>93</v>
      </c>
      <c r="B249" s="58"/>
      <c r="C249" s="75" t="s">
        <v>723</v>
      </c>
      <c r="D249" s="48">
        <f t="shared" ref="D249:O249" si="49">D251+D256+D259+D263+D265+D266</f>
        <v>220386708</v>
      </c>
      <c r="E249" s="48">
        <f t="shared" si="49"/>
        <v>58091769</v>
      </c>
      <c r="F249" s="48">
        <f t="shared" si="49"/>
        <v>2400000</v>
      </c>
      <c r="G249" s="48">
        <f t="shared" si="49"/>
        <v>8094200</v>
      </c>
      <c r="H249" s="48">
        <f t="shared" si="49"/>
        <v>0</v>
      </c>
      <c r="I249" s="48">
        <f t="shared" si="49"/>
        <v>6509900</v>
      </c>
      <c r="J249" s="48">
        <f t="shared" si="49"/>
        <v>4275500</v>
      </c>
      <c r="K249" s="48">
        <f t="shared" si="49"/>
        <v>1642400</v>
      </c>
      <c r="L249" s="48">
        <f t="shared" si="49"/>
        <v>0</v>
      </c>
      <c r="M249" s="48">
        <f t="shared" si="49"/>
        <v>1600</v>
      </c>
      <c r="N249" s="48">
        <f t="shared" si="49"/>
        <v>4867500</v>
      </c>
      <c r="O249" s="48">
        <f t="shared" si="49"/>
        <v>226896608</v>
      </c>
      <c r="P249" s="227"/>
    </row>
    <row r="250" spans="1:16" s="62" customFormat="1" ht="57.75" customHeight="1" x14ac:dyDescent="0.25">
      <c r="A250" s="59"/>
      <c r="B250" s="8"/>
      <c r="C250" s="60" t="s">
        <v>376</v>
      </c>
      <c r="D250" s="61">
        <f>D252</f>
        <v>410600</v>
      </c>
      <c r="E250" s="61">
        <f t="shared" ref="E250:O250" si="50">E252</f>
        <v>410600</v>
      </c>
      <c r="F250" s="61">
        <f t="shared" si="50"/>
        <v>336800</v>
      </c>
      <c r="G250" s="61">
        <f t="shared" si="50"/>
        <v>0</v>
      </c>
      <c r="H250" s="61">
        <f t="shared" si="50"/>
        <v>0</v>
      </c>
      <c r="I250" s="61">
        <f t="shared" si="50"/>
        <v>0</v>
      </c>
      <c r="J250" s="61">
        <f t="shared" si="50"/>
        <v>0</v>
      </c>
      <c r="K250" s="61">
        <f t="shared" si="50"/>
        <v>0</v>
      </c>
      <c r="L250" s="61">
        <f t="shared" si="50"/>
        <v>0</v>
      </c>
      <c r="M250" s="61">
        <f t="shared" si="50"/>
        <v>0</v>
      </c>
      <c r="N250" s="61">
        <f t="shared" si="50"/>
        <v>0</v>
      </c>
      <c r="O250" s="61">
        <f t="shared" si="50"/>
        <v>410600</v>
      </c>
      <c r="P250" s="227"/>
    </row>
    <row r="251" spans="1:16" s="43" customFormat="1" ht="44.25" customHeight="1" x14ac:dyDescent="0.25">
      <c r="A251" s="57" t="s">
        <v>95</v>
      </c>
      <c r="B251" s="58"/>
      <c r="C251" s="75" t="s">
        <v>667</v>
      </c>
      <c r="D251" s="48">
        <f t="shared" ref="D251:O251" si="51">D253+D254</f>
        <v>14730500</v>
      </c>
      <c r="E251" s="48">
        <f t="shared" si="51"/>
        <v>14730500</v>
      </c>
      <c r="F251" s="48">
        <f t="shared" si="51"/>
        <v>2400000</v>
      </c>
      <c r="G251" s="48">
        <f t="shared" si="51"/>
        <v>157500</v>
      </c>
      <c r="H251" s="48">
        <f t="shared" si="51"/>
        <v>0</v>
      </c>
      <c r="I251" s="48">
        <f>I253+I254</f>
        <v>3532400</v>
      </c>
      <c r="J251" s="48">
        <f t="shared" si="51"/>
        <v>3525500</v>
      </c>
      <c r="K251" s="48">
        <f t="shared" si="51"/>
        <v>6900</v>
      </c>
      <c r="L251" s="48">
        <f t="shared" si="51"/>
        <v>0</v>
      </c>
      <c r="M251" s="48">
        <f t="shared" si="51"/>
        <v>1600</v>
      </c>
      <c r="N251" s="48">
        <f t="shared" si="51"/>
        <v>3525500</v>
      </c>
      <c r="O251" s="48">
        <f t="shared" si="51"/>
        <v>18262900</v>
      </c>
      <c r="P251" s="227"/>
    </row>
    <row r="252" spans="1:16" s="62" customFormat="1" ht="59.25" customHeight="1" x14ac:dyDescent="0.25">
      <c r="A252" s="59"/>
      <c r="B252" s="8"/>
      <c r="C252" s="9" t="str">
        <f>C255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2" s="61">
        <f>D255</f>
        <v>410600</v>
      </c>
      <c r="E252" s="61">
        <f t="shared" ref="E252:O252" si="52">E255</f>
        <v>410600</v>
      </c>
      <c r="F252" s="61">
        <f t="shared" si="52"/>
        <v>336800</v>
      </c>
      <c r="G252" s="61">
        <f t="shared" si="52"/>
        <v>0</v>
      </c>
      <c r="H252" s="61">
        <f t="shared" si="52"/>
        <v>0</v>
      </c>
      <c r="I252" s="61">
        <f t="shared" si="52"/>
        <v>0</v>
      </c>
      <c r="J252" s="61">
        <f t="shared" si="52"/>
        <v>0</v>
      </c>
      <c r="K252" s="61">
        <f t="shared" si="52"/>
        <v>0</v>
      </c>
      <c r="L252" s="61">
        <f t="shared" si="52"/>
        <v>0</v>
      </c>
      <c r="M252" s="61">
        <f t="shared" si="52"/>
        <v>0</v>
      </c>
      <c r="N252" s="61">
        <f t="shared" si="52"/>
        <v>0</v>
      </c>
      <c r="O252" s="61">
        <f t="shared" si="52"/>
        <v>410600</v>
      </c>
      <c r="P252" s="227"/>
    </row>
    <row r="253" spans="1:16" s="43" customFormat="1" ht="36.75" customHeight="1" x14ac:dyDescent="0.25">
      <c r="A253" s="49" t="s">
        <v>7</v>
      </c>
      <c r="B253" s="49" t="s">
        <v>88</v>
      </c>
      <c r="C253" s="65" t="s">
        <v>291</v>
      </c>
      <c r="D253" s="50">
        <f>'дод 3 '!E57+'дод 3 '!E308</f>
        <v>11599400</v>
      </c>
      <c r="E253" s="50">
        <f>'дод 3 '!F57+'дод 3 '!F308</f>
        <v>11599400</v>
      </c>
      <c r="F253" s="50">
        <f>'дод 3 '!G57+'дод 3 '!G308</f>
        <v>0</v>
      </c>
      <c r="G253" s="50">
        <f>'дод 3 '!H57+'дод 3 '!H308</f>
        <v>48500</v>
      </c>
      <c r="H253" s="50">
        <f>'дод 3 '!I57+'дод 3 '!I308</f>
        <v>0</v>
      </c>
      <c r="I253" s="50">
        <f>'дод 3 '!J57+'дод 3 '!J308</f>
        <v>3525500</v>
      </c>
      <c r="J253" s="50">
        <f>'дод 3 '!K57+'дод 3 '!K308</f>
        <v>3525500</v>
      </c>
      <c r="K253" s="50">
        <f>'дод 3 '!L57+'дод 3 '!L308</f>
        <v>0</v>
      </c>
      <c r="L253" s="50">
        <f>'дод 3 '!M57+'дод 3 '!M308</f>
        <v>0</v>
      </c>
      <c r="M253" s="50">
        <f>'дод 3 '!N57+'дод 3 '!N308</f>
        <v>0</v>
      </c>
      <c r="N253" s="50">
        <f>'дод 3 '!O57+'дод 3 '!O308</f>
        <v>3525500</v>
      </c>
      <c r="O253" s="50">
        <f>'дод 3 '!P57+'дод 3 '!P308</f>
        <v>15124900</v>
      </c>
      <c r="P253" s="227"/>
    </row>
    <row r="254" spans="1:16" ht="30" customHeight="1" x14ac:dyDescent="0.25">
      <c r="A254" s="49" t="s">
        <v>145</v>
      </c>
      <c r="B254" s="3" t="s">
        <v>88</v>
      </c>
      <c r="C254" s="65" t="s">
        <v>724</v>
      </c>
      <c r="D254" s="50">
        <f>'дод 3 '!E58</f>
        <v>3131100</v>
      </c>
      <c r="E254" s="50">
        <f>'дод 3 '!F58</f>
        <v>3131100</v>
      </c>
      <c r="F254" s="50">
        <f>'дод 3 '!G58</f>
        <v>2400000</v>
      </c>
      <c r="G254" s="50">
        <f>'дод 3 '!H58</f>
        <v>109000</v>
      </c>
      <c r="H254" s="50">
        <f>'дод 3 '!I58</f>
        <v>0</v>
      </c>
      <c r="I254" s="50">
        <f>'дод 3 '!J58</f>
        <v>6900</v>
      </c>
      <c r="J254" s="50">
        <f>'дод 3 '!K58</f>
        <v>0</v>
      </c>
      <c r="K254" s="50">
        <f>'дод 3 '!L58</f>
        <v>6900</v>
      </c>
      <c r="L254" s="50">
        <f>'дод 3 '!M58</f>
        <v>0</v>
      </c>
      <c r="M254" s="50">
        <f>'дод 3 '!N58</f>
        <v>1600</v>
      </c>
      <c r="N254" s="50">
        <f>'дод 3 '!O58</f>
        <v>0</v>
      </c>
      <c r="O254" s="50">
        <f>'дод 3 '!P58</f>
        <v>3138000</v>
      </c>
      <c r="P254" s="227"/>
    </row>
    <row r="255" spans="1:16" s="56" customFormat="1" ht="52.5" customHeight="1" x14ac:dyDescent="0.25">
      <c r="A255" s="52"/>
      <c r="B255" s="53"/>
      <c r="C255" s="64" t="s">
        <v>376</v>
      </c>
      <c r="D255" s="55">
        <f>'дод 3 '!E59</f>
        <v>410600</v>
      </c>
      <c r="E255" s="55">
        <f>'дод 3 '!F59</f>
        <v>410600</v>
      </c>
      <c r="F255" s="55">
        <f>'дод 3 '!G59</f>
        <v>336800</v>
      </c>
      <c r="G255" s="55">
        <f>'дод 3 '!H59</f>
        <v>0</v>
      </c>
      <c r="H255" s="55">
        <f>'дод 3 '!I59</f>
        <v>0</v>
      </c>
      <c r="I255" s="55">
        <f>'дод 3 '!J59</f>
        <v>0</v>
      </c>
      <c r="J255" s="55">
        <f>'дод 3 '!K59</f>
        <v>0</v>
      </c>
      <c r="K255" s="55">
        <f>'дод 3 '!L59</f>
        <v>0</v>
      </c>
      <c r="L255" s="55">
        <f>'дод 3 '!M59</f>
        <v>0</v>
      </c>
      <c r="M255" s="55">
        <f>'дод 3 '!N59</f>
        <v>0</v>
      </c>
      <c r="N255" s="55">
        <f>'дод 3 '!O59</f>
        <v>0</v>
      </c>
      <c r="O255" s="55">
        <f>'дод 3 '!P59</f>
        <v>410600</v>
      </c>
      <c r="P255" s="227"/>
    </row>
    <row r="256" spans="1:16" s="43" customFormat="1" ht="23.25" customHeight="1" x14ac:dyDescent="0.25">
      <c r="A256" s="57" t="s">
        <v>247</v>
      </c>
      <c r="B256" s="57"/>
      <c r="C256" s="92" t="s">
        <v>248</v>
      </c>
      <c r="D256" s="48">
        <f>D257+D258</f>
        <v>40269200</v>
      </c>
      <c r="E256" s="48">
        <f t="shared" ref="E256:O256" si="53">E257+E258</f>
        <v>40269200</v>
      </c>
      <c r="F256" s="48">
        <f t="shared" si="53"/>
        <v>0</v>
      </c>
      <c r="G256" s="48">
        <f t="shared" si="53"/>
        <v>7936700</v>
      </c>
      <c r="H256" s="48">
        <f t="shared" si="53"/>
        <v>0</v>
      </c>
      <c r="I256" s="48">
        <f t="shared" si="53"/>
        <v>750000</v>
      </c>
      <c r="J256" s="48">
        <f t="shared" si="53"/>
        <v>750000</v>
      </c>
      <c r="K256" s="48">
        <f t="shared" si="53"/>
        <v>0</v>
      </c>
      <c r="L256" s="48">
        <f t="shared" si="53"/>
        <v>0</v>
      </c>
      <c r="M256" s="48">
        <f t="shared" si="53"/>
        <v>0</v>
      </c>
      <c r="N256" s="48">
        <f t="shared" si="53"/>
        <v>750000</v>
      </c>
      <c r="O256" s="48">
        <f t="shared" si="53"/>
        <v>41019200</v>
      </c>
      <c r="P256" s="227"/>
    </row>
    <row r="257" spans="1:16" ht="22.5" customHeight="1" x14ac:dyDescent="0.25">
      <c r="A257" s="49" t="s">
        <v>241</v>
      </c>
      <c r="B257" s="3" t="s">
        <v>242</v>
      </c>
      <c r="C257" s="65" t="s">
        <v>243</v>
      </c>
      <c r="D257" s="50">
        <f>'дод 3 '!E60+'дод 3 '!E309</f>
        <v>743000</v>
      </c>
      <c r="E257" s="50">
        <f>'дод 3 '!F60+'дод 3 '!F309</f>
        <v>743000</v>
      </c>
      <c r="F257" s="50">
        <f>'дод 3 '!G60+'дод 3 '!G309</f>
        <v>0</v>
      </c>
      <c r="G257" s="50">
        <f>'дод 3 '!H60+'дод 3 '!H309</f>
        <v>546600</v>
      </c>
      <c r="H257" s="50">
        <f>'дод 3 '!I60+'дод 3 '!I309</f>
        <v>0</v>
      </c>
      <c r="I257" s="50">
        <f>'дод 3 '!J60+'дод 3 '!J309</f>
        <v>0</v>
      </c>
      <c r="J257" s="50">
        <f>'дод 3 '!K60+'дод 3 '!K309</f>
        <v>0</v>
      </c>
      <c r="K257" s="50">
        <f>'дод 3 '!L60+'дод 3 '!L309</f>
        <v>0</v>
      </c>
      <c r="L257" s="50">
        <f>'дод 3 '!M60+'дод 3 '!M309</f>
        <v>0</v>
      </c>
      <c r="M257" s="50">
        <f>'дод 3 '!N60+'дод 3 '!N309</f>
        <v>0</v>
      </c>
      <c r="N257" s="50">
        <f>'дод 3 '!O60+'дод 3 '!O309</f>
        <v>0</v>
      </c>
      <c r="O257" s="50">
        <f>'дод 3 '!P60+'дод 3 '!P309</f>
        <v>743000</v>
      </c>
      <c r="P257" s="227"/>
    </row>
    <row r="258" spans="1:16" ht="22.5" customHeight="1" x14ac:dyDescent="0.25">
      <c r="A258" s="49">
        <v>8240</v>
      </c>
      <c r="B258" s="3" t="s">
        <v>242</v>
      </c>
      <c r="C258" s="65" t="s">
        <v>587</v>
      </c>
      <c r="D258" s="50">
        <f>'дод 3 '!E61+'дод 3 '!E310+'дод 3 '!E144</f>
        <v>39526200</v>
      </c>
      <c r="E258" s="50">
        <f>'дод 3 '!F61+'дод 3 '!F310+'дод 3 '!F144</f>
        <v>39526200</v>
      </c>
      <c r="F258" s="50">
        <f>'дод 3 '!G61+'дод 3 '!G310+'дод 3 '!G144</f>
        <v>0</v>
      </c>
      <c r="G258" s="50">
        <f>'дод 3 '!H61+'дод 3 '!H310+'дод 3 '!H144</f>
        <v>7390100</v>
      </c>
      <c r="H258" s="50">
        <f>'дод 3 '!I61+'дод 3 '!I310+'дод 3 '!I144</f>
        <v>0</v>
      </c>
      <c r="I258" s="50">
        <f>'дод 3 '!J61+'дод 3 '!J310+'дод 3 '!J144</f>
        <v>750000</v>
      </c>
      <c r="J258" s="50">
        <f>'дод 3 '!K61+'дод 3 '!K310+'дод 3 '!K144</f>
        <v>750000</v>
      </c>
      <c r="K258" s="50">
        <f>'дод 3 '!L61+'дод 3 '!L310+'дод 3 '!L144</f>
        <v>0</v>
      </c>
      <c r="L258" s="50">
        <f>'дод 3 '!M61+'дод 3 '!M310+'дод 3 '!M144</f>
        <v>0</v>
      </c>
      <c r="M258" s="50">
        <f>'дод 3 '!N61+'дод 3 '!N310+'дод 3 '!N144</f>
        <v>0</v>
      </c>
      <c r="N258" s="50">
        <f>'дод 3 '!O61+'дод 3 '!O310+'дод 3 '!O144</f>
        <v>750000</v>
      </c>
      <c r="O258" s="50">
        <f>'дод 3 '!P61+'дод 3 '!P310+'дод 3 '!P144</f>
        <v>40276200</v>
      </c>
      <c r="P258" s="227"/>
    </row>
    <row r="259" spans="1:16" s="43" customFormat="1" ht="22.5" customHeight="1" x14ac:dyDescent="0.25">
      <c r="A259" s="57" t="s">
        <v>6</v>
      </c>
      <c r="B259" s="58"/>
      <c r="C259" s="75" t="s">
        <v>8</v>
      </c>
      <c r="D259" s="48">
        <f>D262+D261+D260</f>
        <v>75000</v>
      </c>
      <c r="E259" s="48">
        <f t="shared" ref="E259:N259" si="54">E262+E261+E260</f>
        <v>75000</v>
      </c>
      <c r="F259" s="48">
        <f t="shared" si="54"/>
        <v>0</v>
      </c>
      <c r="G259" s="48">
        <f t="shared" si="54"/>
        <v>0</v>
      </c>
      <c r="H259" s="48">
        <f t="shared" si="54"/>
        <v>0</v>
      </c>
      <c r="I259" s="48">
        <f>I262+I261+I260</f>
        <v>2227500</v>
      </c>
      <c r="J259" s="48">
        <f t="shared" si="54"/>
        <v>0</v>
      </c>
      <c r="K259" s="48">
        <f t="shared" si="54"/>
        <v>1635500</v>
      </c>
      <c r="L259" s="48">
        <f t="shared" si="54"/>
        <v>0</v>
      </c>
      <c r="M259" s="48">
        <f t="shared" si="54"/>
        <v>0</v>
      </c>
      <c r="N259" s="48">
        <f t="shared" si="54"/>
        <v>592000</v>
      </c>
      <c r="O259" s="48">
        <f>O262+O261+O260</f>
        <v>2302500</v>
      </c>
      <c r="P259" s="227"/>
    </row>
    <row r="260" spans="1:16" s="43" customFormat="1" ht="22.5" hidden="1" customHeight="1" x14ac:dyDescent="0.25">
      <c r="A260" s="49">
        <v>8312</v>
      </c>
      <c r="B260" s="1" t="s">
        <v>674</v>
      </c>
      <c r="C260" s="65" t="s">
        <v>675</v>
      </c>
      <c r="D260" s="50">
        <f>'дод 3 '!E311</f>
        <v>0</v>
      </c>
      <c r="E260" s="50">
        <f>'дод 3 '!F311</f>
        <v>0</v>
      </c>
      <c r="F260" s="50">
        <f>'дод 3 '!G311</f>
        <v>0</v>
      </c>
      <c r="G260" s="50">
        <f>'дод 3 '!H311</f>
        <v>0</v>
      </c>
      <c r="H260" s="50">
        <f>'дод 3 '!I311</f>
        <v>0</v>
      </c>
      <c r="I260" s="50">
        <f>'дод 3 '!J311</f>
        <v>0</v>
      </c>
      <c r="J260" s="50">
        <f>'дод 3 '!K311</f>
        <v>0</v>
      </c>
      <c r="K260" s="50">
        <f>'дод 3 '!L311</f>
        <v>0</v>
      </c>
      <c r="L260" s="50">
        <f>'дод 3 '!M311</f>
        <v>0</v>
      </c>
      <c r="M260" s="50">
        <f>'дод 3 '!N311</f>
        <v>0</v>
      </c>
      <c r="N260" s="50">
        <f>'дод 3 '!O311</f>
        <v>0</v>
      </c>
      <c r="O260" s="50">
        <f>'дод 3 '!P311</f>
        <v>0</v>
      </c>
      <c r="P260" s="227"/>
    </row>
    <row r="261" spans="1:16" s="43" customFormat="1" ht="33.75" customHeight="1" x14ac:dyDescent="0.25">
      <c r="A261" s="49">
        <v>8330</v>
      </c>
      <c r="B261" s="51" t="s">
        <v>91</v>
      </c>
      <c r="C261" s="65" t="s">
        <v>342</v>
      </c>
      <c r="D261" s="50">
        <f>'дод 3 '!E405</f>
        <v>75000</v>
      </c>
      <c r="E261" s="50">
        <f>'дод 3 '!F405</f>
        <v>75000</v>
      </c>
      <c r="F261" s="50">
        <f>'дод 3 '!G405</f>
        <v>0</v>
      </c>
      <c r="G261" s="50">
        <f>'дод 3 '!H405</f>
        <v>0</v>
      </c>
      <c r="H261" s="50">
        <f>'дод 3 '!I405</f>
        <v>0</v>
      </c>
      <c r="I261" s="50">
        <f>'дод 3 '!J405</f>
        <v>0</v>
      </c>
      <c r="J261" s="50">
        <f>'дод 3 '!K405</f>
        <v>0</v>
      </c>
      <c r="K261" s="50">
        <f>'дод 3 '!L405</f>
        <v>0</v>
      </c>
      <c r="L261" s="50">
        <f>'дод 3 '!M405</f>
        <v>0</v>
      </c>
      <c r="M261" s="50">
        <f>'дод 3 '!N405</f>
        <v>0</v>
      </c>
      <c r="N261" s="50">
        <f>'дод 3 '!O405</f>
        <v>0</v>
      </c>
      <c r="O261" s="50">
        <f>'дод 3 '!P405</f>
        <v>75000</v>
      </c>
      <c r="P261" s="227"/>
    </row>
    <row r="262" spans="1:16" s="43" customFormat="1" ht="19.5" customHeight="1" x14ac:dyDescent="0.25">
      <c r="A262" s="49" t="s">
        <v>9</v>
      </c>
      <c r="B262" s="49" t="s">
        <v>91</v>
      </c>
      <c r="C262" s="65" t="s">
        <v>10</v>
      </c>
      <c r="D262" s="50">
        <f>'дод 3 '!E62+'дод 3 '!E145+'дод 3 '!E312+'дод 3 '!E406+'дод 3 '!E255</f>
        <v>0</v>
      </c>
      <c r="E262" s="50">
        <f>'дод 3 '!F62+'дод 3 '!F145+'дод 3 '!F312+'дод 3 '!F406+'дод 3 '!F255</f>
        <v>0</v>
      </c>
      <c r="F262" s="50">
        <f>'дод 3 '!G62+'дод 3 '!G145+'дод 3 '!G312+'дод 3 '!G406+'дод 3 '!G255</f>
        <v>0</v>
      </c>
      <c r="G262" s="50">
        <f>'дод 3 '!H62+'дод 3 '!H145+'дод 3 '!H312+'дод 3 '!H406+'дод 3 '!H255</f>
        <v>0</v>
      </c>
      <c r="H262" s="50">
        <f>'дод 3 '!I62+'дод 3 '!I145+'дод 3 '!I312+'дод 3 '!I406+'дод 3 '!I255</f>
        <v>0</v>
      </c>
      <c r="I262" s="50">
        <f>'дод 3 '!J62+'дод 3 '!J145+'дод 3 '!J312+'дод 3 '!J406+'дод 3 '!J255</f>
        <v>2227500</v>
      </c>
      <c r="J262" s="50">
        <f>'дод 3 '!K62+'дод 3 '!K145+'дод 3 '!K312+'дод 3 '!K406+'дод 3 '!K255</f>
        <v>0</v>
      </c>
      <c r="K262" s="50">
        <f>'дод 3 '!L62+'дод 3 '!L145+'дод 3 '!L312+'дод 3 '!L406+'дод 3 '!L255</f>
        <v>1635500</v>
      </c>
      <c r="L262" s="50">
        <f>'дод 3 '!M62+'дод 3 '!M145+'дод 3 '!M312+'дод 3 '!M406+'дод 3 '!M255</f>
        <v>0</v>
      </c>
      <c r="M262" s="50">
        <f>'дод 3 '!N62+'дод 3 '!N145+'дод 3 '!N312+'дод 3 '!N406+'дод 3 '!N255</f>
        <v>0</v>
      </c>
      <c r="N262" s="50">
        <f>'дод 3 '!O62+'дод 3 '!O145+'дод 3 '!O312+'дод 3 '!O406+'дод 3 '!O255</f>
        <v>592000</v>
      </c>
      <c r="O262" s="50">
        <f>'дод 3 '!P62+'дод 3 '!P145+'дод 3 '!P312+'дод 3 '!P406+'дод 3 '!P255</f>
        <v>2227500</v>
      </c>
      <c r="P262" s="227"/>
    </row>
    <row r="263" spans="1:16" s="43" customFormat="1" ht="20.25" hidden="1" customHeight="1" x14ac:dyDescent="0.25">
      <c r="A263" s="57" t="s">
        <v>131</v>
      </c>
      <c r="B263" s="58"/>
      <c r="C263" s="75" t="s">
        <v>75</v>
      </c>
      <c r="D263" s="48">
        <f t="shared" ref="D263:O263" si="55">D264</f>
        <v>0</v>
      </c>
      <c r="E263" s="48">
        <f t="shared" si="55"/>
        <v>0</v>
      </c>
      <c r="F263" s="48">
        <f t="shared" si="55"/>
        <v>0</v>
      </c>
      <c r="G263" s="48">
        <f t="shared" si="55"/>
        <v>0</v>
      </c>
      <c r="H263" s="48">
        <f t="shared" si="55"/>
        <v>0</v>
      </c>
      <c r="I263" s="48">
        <f t="shared" si="55"/>
        <v>0</v>
      </c>
      <c r="J263" s="48">
        <f t="shared" si="55"/>
        <v>0</v>
      </c>
      <c r="K263" s="48">
        <f t="shared" si="55"/>
        <v>0</v>
      </c>
      <c r="L263" s="48">
        <f t="shared" si="55"/>
        <v>0</v>
      </c>
      <c r="M263" s="48">
        <f t="shared" si="55"/>
        <v>0</v>
      </c>
      <c r="N263" s="48">
        <f t="shared" si="55"/>
        <v>0</v>
      </c>
      <c r="O263" s="48">
        <f t="shared" si="55"/>
        <v>0</v>
      </c>
      <c r="P263" s="227"/>
    </row>
    <row r="264" spans="1:16" s="43" customFormat="1" ht="21" hidden="1" customHeight="1" x14ac:dyDescent="0.25">
      <c r="A264" s="49" t="s">
        <v>252</v>
      </c>
      <c r="B264" s="3" t="s">
        <v>76</v>
      </c>
      <c r="C264" s="65" t="s">
        <v>253</v>
      </c>
      <c r="D264" s="50">
        <f>'дод 3 '!E63</f>
        <v>0</v>
      </c>
      <c r="E264" s="50">
        <f>'дод 3 '!F63</f>
        <v>0</v>
      </c>
      <c r="F264" s="50">
        <f>'дод 3 '!G63</f>
        <v>0</v>
      </c>
      <c r="G264" s="50">
        <f>'дод 3 '!H63</f>
        <v>0</v>
      </c>
      <c r="H264" s="50">
        <f>'дод 3 '!I63</f>
        <v>0</v>
      </c>
      <c r="I264" s="50">
        <f>'дод 3 '!J63</f>
        <v>0</v>
      </c>
      <c r="J264" s="50">
        <f>'дод 3 '!K63</f>
        <v>0</v>
      </c>
      <c r="K264" s="50">
        <f>'дод 3 '!L63</f>
        <v>0</v>
      </c>
      <c r="L264" s="50">
        <f>'дод 3 '!M63</f>
        <v>0</v>
      </c>
      <c r="M264" s="50">
        <f>'дод 3 '!N63</f>
        <v>0</v>
      </c>
      <c r="N264" s="50">
        <f>'дод 3 '!O63</f>
        <v>0</v>
      </c>
      <c r="O264" s="50">
        <f>'дод 3 '!P63</f>
        <v>0</v>
      </c>
      <c r="P264" s="227"/>
    </row>
    <row r="265" spans="1:16" s="43" customFormat="1" ht="21" customHeight="1" x14ac:dyDescent="0.25">
      <c r="A265" s="57" t="s">
        <v>94</v>
      </c>
      <c r="B265" s="57" t="s">
        <v>89</v>
      </c>
      <c r="C265" s="75" t="s">
        <v>11</v>
      </c>
      <c r="D265" s="48">
        <f>'дод 3 '!E407</f>
        <v>3017069</v>
      </c>
      <c r="E265" s="48">
        <f>'дод 3 '!F407</f>
        <v>3017069</v>
      </c>
      <c r="F265" s="48">
        <f>'дод 3 '!G407</f>
        <v>0</v>
      </c>
      <c r="G265" s="48">
        <f>'дод 3 '!H407</f>
        <v>0</v>
      </c>
      <c r="H265" s="48">
        <f>'дод 3 '!I407</f>
        <v>0</v>
      </c>
      <c r="I265" s="48">
        <f>'дод 3 '!J407</f>
        <v>0</v>
      </c>
      <c r="J265" s="48">
        <f>'дод 3 '!K407</f>
        <v>0</v>
      </c>
      <c r="K265" s="48">
        <f>'дод 3 '!L407</f>
        <v>0</v>
      </c>
      <c r="L265" s="48">
        <f>'дод 3 '!M407</f>
        <v>0</v>
      </c>
      <c r="M265" s="48">
        <f>'дод 3 '!N407</f>
        <v>0</v>
      </c>
      <c r="N265" s="48">
        <f>'дод 3 '!O407</f>
        <v>0</v>
      </c>
      <c r="O265" s="48">
        <f>'дод 3 '!P407</f>
        <v>3017069</v>
      </c>
      <c r="P265" s="227"/>
    </row>
    <row r="266" spans="1:16" s="43" customFormat="1" ht="21" customHeight="1" x14ac:dyDescent="0.25">
      <c r="A266" s="57">
        <v>8700</v>
      </c>
      <c r="B266" s="57"/>
      <c r="C266" s="75" t="s">
        <v>583</v>
      </c>
      <c r="D266" s="48">
        <f>D267+D271+D269+D270+D268</f>
        <v>162294939</v>
      </c>
      <c r="E266" s="48">
        <f t="shared" ref="E266:O266" si="56">E267+E271+E269+E270+E268</f>
        <v>0</v>
      </c>
      <c r="F266" s="48">
        <f t="shared" si="56"/>
        <v>0</v>
      </c>
      <c r="G266" s="48">
        <f t="shared" si="56"/>
        <v>0</v>
      </c>
      <c r="H266" s="48">
        <f t="shared" si="56"/>
        <v>0</v>
      </c>
      <c r="I266" s="48">
        <f t="shared" si="56"/>
        <v>0</v>
      </c>
      <c r="J266" s="48">
        <f t="shared" si="56"/>
        <v>0</v>
      </c>
      <c r="K266" s="48">
        <f t="shared" si="56"/>
        <v>0</v>
      </c>
      <c r="L266" s="48">
        <f t="shared" si="56"/>
        <v>0</v>
      </c>
      <c r="M266" s="48">
        <f t="shared" si="56"/>
        <v>0</v>
      </c>
      <c r="N266" s="48">
        <f t="shared" si="56"/>
        <v>0</v>
      </c>
      <c r="O266" s="48">
        <f t="shared" si="56"/>
        <v>162294939</v>
      </c>
      <c r="P266" s="227"/>
    </row>
    <row r="267" spans="1:16" ht="25.5" customHeight="1" x14ac:dyDescent="0.25">
      <c r="A267" s="49">
        <v>8710</v>
      </c>
      <c r="B267" s="49" t="s">
        <v>92</v>
      </c>
      <c r="C267" s="65" t="s">
        <v>485</v>
      </c>
      <c r="D267" s="50">
        <f>'дод 3 '!E408</f>
        <v>162294939</v>
      </c>
      <c r="E267" s="50">
        <f>'дод 3 '!F408</f>
        <v>0</v>
      </c>
      <c r="F267" s="50">
        <f>'дод 3 '!G408</f>
        <v>0</v>
      </c>
      <c r="G267" s="50">
        <f>'дод 3 '!H408</f>
        <v>0</v>
      </c>
      <c r="H267" s="50">
        <f>'дод 3 '!I408</f>
        <v>0</v>
      </c>
      <c r="I267" s="50">
        <f>'дод 3 '!J408</f>
        <v>0</v>
      </c>
      <c r="J267" s="50">
        <f>'дод 3 '!K408</f>
        <v>0</v>
      </c>
      <c r="K267" s="50">
        <f>'дод 3 '!L408</f>
        <v>0</v>
      </c>
      <c r="L267" s="50">
        <f>'дод 3 '!M408</f>
        <v>0</v>
      </c>
      <c r="M267" s="50">
        <f>'дод 3 '!N408</f>
        <v>0</v>
      </c>
      <c r="N267" s="50">
        <f>'дод 3 '!O408</f>
        <v>0</v>
      </c>
      <c r="O267" s="50">
        <f>'дод 3 '!P408</f>
        <v>162294939</v>
      </c>
      <c r="P267" s="227"/>
    </row>
    <row r="268" spans="1:16" ht="55.5" hidden="1" customHeight="1" x14ac:dyDescent="0.25">
      <c r="A268" s="49">
        <v>8741</v>
      </c>
      <c r="B268" s="49">
        <v>610</v>
      </c>
      <c r="C268" s="65" t="s">
        <v>596</v>
      </c>
      <c r="D268" s="50">
        <f>'дод 3 '!E313</f>
        <v>0</v>
      </c>
      <c r="E268" s="50">
        <f>'дод 3 '!F313</f>
        <v>0</v>
      </c>
      <c r="F268" s="50">
        <f>'дод 3 '!G313</f>
        <v>0</v>
      </c>
      <c r="G268" s="50">
        <f>'дод 3 '!H313</f>
        <v>0</v>
      </c>
      <c r="H268" s="50">
        <f>'дод 3 '!I313</f>
        <v>0</v>
      </c>
      <c r="I268" s="50">
        <f>'дод 3 '!J313</f>
        <v>0</v>
      </c>
      <c r="J268" s="50">
        <f>'дод 3 '!K313</f>
        <v>0</v>
      </c>
      <c r="K268" s="50">
        <f>'дод 3 '!L313</f>
        <v>0</v>
      </c>
      <c r="L268" s="50">
        <f>'дод 3 '!M313</f>
        <v>0</v>
      </c>
      <c r="M268" s="50">
        <f>'дод 3 '!N313</f>
        <v>0</v>
      </c>
      <c r="N268" s="50">
        <f>'дод 3 '!O313</f>
        <v>0</v>
      </c>
      <c r="O268" s="50">
        <f>'дод 3 '!P313</f>
        <v>0</v>
      </c>
      <c r="P268" s="93"/>
    </row>
    <row r="269" spans="1:16" ht="63" hidden="1" customHeight="1" x14ac:dyDescent="0.25">
      <c r="A269" s="49">
        <v>8746</v>
      </c>
      <c r="B269" s="49">
        <v>640</v>
      </c>
      <c r="C269" s="65" t="s">
        <v>594</v>
      </c>
      <c r="D269" s="50">
        <f>'дод 3 '!E314</f>
        <v>0</v>
      </c>
      <c r="E269" s="50">
        <f>'дод 3 '!F314</f>
        <v>0</v>
      </c>
      <c r="F269" s="50">
        <f>'дод 3 '!G314</f>
        <v>0</v>
      </c>
      <c r="G269" s="50">
        <f>'дод 3 '!H314</f>
        <v>0</v>
      </c>
      <c r="H269" s="50">
        <f>'дод 3 '!I314</f>
        <v>0</v>
      </c>
      <c r="I269" s="50">
        <f>'дод 3 '!J314</f>
        <v>0</v>
      </c>
      <c r="J269" s="50">
        <f>'дод 3 '!K314</f>
        <v>0</v>
      </c>
      <c r="K269" s="50">
        <f>'дод 3 '!L314</f>
        <v>0</v>
      </c>
      <c r="L269" s="50">
        <f>'дод 3 '!M314</f>
        <v>0</v>
      </c>
      <c r="M269" s="50">
        <f>'дод 3 '!N314</f>
        <v>0</v>
      </c>
      <c r="N269" s="50">
        <f>'дод 3 '!O314</f>
        <v>0</v>
      </c>
      <c r="O269" s="50">
        <f>'дод 3 '!P314</f>
        <v>0</v>
      </c>
      <c r="P269" s="93"/>
    </row>
    <row r="270" spans="1:16" ht="47.25" hidden="1" customHeight="1" x14ac:dyDescent="0.25">
      <c r="A270" s="49">
        <v>8751</v>
      </c>
      <c r="B270" s="49">
        <v>1070</v>
      </c>
      <c r="C270" s="65" t="s">
        <v>593</v>
      </c>
      <c r="D270" s="50">
        <f>'дод 3 '!E233</f>
        <v>0</v>
      </c>
      <c r="E270" s="50">
        <f>'дод 3 '!F233</f>
        <v>0</v>
      </c>
      <c r="F270" s="50">
        <f>'дод 3 '!G233</f>
        <v>0</v>
      </c>
      <c r="G270" s="50">
        <f>'дод 3 '!H233</f>
        <v>0</v>
      </c>
      <c r="H270" s="50">
        <f>'дод 3 '!I233</f>
        <v>0</v>
      </c>
      <c r="I270" s="50">
        <f>'дод 3 '!J233</f>
        <v>0</v>
      </c>
      <c r="J270" s="50">
        <f>'дод 3 '!K233</f>
        <v>0</v>
      </c>
      <c r="K270" s="50">
        <f>'дод 3 '!L233</f>
        <v>0</v>
      </c>
      <c r="L270" s="50">
        <f>'дод 3 '!M233</f>
        <v>0</v>
      </c>
      <c r="M270" s="50">
        <f>'дод 3 '!N233</f>
        <v>0</v>
      </c>
      <c r="N270" s="50">
        <f>'дод 3 '!O233</f>
        <v>0</v>
      </c>
      <c r="O270" s="50">
        <f>'дод 3 '!P233</f>
        <v>0</v>
      </c>
      <c r="P270" s="93"/>
    </row>
    <row r="271" spans="1:16" ht="33.75" hidden="1" customHeight="1" x14ac:dyDescent="0.25">
      <c r="A271" s="49">
        <v>8775</v>
      </c>
      <c r="B271" s="49" t="s">
        <v>92</v>
      </c>
      <c r="C271" s="65" t="s">
        <v>581</v>
      </c>
      <c r="D271" s="50">
        <f>'дод 3 '!E65+'дод 3 '!E189+'дод 3 '!E234+'дод 3 '!E315</f>
        <v>0</v>
      </c>
      <c r="E271" s="50">
        <f>'дод 3 '!F65+'дод 3 '!F189+'дод 3 '!F234+'дод 3 '!F315</f>
        <v>0</v>
      </c>
      <c r="F271" s="50">
        <f>'дод 3 '!G65+'дод 3 '!G189+'дод 3 '!G234+'дод 3 '!G315</f>
        <v>0</v>
      </c>
      <c r="G271" s="50">
        <f>'дод 3 '!H65+'дод 3 '!H189+'дод 3 '!H234+'дод 3 '!H315</f>
        <v>0</v>
      </c>
      <c r="H271" s="50">
        <f>'дод 3 '!I65+'дод 3 '!I189+'дод 3 '!I234+'дод 3 '!I315</f>
        <v>0</v>
      </c>
      <c r="I271" s="50">
        <f>'дод 3 '!J65+'дод 3 '!J189+'дод 3 '!J234+'дод 3 '!J315</f>
        <v>0</v>
      </c>
      <c r="J271" s="50">
        <f>'дод 3 '!K65+'дод 3 '!K189+'дод 3 '!K234+'дод 3 '!K315</f>
        <v>0</v>
      </c>
      <c r="K271" s="50">
        <f>'дод 3 '!L65+'дод 3 '!L189+'дод 3 '!L234+'дод 3 '!L315</f>
        <v>0</v>
      </c>
      <c r="L271" s="50">
        <f>'дод 3 '!M65+'дод 3 '!M189+'дод 3 '!M234+'дод 3 '!M315</f>
        <v>0</v>
      </c>
      <c r="M271" s="50">
        <f>'дод 3 '!N65+'дод 3 '!N189+'дод 3 '!N234+'дод 3 '!N315</f>
        <v>0</v>
      </c>
      <c r="N271" s="50">
        <f>'дод 3 '!O65+'дод 3 '!O189+'дод 3 '!O234+'дод 3 '!O315</f>
        <v>0</v>
      </c>
      <c r="O271" s="50">
        <f>'дод 3 '!P65+'дод 3 '!P189+'дод 3 '!P234+'дод 3 '!P315</f>
        <v>0</v>
      </c>
      <c r="P271" s="93"/>
    </row>
    <row r="272" spans="1:16" s="43" customFormat="1" ht="24" customHeight="1" x14ac:dyDescent="0.25">
      <c r="A272" s="57" t="s">
        <v>12</v>
      </c>
      <c r="B272" s="57"/>
      <c r="C272" s="75" t="s">
        <v>560</v>
      </c>
      <c r="D272" s="48">
        <f>D274+D276+D280+D284</f>
        <v>7176800</v>
      </c>
      <c r="E272" s="48">
        <f t="shared" ref="E272:O272" si="57">E274+E276+E280+E284</f>
        <v>7176800</v>
      </c>
      <c r="F272" s="48">
        <f t="shared" si="57"/>
        <v>0</v>
      </c>
      <c r="G272" s="48">
        <f t="shared" si="57"/>
        <v>0</v>
      </c>
      <c r="H272" s="48">
        <f t="shared" si="57"/>
        <v>0</v>
      </c>
      <c r="I272" s="48">
        <f t="shared" si="57"/>
        <v>33493200</v>
      </c>
      <c r="J272" s="48">
        <f t="shared" si="57"/>
        <v>33493200</v>
      </c>
      <c r="K272" s="48">
        <f t="shared" si="57"/>
        <v>0</v>
      </c>
      <c r="L272" s="48">
        <f t="shared" si="57"/>
        <v>0</v>
      </c>
      <c r="M272" s="48">
        <f t="shared" si="57"/>
        <v>0</v>
      </c>
      <c r="N272" s="48">
        <f t="shared" si="57"/>
        <v>33493200</v>
      </c>
      <c r="O272" s="48">
        <f t="shared" si="57"/>
        <v>40670000</v>
      </c>
      <c r="P272" s="228"/>
    </row>
    <row r="273" spans="1:18" s="43" customFormat="1" ht="36.75" hidden="1" customHeight="1" x14ac:dyDescent="0.25">
      <c r="A273" s="57"/>
      <c r="B273" s="57"/>
      <c r="C273" s="9" t="s">
        <v>502</v>
      </c>
      <c r="D273" s="61">
        <f>D277</f>
        <v>0</v>
      </c>
      <c r="E273" s="61">
        <f t="shared" ref="E273:O273" si="58">E277</f>
        <v>0</v>
      </c>
      <c r="F273" s="61">
        <f t="shared" si="58"/>
        <v>0</v>
      </c>
      <c r="G273" s="61">
        <f t="shared" si="58"/>
        <v>0</v>
      </c>
      <c r="H273" s="61">
        <f t="shared" si="58"/>
        <v>0</v>
      </c>
      <c r="I273" s="61">
        <f t="shared" si="58"/>
        <v>0</v>
      </c>
      <c r="J273" s="61">
        <f t="shared" si="58"/>
        <v>0</v>
      </c>
      <c r="K273" s="61">
        <f t="shared" si="58"/>
        <v>0</v>
      </c>
      <c r="L273" s="61">
        <f t="shared" si="58"/>
        <v>0</v>
      </c>
      <c r="M273" s="61">
        <f t="shared" si="58"/>
        <v>0</v>
      </c>
      <c r="N273" s="61">
        <f t="shared" si="58"/>
        <v>0</v>
      </c>
      <c r="O273" s="61">
        <f t="shared" si="58"/>
        <v>0</v>
      </c>
      <c r="P273" s="228"/>
    </row>
    <row r="274" spans="1:18" s="43" customFormat="1" ht="21.75" hidden="1" customHeight="1" x14ac:dyDescent="0.25">
      <c r="A274" s="57" t="s">
        <v>250</v>
      </c>
      <c r="B274" s="57"/>
      <c r="C274" s="75" t="s">
        <v>292</v>
      </c>
      <c r="D274" s="48">
        <f t="shared" ref="D274:O274" si="59">D275</f>
        <v>0</v>
      </c>
      <c r="E274" s="48">
        <f t="shared" si="59"/>
        <v>0</v>
      </c>
      <c r="F274" s="48">
        <f t="shared" si="59"/>
        <v>0</v>
      </c>
      <c r="G274" s="48">
        <f t="shared" si="59"/>
        <v>0</v>
      </c>
      <c r="H274" s="48">
        <f t="shared" si="59"/>
        <v>0</v>
      </c>
      <c r="I274" s="48">
        <f t="shared" si="59"/>
        <v>0</v>
      </c>
      <c r="J274" s="48">
        <f t="shared" si="59"/>
        <v>0</v>
      </c>
      <c r="K274" s="48">
        <f t="shared" si="59"/>
        <v>0</v>
      </c>
      <c r="L274" s="48">
        <f t="shared" si="59"/>
        <v>0</v>
      </c>
      <c r="M274" s="48">
        <f t="shared" si="59"/>
        <v>0</v>
      </c>
      <c r="N274" s="48">
        <f t="shared" si="59"/>
        <v>0</v>
      </c>
      <c r="O274" s="48">
        <f t="shared" si="59"/>
        <v>0</v>
      </c>
      <c r="P274" s="228"/>
    </row>
    <row r="275" spans="1:18" s="43" customFormat="1" ht="21" hidden="1" customHeight="1" x14ac:dyDescent="0.25">
      <c r="A275" s="49" t="s">
        <v>90</v>
      </c>
      <c r="B275" s="3" t="s">
        <v>44</v>
      </c>
      <c r="C275" s="65" t="s">
        <v>109</v>
      </c>
      <c r="D275" s="50">
        <f>'дод 3 '!E409</f>
        <v>0</v>
      </c>
      <c r="E275" s="50">
        <f>'дод 3 '!F409</f>
        <v>0</v>
      </c>
      <c r="F275" s="50">
        <f>'дод 3 '!G409</f>
        <v>0</v>
      </c>
      <c r="G275" s="50">
        <f>'дод 3 '!H409</f>
        <v>0</v>
      </c>
      <c r="H275" s="50">
        <f>'дод 3 '!I409</f>
        <v>0</v>
      </c>
      <c r="I275" s="50">
        <f>'дод 3 '!J409</f>
        <v>0</v>
      </c>
      <c r="J275" s="50">
        <f>'дод 3 '!K409</f>
        <v>0</v>
      </c>
      <c r="K275" s="50">
        <f>'дод 3 '!L409</f>
        <v>0</v>
      </c>
      <c r="L275" s="50">
        <f>'дод 3 '!M409</f>
        <v>0</v>
      </c>
      <c r="M275" s="50">
        <f>'дод 3 '!N409</f>
        <v>0</v>
      </c>
      <c r="N275" s="50">
        <f>'дод 3 '!O409</f>
        <v>0</v>
      </c>
      <c r="O275" s="50">
        <f>'дод 3 '!P409</f>
        <v>0</v>
      </c>
      <c r="P275" s="228"/>
      <c r="R275" s="43" t="s">
        <v>683</v>
      </c>
    </row>
    <row r="276" spans="1:18" s="43" customFormat="1" ht="63" hidden="1" customHeight="1" x14ac:dyDescent="0.25">
      <c r="A276" s="57">
        <v>9300</v>
      </c>
      <c r="B276" s="94"/>
      <c r="C276" s="75" t="s">
        <v>499</v>
      </c>
      <c r="D276" s="48">
        <f>D278</f>
        <v>0</v>
      </c>
      <c r="E276" s="48">
        <f t="shared" ref="E276:O276" si="60">E278</f>
        <v>0</v>
      </c>
      <c r="F276" s="48">
        <f t="shared" si="60"/>
        <v>0</v>
      </c>
      <c r="G276" s="48">
        <f t="shared" si="60"/>
        <v>0</v>
      </c>
      <c r="H276" s="48">
        <f t="shared" si="60"/>
        <v>0</v>
      </c>
      <c r="I276" s="48">
        <f t="shared" si="60"/>
        <v>0</v>
      </c>
      <c r="J276" s="48">
        <f t="shared" si="60"/>
        <v>0</v>
      </c>
      <c r="K276" s="48">
        <f t="shared" si="60"/>
        <v>0</v>
      </c>
      <c r="L276" s="48">
        <f t="shared" si="60"/>
        <v>0</v>
      </c>
      <c r="M276" s="48">
        <f t="shared" si="60"/>
        <v>0</v>
      </c>
      <c r="N276" s="48">
        <f t="shared" si="60"/>
        <v>0</v>
      </c>
      <c r="O276" s="48">
        <f t="shared" si="60"/>
        <v>0</v>
      </c>
      <c r="P276" s="228"/>
    </row>
    <row r="277" spans="1:18" s="43" customFormat="1" ht="31.5" hidden="1" customHeight="1" x14ac:dyDescent="0.25">
      <c r="A277" s="57"/>
      <c r="B277" s="1"/>
      <c r="C277" s="9" t="s">
        <v>502</v>
      </c>
      <c r="D277" s="61">
        <f>D279</f>
        <v>0</v>
      </c>
      <c r="E277" s="61">
        <f t="shared" ref="E277:O277" si="61">E279</f>
        <v>0</v>
      </c>
      <c r="F277" s="61">
        <f t="shared" si="61"/>
        <v>0</v>
      </c>
      <c r="G277" s="61">
        <f t="shared" si="61"/>
        <v>0</v>
      </c>
      <c r="H277" s="61">
        <f t="shared" si="61"/>
        <v>0</v>
      </c>
      <c r="I277" s="61">
        <f t="shared" si="61"/>
        <v>0</v>
      </c>
      <c r="J277" s="61">
        <f t="shared" si="61"/>
        <v>0</v>
      </c>
      <c r="K277" s="61">
        <f t="shared" si="61"/>
        <v>0</v>
      </c>
      <c r="L277" s="61">
        <f t="shared" si="61"/>
        <v>0</v>
      </c>
      <c r="M277" s="61">
        <f t="shared" si="61"/>
        <v>0</v>
      </c>
      <c r="N277" s="61">
        <f t="shared" si="61"/>
        <v>0</v>
      </c>
      <c r="O277" s="61">
        <f t="shared" si="61"/>
        <v>0</v>
      </c>
      <c r="P277" s="228"/>
    </row>
    <row r="278" spans="1:18" s="43" customFormat="1" ht="47.25" hidden="1" customHeight="1" x14ac:dyDescent="0.25">
      <c r="A278" s="49">
        <v>9320</v>
      </c>
      <c r="B278" s="1" t="s">
        <v>44</v>
      </c>
      <c r="C278" s="4" t="s">
        <v>500</v>
      </c>
      <c r="D278" s="50">
        <f>'дод 3 '!E146</f>
        <v>0</v>
      </c>
      <c r="E278" s="50">
        <f>'дод 3 '!F146</f>
        <v>0</v>
      </c>
      <c r="F278" s="50">
        <f>'дод 3 '!G146</f>
        <v>0</v>
      </c>
      <c r="G278" s="50">
        <f>'дод 3 '!H146</f>
        <v>0</v>
      </c>
      <c r="H278" s="50">
        <f>'дод 3 '!I146</f>
        <v>0</v>
      </c>
      <c r="I278" s="50">
        <f>'дод 3 '!J146</f>
        <v>0</v>
      </c>
      <c r="J278" s="50">
        <f>'дод 3 '!K146</f>
        <v>0</v>
      </c>
      <c r="K278" s="50">
        <f>'дод 3 '!L146</f>
        <v>0</v>
      </c>
      <c r="L278" s="50">
        <f>'дод 3 '!M146</f>
        <v>0</v>
      </c>
      <c r="M278" s="50">
        <f>'дод 3 '!N146</f>
        <v>0</v>
      </c>
      <c r="N278" s="50">
        <f>'дод 3 '!O146</f>
        <v>0</v>
      </c>
      <c r="O278" s="50">
        <f>'дод 3 '!P146</f>
        <v>0</v>
      </c>
      <c r="P278" s="228"/>
    </row>
    <row r="279" spans="1:18" s="62" customFormat="1" ht="31.5" hidden="1" customHeight="1" x14ac:dyDescent="0.25">
      <c r="A279" s="52"/>
      <c r="B279" s="66"/>
      <c r="C279" s="64" t="s">
        <v>502</v>
      </c>
      <c r="D279" s="55">
        <f>'дод 3 '!E147</f>
        <v>0</v>
      </c>
      <c r="E279" s="55">
        <f>'дод 3 '!F147</f>
        <v>0</v>
      </c>
      <c r="F279" s="55">
        <f>'дод 3 '!G147</f>
        <v>0</v>
      </c>
      <c r="G279" s="55">
        <f>'дод 3 '!H147</f>
        <v>0</v>
      </c>
      <c r="H279" s="55">
        <f>'дод 3 '!I147</f>
        <v>0</v>
      </c>
      <c r="I279" s="55">
        <f>'дод 3 '!J147</f>
        <v>0</v>
      </c>
      <c r="J279" s="55">
        <f>'дод 3 '!K147</f>
        <v>0</v>
      </c>
      <c r="K279" s="55">
        <f>'дод 3 '!L147</f>
        <v>0</v>
      </c>
      <c r="L279" s="55">
        <f>'дод 3 '!M147</f>
        <v>0</v>
      </c>
      <c r="M279" s="55">
        <f>'дод 3 '!N147</f>
        <v>0</v>
      </c>
      <c r="N279" s="55">
        <f>'дод 3 '!O147</f>
        <v>0</v>
      </c>
      <c r="O279" s="55">
        <f>'дод 3 '!P147</f>
        <v>0</v>
      </c>
      <c r="P279" s="228"/>
    </row>
    <row r="280" spans="1:18" s="43" customFormat="1" ht="46.15" customHeight="1" x14ac:dyDescent="0.25">
      <c r="A280" s="57" t="s">
        <v>13</v>
      </c>
      <c r="B280" s="94"/>
      <c r="C280" s="75" t="s">
        <v>341</v>
      </c>
      <c r="D280" s="48">
        <f>D281+D282+D283</f>
        <v>4026800</v>
      </c>
      <c r="E280" s="48">
        <f t="shared" ref="E280:O280" si="62">E281+E282+E283</f>
        <v>4026800</v>
      </c>
      <c r="F280" s="48">
        <f t="shared" si="62"/>
        <v>0</v>
      </c>
      <c r="G280" s="48">
        <f t="shared" si="62"/>
        <v>0</v>
      </c>
      <c r="H280" s="48">
        <f t="shared" si="62"/>
        <v>0</v>
      </c>
      <c r="I280" s="48">
        <f t="shared" si="62"/>
        <v>10973200</v>
      </c>
      <c r="J280" s="48">
        <f t="shared" si="62"/>
        <v>10973200</v>
      </c>
      <c r="K280" s="48">
        <f t="shared" si="62"/>
        <v>0</v>
      </c>
      <c r="L280" s="48">
        <f t="shared" si="62"/>
        <v>0</v>
      </c>
      <c r="M280" s="48">
        <f t="shared" si="62"/>
        <v>0</v>
      </c>
      <c r="N280" s="48">
        <f t="shared" si="62"/>
        <v>10973200</v>
      </c>
      <c r="O280" s="48">
        <f t="shared" si="62"/>
        <v>15000000</v>
      </c>
      <c r="P280" s="228"/>
    </row>
    <row r="281" spans="1:18" s="43" customFormat="1" ht="79.5" hidden="1" customHeight="1" x14ac:dyDescent="0.25">
      <c r="A281" s="3">
        <v>9730</v>
      </c>
      <c r="B281" s="1" t="s">
        <v>44</v>
      </c>
      <c r="C281" s="63" t="s">
        <v>530</v>
      </c>
      <c r="D281" s="50">
        <f>'дод 3 '!E316</f>
        <v>0</v>
      </c>
      <c r="E281" s="50">
        <f>'дод 3 '!F316</f>
        <v>0</v>
      </c>
      <c r="F281" s="50">
        <f>'дод 3 '!G316</f>
        <v>0</v>
      </c>
      <c r="G281" s="50">
        <f>'дод 3 '!H316</f>
        <v>0</v>
      </c>
      <c r="H281" s="50">
        <f>'дод 3 '!I316</f>
        <v>0</v>
      </c>
      <c r="I281" s="50">
        <f>'дод 3 '!J316</f>
        <v>0</v>
      </c>
      <c r="J281" s="50">
        <f>'дод 3 '!K316</f>
        <v>0</v>
      </c>
      <c r="K281" s="50">
        <f>'дод 3 '!L316</f>
        <v>0</v>
      </c>
      <c r="L281" s="50">
        <f>'дод 3 '!M316</f>
        <v>0</v>
      </c>
      <c r="M281" s="50">
        <f>'дод 3 '!N316</f>
        <v>0</v>
      </c>
      <c r="N281" s="50">
        <f>'дод 3 '!O316</f>
        <v>0</v>
      </c>
      <c r="O281" s="50">
        <f>'дод 3 '!P316</f>
        <v>0</v>
      </c>
      <c r="P281" s="228"/>
    </row>
    <row r="282" spans="1:18" ht="31.5" hidden="1" customHeight="1" x14ac:dyDescent="0.25">
      <c r="A282" s="49">
        <v>9750</v>
      </c>
      <c r="B282" s="3" t="s">
        <v>44</v>
      </c>
      <c r="C282" s="63" t="s">
        <v>492</v>
      </c>
      <c r="D282" s="50">
        <f>'дод 3 '!E317</f>
        <v>0</v>
      </c>
      <c r="E282" s="50">
        <f>'дод 3 '!F317</f>
        <v>0</v>
      </c>
      <c r="F282" s="50">
        <f>'дод 3 '!G317</f>
        <v>0</v>
      </c>
      <c r="G282" s="50">
        <f>'дод 3 '!H317</f>
        <v>0</v>
      </c>
      <c r="H282" s="50">
        <f>'дод 3 '!I317</f>
        <v>0</v>
      </c>
      <c r="I282" s="50">
        <f>'дод 3 '!J317</f>
        <v>0</v>
      </c>
      <c r="J282" s="50">
        <f>'дод 3 '!K317</f>
        <v>0</v>
      </c>
      <c r="K282" s="50">
        <f>'дод 3 '!L317</f>
        <v>0</v>
      </c>
      <c r="L282" s="50">
        <f>'дод 3 '!M317</f>
        <v>0</v>
      </c>
      <c r="M282" s="50">
        <f>'дод 3 '!N317</f>
        <v>0</v>
      </c>
      <c r="N282" s="50">
        <f>'дод 3 '!O317</f>
        <v>0</v>
      </c>
      <c r="O282" s="50">
        <f>'дод 3 '!P317</f>
        <v>0</v>
      </c>
      <c r="P282" s="228"/>
    </row>
    <row r="283" spans="1:18" s="43" customFormat="1" ht="24" customHeight="1" x14ac:dyDescent="0.25">
      <c r="A283" s="49" t="s">
        <v>14</v>
      </c>
      <c r="B283" s="3" t="s">
        <v>44</v>
      </c>
      <c r="C283" s="4" t="s">
        <v>350</v>
      </c>
      <c r="D283" s="50">
        <f>'дод 3 '!E148+'дод 3 '!E188+'дод 3 '!E235+'дод 3 '!E318+'дод 3 '!E64+'дод 3 '!E66</f>
        <v>4026800</v>
      </c>
      <c r="E283" s="50">
        <f>'дод 3 '!F148+'дод 3 '!F188+'дод 3 '!F235+'дод 3 '!F318+'дод 3 '!F64+'дод 3 '!F66</f>
        <v>4026800</v>
      </c>
      <c r="F283" s="50">
        <f>'дод 3 '!G148+'дод 3 '!G188+'дод 3 '!G235+'дод 3 '!G318+'дод 3 '!G64+'дод 3 '!G66</f>
        <v>0</v>
      </c>
      <c r="G283" s="50">
        <f>'дод 3 '!H148+'дод 3 '!H188+'дод 3 '!H235+'дод 3 '!H318+'дод 3 '!H64+'дод 3 '!H66</f>
        <v>0</v>
      </c>
      <c r="H283" s="50">
        <f>'дод 3 '!I148+'дод 3 '!I188+'дод 3 '!I235+'дод 3 '!I318+'дод 3 '!I64+'дод 3 '!I66</f>
        <v>0</v>
      </c>
      <c r="I283" s="50">
        <f>'дод 3 '!J148+'дод 3 '!J188+'дод 3 '!J235+'дод 3 '!J318+'дод 3 '!J64+'дод 3 '!J66</f>
        <v>10973200</v>
      </c>
      <c r="J283" s="50">
        <f>'дод 3 '!K148+'дод 3 '!K188+'дод 3 '!K235+'дод 3 '!K318+'дод 3 '!K64+'дод 3 '!K66</f>
        <v>10973200</v>
      </c>
      <c r="K283" s="50">
        <f>'дод 3 '!L148+'дод 3 '!L188+'дод 3 '!L235+'дод 3 '!L318+'дод 3 '!L64+'дод 3 '!L66</f>
        <v>0</v>
      </c>
      <c r="L283" s="50">
        <f>'дод 3 '!M148+'дод 3 '!M188+'дод 3 '!M235+'дод 3 '!M318+'дод 3 '!M64+'дод 3 '!M66</f>
        <v>0</v>
      </c>
      <c r="M283" s="50">
        <f>'дод 3 '!N148+'дод 3 '!N188+'дод 3 '!N235+'дод 3 '!N318+'дод 3 '!N64+'дод 3 '!N66</f>
        <v>0</v>
      </c>
      <c r="N283" s="50">
        <f>'дод 3 '!O148+'дод 3 '!O188+'дод 3 '!O235+'дод 3 '!O318+'дод 3 '!O64+'дод 3 '!O66</f>
        <v>10973200</v>
      </c>
      <c r="O283" s="50">
        <f>'дод 3 '!P148+'дод 3 '!P188+'дод 3 '!P235+'дод 3 '!P318+'дод 3 '!P64+'дод 3 '!P66</f>
        <v>15000000</v>
      </c>
      <c r="P283" s="228"/>
    </row>
    <row r="284" spans="1:18" s="43" customFormat="1" ht="51" customHeight="1" x14ac:dyDescent="0.25">
      <c r="A284" s="57">
        <v>9800</v>
      </c>
      <c r="B284" s="58" t="s">
        <v>44</v>
      </c>
      <c r="C284" s="47" t="s">
        <v>361</v>
      </c>
      <c r="D284" s="48">
        <f>'дод 3 '!E149+'дод 3 '!E67+'дод 3 '!E319</f>
        <v>3150000</v>
      </c>
      <c r="E284" s="48">
        <f>'дод 3 '!F149+'дод 3 '!F67+'дод 3 '!F319</f>
        <v>3150000</v>
      </c>
      <c r="F284" s="48">
        <f>'дод 3 '!G149+'дод 3 '!G67+'дод 3 '!G319</f>
        <v>0</v>
      </c>
      <c r="G284" s="48">
        <f>'дод 3 '!H149+'дод 3 '!H67+'дод 3 '!H319</f>
        <v>0</v>
      </c>
      <c r="H284" s="48">
        <f>'дод 3 '!I149+'дод 3 '!I67+'дод 3 '!I319</f>
        <v>0</v>
      </c>
      <c r="I284" s="48">
        <f>'дод 3 '!J149+'дод 3 '!J67+'дод 3 '!J319</f>
        <v>22520000</v>
      </c>
      <c r="J284" s="48">
        <f>'дод 3 '!K149+'дод 3 '!K67+'дод 3 '!K319</f>
        <v>22520000</v>
      </c>
      <c r="K284" s="48">
        <f>'дод 3 '!L149+'дод 3 '!L67+'дод 3 '!L319</f>
        <v>0</v>
      </c>
      <c r="L284" s="48">
        <f>'дод 3 '!M149+'дод 3 '!M67+'дод 3 '!M319</f>
        <v>0</v>
      </c>
      <c r="M284" s="48">
        <f>'дод 3 '!N149+'дод 3 '!N67+'дод 3 '!N319</f>
        <v>0</v>
      </c>
      <c r="N284" s="48">
        <f>'дод 3 '!O149+'дод 3 '!O67+'дод 3 '!O319</f>
        <v>22520000</v>
      </c>
      <c r="O284" s="48">
        <f>'дод 3 '!P149+'дод 3 '!P67+'дод 3 '!P319</f>
        <v>25670000</v>
      </c>
      <c r="P284" s="228"/>
    </row>
    <row r="285" spans="1:18" s="43" customFormat="1" ht="21" customHeight="1" x14ac:dyDescent="0.25">
      <c r="A285" s="45"/>
      <c r="B285" s="45"/>
      <c r="C285" s="75" t="s">
        <v>396</v>
      </c>
      <c r="D285" s="48">
        <f>D15+D22+D86+D111+D154+D159+D168+D182+D249+D272</f>
        <v>3013587661.8900003</v>
      </c>
      <c r="E285" s="48">
        <f t="shared" ref="E285:O285" si="63">E15+E22+E86+E111+E154+E159+E168+E182+E249+E272</f>
        <v>2724962722.8900003</v>
      </c>
      <c r="F285" s="48">
        <f t="shared" si="63"/>
        <v>1403536270</v>
      </c>
      <c r="G285" s="48">
        <f t="shared" si="63"/>
        <v>214908400</v>
      </c>
      <c r="H285" s="48">
        <f t="shared" si="63"/>
        <v>126330000</v>
      </c>
      <c r="I285" s="48">
        <f t="shared" si="63"/>
        <v>678883582.65999997</v>
      </c>
      <c r="J285" s="48">
        <f t="shared" si="63"/>
        <v>502172614.64999998</v>
      </c>
      <c r="K285" s="48">
        <f t="shared" si="63"/>
        <v>107570600</v>
      </c>
      <c r="L285" s="48">
        <f t="shared" si="63"/>
        <v>10161379</v>
      </c>
      <c r="M285" s="48">
        <f t="shared" ca="1" si="63"/>
        <v>5905712</v>
      </c>
      <c r="N285" s="48">
        <f t="shared" si="63"/>
        <v>571312982.65999997</v>
      </c>
      <c r="O285" s="48">
        <f t="shared" si="63"/>
        <v>3692471244.5500002</v>
      </c>
      <c r="P285" s="228"/>
    </row>
    <row r="286" spans="1:18" s="62" customFormat="1" ht="27" customHeight="1" x14ac:dyDescent="0.25">
      <c r="A286" s="95"/>
      <c r="B286" s="95"/>
      <c r="C286" s="9" t="s">
        <v>719</v>
      </c>
      <c r="D286" s="61">
        <f>D23+D24+D34+D192+D186+D115</f>
        <v>552925324.88999999</v>
      </c>
      <c r="E286" s="61">
        <f t="shared" ref="E286:O286" si="64">E23+E24+E34+E192+E186+E115</f>
        <v>552925324.88999999</v>
      </c>
      <c r="F286" s="61">
        <f t="shared" si="64"/>
        <v>452674600</v>
      </c>
      <c r="G286" s="61">
        <f t="shared" si="64"/>
        <v>0</v>
      </c>
      <c r="H286" s="61">
        <f t="shared" si="64"/>
        <v>0</v>
      </c>
      <c r="I286" s="61">
        <f t="shared" si="64"/>
        <v>0</v>
      </c>
      <c r="J286" s="61">
        <f t="shared" si="64"/>
        <v>0</v>
      </c>
      <c r="K286" s="61">
        <f t="shared" si="64"/>
        <v>0</v>
      </c>
      <c r="L286" s="61">
        <f t="shared" si="64"/>
        <v>0</v>
      </c>
      <c r="M286" s="61">
        <f t="shared" si="64"/>
        <v>0</v>
      </c>
      <c r="N286" s="61">
        <f t="shared" si="64"/>
        <v>0</v>
      </c>
      <c r="O286" s="61">
        <f t="shared" si="64"/>
        <v>552925324.88999999</v>
      </c>
      <c r="P286" s="228"/>
    </row>
    <row r="287" spans="1:18" s="62" customFormat="1" ht="35.25" customHeight="1" x14ac:dyDescent="0.25">
      <c r="A287" s="95"/>
      <c r="B287" s="95"/>
      <c r="C287" s="9" t="s">
        <v>720</v>
      </c>
      <c r="D287" s="61">
        <f>D25+D187</f>
        <v>4320175</v>
      </c>
      <c r="E287" s="61">
        <f t="shared" ref="E287:O287" si="65">E25+E187</f>
        <v>4320175</v>
      </c>
      <c r="F287" s="61">
        <f t="shared" si="65"/>
        <v>1714570</v>
      </c>
      <c r="G287" s="61">
        <f t="shared" si="65"/>
        <v>0</v>
      </c>
      <c r="H287" s="61">
        <f t="shared" si="65"/>
        <v>0</v>
      </c>
      <c r="I287" s="61">
        <f t="shared" si="65"/>
        <v>67150626.659999996</v>
      </c>
      <c r="J287" s="61">
        <f t="shared" si="65"/>
        <v>0</v>
      </c>
      <c r="K287" s="61">
        <f t="shared" si="65"/>
        <v>0</v>
      </c>
      <c r="L287" s="61">
        <f t="shared" si="65"/>
        <v>0</v>
      </c>
      <c r="M287" s="61">
        <f t="shared" si="65"/>
        <v>0</v>
      </c>
      <c r="N287" s="61">
        <f t="shared" si="65"/>
        <v>67150626.659999996</v>
      </c>
      <c r="O287" s="61">
        <f t="shared" si="65"/>
        <v>71470801.659999996</v>
      </c>
      <c r="P287" s="228"/>
    </row>
    <row r="288" spans="1:18" s="62" customFormat="1" ht="30.75" hidden="1" customHeight="1" x14ac:dyDescent="0.25">
      <c r="A288" s="95"/>
      <c r="B288" s="95"/>
      <c r="C288" s="60" t="s">
        <v>697</v>
      </c>
      <c r="D288" s="61">
        <f t="shared" ref="D288" si="66">D185</f>
        <v>0</v>
      </c>
      <c r="E288" s="61">
        <f t="shared" ref="E288:O288" si="67">E185</f>
        <v>0</v>
      </c>
      <c r="F288" s="61">
        <f t="shared" si="67"/>
        <v>0</v>
      </c>
      <c r="G288" s="61">
        <f t="shared" si="67"/>
        <v>0</v>
      </c>
      <c r="H288" s="61">
        <f t="shared" si="67"/>
        <v>0</v>
      </c>
      <c r="I288" s="61">
        <f t="shared" si="67"/>
        <v>0</v>
      </c>
      <c r="J288" s="61">
        <f t="shared" si="67"/>
        <v>0</v>
      </c>
      <c r="K288" s="61">
        <f t="shared" si="67"/>
        <v>0</v>
      </c>
      <c r="L288" s="61">
        <f t="shared" si="67"/>
        <v>0</v>
      </c>
      <c r="M288" s="61">
        <f t="shared" si="67"/>
        <v>0</v>
      </c>
      <c r="N288" s="61">
        <f t="shared" si="67"/>
        <v>0</v>
      </c>
      <c r="O288" s="61">
        <f t="shared" si="67"/>
        <v>0</v>
      </c>
      <c r="P288" s="228"/>
    </row>
    <row r="289" spans="1:16" s="62" customFormat="1" ht="24" customHeight="1" x14ac:dyDescent="0.25">
      <c r="A289" s="95"/>
      <c r="B289" s="95"/>
      <c r="C289" s="9" t="s">
        <v>721</v>
      </c>
      <c r="D289" s="61">
        <f>D114+D250</f>
        <v>1957329</v>
      </c>
      <c r="E289" s="61">
        <f t="shared" ref="E289:O289" si="68">E114+E250</f>
        <v>1957329</v>
      </c>
      <c r="F289" s="61">
        <f t="shared" si="68"/>
        <v>336800</v>
      </c>
      <c r="G289" s="61">
        <f t="shared" si="68"/>
        <v>0</v>
      </c>
      <c r="H289" s="61">
        <f t="shared" si="68"/>
        <v>0</v>
      </c>
      <c r="I289" s="61">
        <f t="shared" si="68"/>
        <v>0</v>
      </c>
      <c r="J289" s="61">
        <f t="shared" si="68"/>
        <v>0</v>
      </c>
      <c r="K289" s="61">
        <f t="shared" si="68"/>
        <v>0</v>
      </c>
      <c r="L289" s="61">
        <f t="shared" si="68"/>
        <v>0</v>
      </c>
      <c r="M289" s="61">
        <f t="shared" si="68"/>
        <v>0</v>
      </c>
      <c r="N289" s="61">
        <f t="shared" si="68"/>
        <v>0</v>
      </c>
      <c r="O289" s="61">
        <f t="shared" si="68"/>
        <v>1957329</v>
      </c>
      <c r="P289" s="228"/>
    </row>
    <row r="290" spans="1:16" s="62" customFormat="1" ht="23.25" customHeight="1" x14ac:dyDescent="0.25">
      <c r="A290" s="59"/>
      <c r="B290" s="59"/>
      <c r="C290" s="9" t="s">
        <v>407</v>
      </c>
      <c r="D290" s="61">
        <f t="shared" ref="D290:O290" si="69">D188</f>
        <v>0</v>
      </c>
      <c r="E290" s="61">
        <f t="shared" si="69"/>
        <v>0</v>
      </c>
      <c r="F290" s="61">
        <f t="shared" si="69"/>
        <v>0</v>
      </c>
      <c r="G290" s="61">
        <f t="shared" si="69"/>
        <v>0</v>
      </c>
      <c r="H290" s="61">
        <f t="shared" si="69"/>
        <v>0</v>
      </c>
      <c r="I290" s="61">
        <f t="shared" si="69"/>
        <v>61868709</v>
      </c>
      <c r="J290" s="61">
        <f t="shared" si="69"/>
        <v>61868709</v>
      </c>
      <c r="K290" s="61">
        <f t="shared" si="69"/>
        <v>0</v>
      </c>
      <c r="L290" s="61">
        <f t="shared" si="69"/>
        <v>0</v>
      </c>
      <c r="M290" s="61">
        <f t="shared" si="69"/>
        <v>0</v>
      </c>
      <c r="N290" s="61">
        <f t="shared" si="69"/>
        <v>61868709</v>
      </c>
      <c r="O290" s="61">
        <f t="shared" si="69"/>
        <v>61868709</v>
      </c>
      <c r="P290" s="228"/>
    </row>
    <row r="291" spans="1:16" s="62" customFormat="1" ht="23.25" hidden="1" customHeight="1" x14ac:dyDescent="0.25">
      <c r="A291" s="59"/>
      <c r="B291" s="59"/>
      <c r="C291" s="9" t="s">
        <v>654</v>
      </c>
      <c r="D291" s="61">
        <f>D246</f>
        <v>0</v>
      </c>
      <c r="E291" s="61">
        <f t="shared" ref="E291:O291" si="70">E246</f>
        <v>0</v>
      </c>
      <c r="F291" s="61">
        <f t="shared" si="70"/>
        <v>0</v>
      </c>
      <c r="G291" s="61">
        <f t="shared" si="70"/>
        <v>0</v>
      </c>
      <c r="H291" s="61">
        <f t="shared" si="70"/>
        <v>0</v>
      </c>
      <c r="I291" s="61">
        <f t="shared" si="70"/>
        <v>0</v>
      </c>
      <c r="J291" s="61">
        <f t="shared" si="70"/>
        <v>0</v>
      </c>
      <c r="K291" s="61">
        <f t="shared" si="70"/>
        <v>0</v>
      </c>
      <c r="L291" s="61">
        <f t="shared" si="70"/>
        <v>0</v>
      </c>
      <c r="M291" s="61">
        <f t="shared" si="70"/>
        <v>0</v>
      </c>
      <c r="N291" s="61">
        <f t="shared" si="70"/>
        <v>0</v>
      </c>
      <c r="O291" s="61">
        <f t="shared" si="70"/>
        <v>0</v>
      </c>
      <c r="P291" s="228"/>
    </row>
    <row r="292" spans="1:16" s="62" customFormat="1" ht="111.75" customHeight="1" x14ac:dyDescent="0.25">
      <c r="A292" s="96"/>
      <c r="B292" s="96"/>
      <c r="C292" s="97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228"/>
    </row>
    <row r="293" spans="1:16" s="62" customFormat="1" ht="23.25" customHeight="1" x14ac:dyDescent="0.25">
      <c r="A293" s="96"/>
      <c r="B293" s="96"/>
      <c r="C293" s="97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228"/>
    </row>
    <row r="294" spans="1:16" s="62" customFormat="1" ht="66.75" customHeight="1" x14ac:dyDescent="0.45">
      <c r="A294" s="195" t="s">
        <v>714</v>
      </c>
      <c r="B294" s="195"/>
      <c r="C294" s="195"/>
      <c r="D294" s="195"/>
      <c r="E294" s="99"/>
      <c r="F294" s="99"/>
      <c r="G294" s="100"/>
      <c r="H294" s="100"/>
      <c r="I294" s="100"/>
      <c r="J294" s="100"/>
      <c r="K294" s="100"/>
      <c r="L294" s="222" t="s">
        <v>711</v>
      </c>
      <c r="M294" s="222"/>
      <c r="N294" s="222"/>
      <c r="O294" s="98"/>
      <c r="P294" s="228"/>
    </row>
    <row r="295" spans="1:16" ht="47.25" customHeight="1" x14ac:dyDescent="0.5">
      <c r="A295" s="195"/>
      <c r="B295" s="195"/>
      <c r="C295" s="195"/>
      <c r="D295" s="195"/>
      <c r="E295" s="100"/>
      <c r="F295" s="100"/>
      <c r="G295" s="100"/>
      <c r="H295" s="100"/>
      <c r="I295" s="100"/>
      <c r="J295" s="100"/>
      <c r="K295" s="100"/>
      <c r="L295" s="100"/>
      <c r="M295" s="100"/>
      <c r="N295" s="13"/>
      <c r="O295" s="101"/>
      <c r="P295" s="228"/>
    </row>
    <row r="296" spans="1:16" ht="50.25" customHeight="1" x14ac:dyDescent="0.25">
      <c r="A296" s="102"/>
      <c r="B296" s="103"/>
      <c r="C296" s="103"/>
      <c r="D296" s="104"/>
      <c r="E296" s="18"/>
      <c r="F296" s="105"/>
      <c r="G296" s="13"/>
      <c r="H296" s="13"/>
      <c r="I296" s="13"/>
      <c r="J296" s="13"/>
      <c r="K296" s="13"/>
      <c r="L296" s="13"/>
      <c r="M296" s="13"/>
      <c r="N296" s="13"/>
      <c r="O296" s="13"/>
      <c r="P296" s="228"/>
    </row>
    <row r="297" spans="1:16" ht="31.5" x14ac:dyDescent="0.45">
      <c r="A297" s="106"/>
      <c r="B297" s="106"/>
      <c r="C297" s="106"/>
      <c r="D297" s="106"/>
      <c r="E297" s="18"/>
      <c r="F297" s="105"/>
      <c r="G297" s="107"/>
      <c r="H297" s="107"/>
      <c r="I297" s="107"/>
      <c r="J297" s="107"/>
      <c r="K297" s="18"/>
      <c r="L297" s="107"/>
      <c r="M297" s="107"/>
      <c r="N297" s="107"/>
      <c r="O297" s="107"/>
      <c r="P297" s="228"/>
    </row>
    <row r="298" spans="1:16" ht="26.25" x14ac:dyDescent="0.4">
      <c r="A298" s="229"/>
      <c r="B298" s="229"/>
      <c r="C298" s="229"/>
      <c r="D298" s="229"/>
      <c r="E298" s="28"/>
      <c r="F298" s="28"/>
      <c r="G298" s="28"/>
      <c r="H298" s="28"/>
      <c r="I298" s="28"/>
      <c r="J298" s="108"/>
      <c r="K298" s="108"/>
      <c r="L298" s="28"/>
      <c r="M298" s="28"/>
      <c r="N298" s="28"/>
      <c r="O298" s="28"/>
      <c r="P298" s="228"/>
    </row>
    <row r="299" spans="1:16" x14ac:dyDescent="0.25">
      <c r="P299" s="93"/>
    </row>
    <row r="300" spans="1:16" x14ac:dyDescent="0.25">
      <c r="D300" s="33">
        <f>D285-'дод 3 '!E413</f>
        <v>0</v>
      </c>
      <c r="E300" s="33">
        <f>E285-'дод 3 '!F413</f>
        <v>0</v>
      </c>
      <c r="F300" s="33">
        <f>F285-'дод 3 '!G413</f>
        <v>0</v>
      </c>
      <c r="G300" s="33">
        <f>G285-'дод 3 '!H413</f>
        <v>0</v>
      </c>
      <c r="H300" s="33">
        <f>H285-'дод 3 '!I413</f>
        <v>0</v>
      </c>
      <c r="I300" s="33">
        <f>I285-'дод 3 '!J413</f>
        <v>0</v>
      </c>
      <c r="J300" s="33">
        <f>J285-'дод 3 '!K413</f>
        <v>0</v>
      </c>
      <c r="K300" s="33">
        <f>K285-'дод 3 '!L413</f>
        <v>0</v>
      </c>
      <c r="L300" s="33">
        <f>L285-'дод 3 '!M413</f>
        <v>0</v>
      </c>
      <c r="M300" s="33">
        <f ca="1">M285-'дод 3 '!N413</f>
        <v>0</v>
      </c>
      <c r="N300" s="33">
        <f>N285-'дод 3 '!O413</f>
        <v>0</v>
      </c>
      <c r="O300" s="33">
        <f>O285-'дод 3 '!P413</f>
        <v>0</v>
      </c>
      <c r="P300" s="93"/>
    </row>
    <row r="301" spans="1:16" x14ac:dyDescent="0.25">
      <c r="D301" s="33">
        <f>D286-'дод 3 '!E414</f>
        <v>0</v>
      </c>
      <c r="E301" s="33">
        <f>E286-'дод 3 '!F414</f>
        <v>0</v>
      </c>
      <c r="F301" s="33">
        <f>F286-'дод 3 '!G414</f>
        <v>0</v>
      </c>
      <c r="G301" s="33">
        <f>G286-'дод 3 '!H414</f>
        <v>0</v>
      </c>
      <c r="H301" s="33">
        <f>H286-'дод 3 '!I414</f>
        <v>0</v>
      </c>
      <c r="I301" s="33">
        <f>I286-'дод 3 '!J414</f>
        <v>0</v>
      </c>
      <c r="J301" s="33">
        <f>J286-'дод 3 '!K414</f>
        <v>0</v>
      </c>
      <c r="K301" s="33">
        <f>K286-'дод 3 '!L414</f>
        <v>0</v>
      </c>
      <c r="L301" s="33">
        <f>L286-'дод 3 '!M414</f>
        <v>0</v>
      </c>
      <c r="M301" s="33">
        <f>M286-'дод 3 '!N414</f>
        <v>0</v>
      </c>
      <c r="N301" s="33">
        <f>N286-'дод 3 '!O414</f>
        <v>0</v>
      </c>
      <c r="O301" s="33">
        <f>O286-'дод 3 '!P414</f>
        <v>0</v>
      </c>
      <c r="P301" s="93"/>
    </row>
    <row r="302" spans="1:16" x14ac:dyDescent="0.25">
      <c r="D302" s="33">
        <f>D287-'дод 3 '!E415</f>
        <v>0</v>
      </c>
      <c r="E302" s="33">
        <f>E287-'дод 3 '!F415</f>
        <v>0</v>
      </c>
      <c r="F302" s="33">
        <f>F287-'дод 3 '!G415</f>
        <v>0</v>
      </c>
      <c r="G302" s="33">
        <f>G287-'дод 3 '!H415</f>
        <v>0</v>
      </c>
      <c r="H302" s="33">
        <f>H287-'дод 3 '!I415</f>
        <v>0</v>
      </c>
      <c r="I302" s="33">
        <f>I287-'дод 3 '!J415</f>
        <v>0</v>
      </c>
      <c r="J302" s="33">
        <f>J287-'дод 3 '!K415</f>
        <v>0</v>
      </c>
      <c r="K302" s="33">
        <f>K287-'дод 3 '!L415</f>
        <v>0</v>
      </c>
      <c r="L302" s="33">
        <f>L287-'дод 3 '!M415</f>
        <v>0</v>
      </c>
      <c r="M302" s="33">
        <f>M287-'дод 3 '!N415</f>
        <v>0</v>
      </c>
      <c r="N302" s="33">
        <f>N287-'дод 3 '!O415</f>
        <v>0</v>
      </c>
      <c r="O302" s="33">
        <f>O287-'дод 3 '!P415</f>
        <v>0</v>
      </c>
      <c r="P302" s="93"/>
    </row>
    <row r="303" spans="1:16" x14ac:dyDescent="0.25">
      <c r="D303" s="33">
        <f>D290-'дод 3 '!E417</f>
        <v>0</v>
      </c>
      <c r="E303" s="33">
        <f>E290-'дод 3 '!F417</f>
        <v>0</v>
      </c>
      <c r="F303" s="33">
        <f>F290-'дод 3 '!G417</f>
        <v>0</v>
      </c>
      <c r="G303" s="33">
        <f>G290-'дод 3 '!H417</f>
        <v>0</v>
      </c>
      <c r="H303" s="33">
        <f>H290-'дод 3 '!I417</f>
        <v>0</v>
      </c>
      <c r="I303" s="33">
        <f>I290-'дод 3 '!J417</f>
        <v>0</v>
      </c>
      <c r="J303" s="33">
        <f>J290-'дод 3 '!K417</f>
        <v>0</v>
      </c>
      <c r="K303" s="33">
        <f>K290-'дод 3 '!L417</f>
        <v>0</v>
      </c>
      <c r="L303" s="33">
        <f>L290-'дод 3 '!M417</f>
        <v>0</v>
      </c>
      <c r="M303" s="33">
        <f>M290-'дод 3 '!N417</f>
        <v>0</v>
      </c>
      <c r="N303" s="33">
        <f>N290-'дод 3 '!O417</f>
        <v>0</v>
      </c>
      <c r="O303" s="33">
        <f>O290-'дод 3 '!P417</f>
        <v>0</v>
      </c>
      <c r="P303" s="93"/>
    </row>
    <row r="304" spans="1:16" x14ac:dyDescent="0.25">
      <c r="D304" s="33">
        <f>D291-'дод 3 '!E418</f>
        <v>0</v>
      </c>
      <c r="E304" s="33">
        <f>E291-'дод 3 '!F418</f>
        <v>0</v>
      </c>
      <c r="F304" s="33">
        <f>F291-'дод 3 '!G418</f>
        <v>0</v>
      </c>
      <c r="G304" s="33">
        <f>G291-'дод 3 '!H418</f>
        <v>0</v>
      </c>
      <c r="H304" s="33">
        <f>H291-'дод 3 '!I418</f>
        <v>0</v>
      </c>
      <c r="I304" s="33">
        <f>I291-'дод 3 '!J418</f>
        <v>0</v>
      </c>
      <c r="J304" s="33">
        <f>J291-'дод 3 '!K418</f>
        <v>0</v>
      </c>
      <c r="K304" s="33">
        <f>K291-'дод 3 '!L418</f>
        <v>0</v>
      </c>
      <c r="L304" s="33">
        <f>L291-'дод 3 '!M418</f>
        <v>0</v>
      </c>
      <c r="M304" s="33">
        <f>M291-'дод 3 '!N418</f>
        <v>0</v>
      </c>
      <c r="N304" s="33">
        <f>N291-'дод 3 '!O418</f>
        <v>0</v>
      </c>
      <c r="O304" s="33">
        <f>O291-'дод 3 '!P418</f>
        <v>0</v>
      </c>
      <c r="P304" s="93"/>
    </row>
    <row r="305" spans="16:16" x14ac:dyDescent="0.25">
      <c r="P305" s="93"/>
    </row>
    <row r="306" spans="16:16" x14ac:dyDescent="0.25">
      <c r="P306" s="93"/>
    </row>
    <row r="307" spans="16:16" x14ac:dyDescent="0.25">
      <c r="P307" s="93"/>
    </row>
    <row r="308" spans="16:16" x14ac:dyDescent="0.25">
      <c r="P308" s="93"/>
    </row>
    <row r="309" spans="16:16" x14ac:dyDescent="0.25">
      <c r="P309" s="93"/>
    </row>
    <row r="310" spans="16:16" x14ac:dyDescent="0.25">
      <c r="P310" s="93"/>
    </row>
    <row r="311" spans="16:16" x14ac:dyDescent="0.25">
      <c r="P311" s="93"/>
    </row>
    <row r="312" spans="16:16" x14ac:dyDescent="0.25">
      <c r="P312" s="93"/>
    </row>
    <row r="313" spans="16:16" x14ac:dyDescent="0.25">
      <c r="P313" s="93"/>
    </row>
    <row r="314" spans="16:16" x14ac:dyDescent="0.25">
      <c r="P314" s="93"/>
    </row>
  </sheetData>
  <mergeCells count="29">
    <mergeCell ref="J4:O4"/>
    <mergeCell ref="J6:O6"/>
    <mergeCell ref="N13:N14"/>
    <mergeCell ref="O12:O14"/>
    <mergeCell ref="A9:O9"/>
    <mergeCell ref="A10:O10"/>
    <mergeCell ref="A8:O8"/>
    <mergeCell ref="B12:B14"/>
    <mergeCell ref="C12:C14"/>
    <mergeCell ref="A12:A14"/>
    <mergeCell ref="D13:D14"/>
    <mergeCell ref="L13:M13"/>
    <mergeCell ref="E13:E14"/>
    <mergeCell ref="P233:P267"/>
    <mergeCell ref="P272:P298"/>
    <mergeCell ref="A298:D298"/>
    <mergeCell ref="Q1:Q104"/>
    <mergeCell ref="P1:P52"/>
    <mergeCell ref="P53:P122"/>
    <mergeCell ref="P123:P162"/>
    <mergeCell ref="F13:G13"/>
    <mergeCell ref="D12:H12"/>
    <mergeCell ref="K13:K14"/>
    <mergeCell ref="H13:H14"/>
    <mergeCell ref="I13:I14"/>
    <mergeCell ref="I12:N12"/>
    <mergeCell ref="J13:J14"/>
    <mergeCell ref="A294:D295"/>
    <mergeCell ref="L294:N294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2" fitToHeight="7" orientation="landscape" verticalDpi="300" r:id="rId1"/>
  <headerFooter scaleWithDoc="0" alignWithMargins="0">
    <oddFooter>&amp;R&amp;8Сторінка &amp;P</oddFooter>
  </headerFooter>
  <rowBreaks count="1" manualBreakCount="1">
    <brk id="27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7</vt:lpstr>
      <vt:lpstr>'дод 3 '!Заголовки_для_печати</vt:lpstr>
      <vt:lpstr>'дод 7'!Заголовки_для_печати</vt:lpstr>
      <vt:lpstr>'дод 3 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2024-03-18T06:26:30Z</cp:lastPrinted>
  <dcterms:created xsi:type="dcterms:W3CDTF">2014-01-17T10:52:16Z</dcterms:created>
  <dcterms:modified xsi:type="dcterms:W3CDTF">2024-03-18T06:26:54Z</dcterms:modified>
</cp:coreProperties>
</file>