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500" activeTab="0"/>
  </bookViews>
  <sheets>
    <sheet name="дод 4" sheetId="1" r:id="rId1"/>
  </sheets>
  <definedNames>
    <definedName name="_xlfn_AGGREGATE">#N/A</definedName>
    <definedName name="Excel_BuiltIn__FilterDatabase" localSheetId="0">'дод 4'!$A$14:$J$346</definedName>
    <definedName name="Excel_BuiltIn_Print_Area" localSheetId="0">'дод 4'!$A$1:$K$354</definedName>
    <definedName name="Excel_BuiltIn_Print_Titles" localSheetId="0">'дод 4'!$12:$13</definedName>
    <definedName name="_xlnm.Print_Titles" localSheetId="0">'дод 4'!$12:$13</definedName>
    <definedName name="_xlnm.Print_Area" localSheetId="0">'дод 4'!$A$1:$J$354</definedName>
  </definedNames>
  <calcPr fullCalcOnLoad="1"/>
</workbook>
</file>

<file path=xl/sharedStrings.xml><?xml version="1.0" encoding="utf-8"?>
<sst xmlns="http://schemas.openxmlformats.org/spreadsheetml/2006/main" count="1061" uniqueCount="664">
  <si>
    <t xml:space="preserve">       Розподіл витрат бюджету Сумської міської територіальної громади на реалізацію цільових (комплексних) програм                                                                                                                                                  у 2023 році</t>
  </si>
  <si>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</si>
  <si>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</si>
  <si>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</si>
  <si>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</si>
  <si>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</si>
  <si>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</si>
  <si>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</si>
  <si>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</si>
  <si>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</si>
  <si>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</si>
  <si>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</si>
  <si>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</si>
  <si>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</si>
  <si>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</si>
  <si>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</si>
  <si>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</si>
  <si>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</si>
  <si>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</si>
  <si>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</si>
  <si>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</si>
  <si>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</si>
  <si>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</si>
  <si>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</si>
  <si>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</si>
  <si>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</si>
  <si>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</si>
  <si>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</si>
  <si>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</si>
  <si>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</si>
  <si>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</si>
  <si>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</si>
  <si>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</si>
  <si>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</si>
  <si>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</si>
  <si>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</si>
  <si>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</si>
  <si>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</si>
  <si>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</si>
  <si>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</si>
  <si>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</si>
  <si>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</si>
  <si>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</si>
  <si>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</si>
  <si>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</si>
  <si>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</si>
  <si>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</si>
  <si>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</si>
  <si>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</si>
  <si>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</si>
  <si>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</si>
  <si>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</si>
  <si>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</si>
  <si>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</si>
  <si>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</si>
  <si>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</si>
  <si>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</si>
  <si>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</si>
  <si>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</si>
  <si>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</si>
  <si>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</si>
  <si>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</si>
  <si>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</si>
  <si>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</si>
  <si>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</si>
  <si>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</si>
  <si>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</si>
  <si>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</si>
  <si>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</si>
  <si>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</si>
  <si>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</si>
  <si>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</si>
  <si>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</si>
  <si>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</si>
  <si>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</si>
  <si>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</si>
  <si>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</si>
  <si>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</si>
  <si>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</si>
  <si>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</si>
  <si>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</si>
  <si>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</si>
  <si>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</si>
  <si>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</si>
  <si>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</si>
  <si>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</si>
  <si>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</si>
  <si>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</si>
  <si>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</si>
  <si>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</si>
  <si>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</si>
  <si>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</si>
  <si>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</si>
  <si>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</si>
  <si>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</si>
  <si>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</si>
  <si>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</si>
  <si>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</si>
  <si>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</si>
  <si>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</si>
  <si>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</si>
  <si>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</si>
  <si>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</si>
  <si>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</si>
  <si>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</si>
  <si>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</si>
  <si>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</si>
  <si>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</si>
  <si>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</si>
  <si>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</si>
  <si>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</si>
  <si>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</si>
  <si>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</si>
  <si>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</si>
  <si>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</si>
  <si>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</si>
  <si>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</si>
  <si>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</si>
  <si>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</si>
  <si>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</si>
  <si>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</si>
  <si>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</si>
  <si>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</si>
  <si>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</si>
  <si>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</si>
  <si>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</si>
  <si>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</si>
  <si>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</si>
  <si>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</si>
  <si>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</si>
  <si>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</si>
  <si>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</si>
  <si>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</si>
  <si>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</si>
  <si>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</si>
  <si>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</si>
  <si>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</si>
  <si>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</si>
  <si>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</si>
  <si>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</si>
  <si>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</si>
  <si>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</si>
  <si>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</si>
  <si>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</si>
  <si>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</si>
  <si>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</si>
  <si>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</si>
  <si>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</si>
  <si>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</si>
  <si>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</si>
  <si>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</si>
  <si>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</si>
  <si>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</si>
  <si>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</si>
  <si>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</si>
  <si>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</si>
  <si>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</si>
  <si>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</si>
  <si>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</si>
  <si>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</si>
  <si>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</si>
  <si>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</si>
  <si>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</si>
  <si>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</si>
  <si>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</si>
  <si>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</si>
  <si>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</si>
  <si>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</si>
  <si>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</si>
  <si>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</si>
  <si>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</si>
  <si>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</si>
  <si>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</si>
  <si>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</si>
  <si>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</si>
  <si>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</si>
  <si>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</si>
  <si>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</si>
  <si>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</si>
  <si>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</si>
  <si>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</si>
  <si>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</si>
  <si>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</si>
  <si>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</si>
  <si>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</si>
  <si>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</si>
  <si>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</si>
  <si>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</si>
  <si>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</si>
  <si>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</si>
  <si>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</si>
  <si>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</si>
  <si>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</si>
  <si>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</si>
  <si>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</si>
  <si>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</si>
  <si>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</si>
  <si>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</si>
  <si>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</si>
  <si>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</si>
  <si>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</si>
  <si>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</si>
  <si>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</si>
  <si>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</si>
  <si>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</si>
  <si>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</si>
  <si>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</si>
  <si>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</si>
  <si>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</si>
  <si>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</si>
  <si>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</si>
  <si>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</si>
  <si>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</si>
  <si>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</si>
  <si>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</si>
  <si>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</si>
  <si>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</si>
  <si>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</si>
  <si>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</si>
  <si>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</si>
  <si>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</si>
  <si>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</si>
  <si>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</si>
  <si>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</si>
  <si>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</si>
  <si>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</si>
  <si>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</si>
  <si>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</si>
  <si>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</si>
  <si>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</si>
  <si>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</si>
  <si>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</si>
  <si>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</si>
  <si>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</si>
  <si>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</si>
  <si>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</si>
  <si>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</si>
  <si>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</si>
  <si>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</si>
  <si>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</si>
  <si>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</si>
  <si>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</si>
  <si>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</si>
  <si>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</si>
  <si>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</si>
  <si>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</si>
  <si>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</si>
  <si>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</si>
  <si>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</si>
  <si>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</si>
  <si>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</si>
  <si>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</si>
  <si>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</si>
  <si>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</si>
  <si>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</si>
  <si>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</si>
  <si>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</si>
  <si>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</si>
  <si>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</si>
  <si>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</si>
  <si>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</si>
  <si>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</si>
  <si>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</si>
  <si>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</si>
  <si>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</si>
  <si>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</si>
  <si>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</si>
  <si>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</si>
  <si>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</si>
  <si>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</si>
  <si>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</si>
  <si>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</si>
  <si>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</si>
  <si>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</si>
  <si>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</si>
  <si>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</si>
  <si>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</si>
  <si>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</si>
  <si>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</si>
  <si>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</si>
  <si>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</si>
  <si>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</si>
  <si>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</si>
  <si>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</si>
  <si>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</si>
  <si>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</si>
  <si>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</si>
  <si>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</si>
  <si>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</si>
  <si>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</si>
  <si>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</si>
  <si>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</si>
  <si>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</si>
  <si>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</si>
  <si>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</si>
  <si>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</si>
  <si>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</si>
  <si>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</si>
  <si>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</si>
  <si>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</si>
  <si>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</si>
  <si>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</si>
  <si>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</si>
  <si>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</si>
  <si>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</si>
  <si>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</si>
  <si>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</si>
  <si>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</si>
  <si>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</si>
  <si>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</si>
  <si>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</si>
  <si>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</si>
  <si>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</si>
  <si>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</si>
  <si>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</si>
  <si>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</si>
  <si>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</si>
  <si>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</si>
  <si>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</si>
  <si>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</si>
  <si>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</si>
  <si>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</si>
  <si>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</si>
  <si>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</si>
  <si>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</si>
  <si>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</si>
  <si>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</si>
  <si>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</si>
  <si>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</si>
  <si>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</si>
  <si>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</si>
  <si>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</si>
  <si>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</si>
  <si>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</si>
  <si>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</si>
  <si>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</si>
  <si>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</si>
  <si>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</si>
  <si>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</si>
  <si>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</si>
  <si>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</si>
  <si>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</si>
  <si>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</si>
  <si>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</si>
  <si>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</si>
  <si>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</si>
  <si>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</si>
  <si>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</si>
  <si>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</si>
  <si>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</si>
  <si>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</si>
  <si>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</si>
  <si>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</si>
  <si>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</si>
  <si>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</si>
  <si>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</si>
  <si>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</si>
  <si>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</si>
  <si>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</si>
  <si>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</si>
  <si>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</si>
  <si>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</si>
  <si>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</si>
  <si>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</si>
  <si>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</si>
  <si>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</si>
  <si>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</si>
  <si>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</si>
  <si>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</si>
  <si>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</si>
  <si>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</si>
  <si>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</si>
  <si>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</si>
  <si>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</si>
  <si>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</si>
  <si>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</si>
  <si>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</si>
  <si>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</si>
  <si>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</si>
  <si>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</si>
  <si>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</si>
  <si>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</si>
  <si>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</si>
  <si>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</si>
  <si>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</si>
  <si>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</si>
  <si>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</si>
  <si>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</si>
  <si>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</si>
  <si>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</si>
  <si>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</si>
  <si>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</si>
  <si>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</si>
  <si>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</si>
  <si>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</si>
  <si>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</si>
  <si>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</si>
  <si>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</si>
  <si>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</si>
  <si>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</si>
  <si>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</si>
  <si>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</si>
  <si>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</si>
  <si>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</si>
  <si>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</si>
  <si>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</si>
  <si>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</si>
  <si>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</si>
  <si>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</si>
  <si>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</si>
  <si>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</si>
  <si>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</si>
  <si>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</si>
  <si>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</si>
  <si>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</si>
  <si>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</si>
  <si>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</si>
  <si>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</si>
  <si>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</si>
  <si>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</si>
  <si>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</si>
  <si>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</si>
  <si>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</si>
  <si>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</si>
  <si>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</si>
  <si>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</si>
  <si>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</si>
  <si>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</si>
  <si>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</si>
  <si>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</si>
  <si>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</si>
  <si>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</si>
  <si>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</si>
  <si>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</si>
  <si>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</si>
  <si>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</si>
  <si>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</si>
  <si>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</si>
  <si>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</si>
  <si>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</si>
  <si>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</si>
  <si>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</si>
  <si>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</si>
  <si>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</si>
  <si>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</si>
  <si>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</si>
  <si>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</si>
  <si>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</si>
  <si>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</si>
  <si>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</si>
  <si>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</si>
  <si>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</si>
  <si>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</si>
  <si>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</si>
  <si>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</si>
  <si>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</si>
  <si>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</si>
  <si>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</si>
  <si>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</si>
  <si>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</si>
  <si>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</si>
  <si>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</si>
  <si>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</si>
  <si>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</si>
  <si>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</si>
  <si>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</si>
  <si>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</si>
  <si>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</si>
  <si>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</si>
  <si>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</si>
  <si>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</si>
  <si>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</si>
  <si>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</si>
  <si>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</si>
  <si>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</si>
  <si>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</si>
  <si>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</si>
  <si>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</si>
  <si>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</si>
  <si>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</si>
  <si>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</si>
  <si>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</si>
  <si>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</si>
  <si>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</si>
  <si>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</si>
  <si>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</si>
  <si>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</si>
  <si>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</si>
  <si>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</si>
  <si>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</si>
  <si>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</si>
  <si>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</si>
  <si>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</si>
  <si>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</si>
  <si>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</si>
  <si>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</si>
  <si>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</si>
  <si>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</si>
  <si>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</si>
  <si>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</si>
  <si>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</si>
  <si>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</si>
  <si>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</si>
  <si>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</si>
  <si>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</si>
  <si>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</si>
  <si>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</si>
  <si>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</si>
  <si>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</si>
  <si>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</si>
  <si>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</si>
  <si>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</si>
  <si>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</si>
  <si>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</si>
  <si>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</si>
  <si>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</si>
  <si>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</si>
  <si>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</si>
  <si>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</si>
  <si>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</si>
  <si>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</si>
  <si>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</si>
  <si>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</si>
  <si>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</si>
  <si>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</si>
  <si>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</si>
  <si>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</si>
  <si>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</si>
  <si>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</si>
  <si>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</si>
  <si>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</si>
  <si>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</si>
  <si>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</si>
  <si>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</si>
  <si>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</si>
  <si>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</si>
  <si>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</si>
  <si>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</si>
  <si>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Програма «Воєнний стан: інформування Сумської міської територіальної громади» на 2023 рік</t>
  </si>
  <si>
    <t>Програма "Суспільні комунікації Сумської міської територіальної громади" на 2023-2025 роки</t>
  </si>
  <si>
    <t xml:space="preserve">Комплексна програма Сумської міської територіальної громади «Освіта на 2022 - 2024 роки» </t>
  </si>
  <si>
    <t>ріш СМР від 24.11.2021 року № 2512 - МР (зі змінами)</t>
  </si>
  <si>
    <t>ріш СМР від 26.01.2022 року № 2713-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</si>
  <si>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</si>
  <si>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</si>
  <si>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t>
  </si>
  <si>
    <t>ріш СМР від 29.09.2021 року № 1600-МР (зі змінами)</t>
  </si>
  <si>
    <t>Комплексна програма «Правопорядок» на період 2022-2024 роки</t>
  </si>
  <si>
    <t>ріш СМР від 27.10.2021 року № 2005-МР (зі змінами)</t>
  </si>
  <si>
    <t>Програма розвитку та вдосконалення пасажирського транспорту і мобільності на території Сумської міської територіальної громади на 2022-2024 роки</t>
  </si>
  <si>
    <t>ріш СМР від 26.01.2022 року № 2716-МР (зі змінами)</t>
  </si>
  <si>
    <t>Програма «Автоматизація муніципальних телекомунікаційних систем на 2022-2024 роки Сумської міської територіальної громади»</t>
  </si>
  <si>
    <t>ріш СМР від 24.11.2021 року № 2510-МР (зі змінами)</t>
  </si>
  <si>
    <t>Програма Сумської міської територіальної громади «Милосердя» на 2022-2024 роки</t>
  </si>
  <si>
    <t>ріш СМР від 24.11.2021 року № 2272-МР (зі змінами)</t>
  </si>
  <si>
    <t>Цільова комплексна Програма розвитку культури  Сумської міської територіальної громади на 2022 - 2024 роки</t>
  </si>
  <si>
    <t>ріш СМР від 26.01.2022 року № 2714 -МР</t>
  </si>
  <si>
    <t>Програма Сумської міської територіальної громади «Соціальні служби готові прийти на допомогу на 2022 – 2024 роки»</t>
  </si>
  <si>
    <t>ріш СМР від 27.10.2021 року № 2003-МР</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</si>
  <si>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t>
  </si>
  <si>
    <t>ріш СМР від 27.10.2021 року № 2001-МР (зі змінами)</t>
  </si>
  <si>
    <t xml:space="preserve">Цільова комплексна програма «Суми - громада для молоді» на 2022-2024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</si>
  <si>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t>
  </si>
  <si>
    <t>ріш СМР від 24.11.2021 року № 2508-МР (зі змінами)</t>
  </si>
  <si>
    <t>Програма економічного і соціального розвитку Сумської міської територіальної громади на 2023 рік</t>
  </si>
  <si>
    <t>Програма молодіжного житлового кредитування Сумської міської територіальної громади на 2022-2024 роки</t>
  </si>
  <si>
    <t>ріш СМР від 29.09.2021 року № 1602-МР (зі змінами)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</si>
  <si>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2022-2024 роки </t>
  </si>
  <si>
    <t>ріш ВК від 11.05.2022 № 139</t>
  </si>
  <si>
    <t>Програма охорони навколишнього природного середовища Сумської міської територіальної громади на 2022-2024 роки</t>
  </si>
  <si>
    <t>ріш ВК від 27.05.2022 № 162 (зі змінами)</t>
  </si>
  <si>
    <t>ріш СМР від 24.11.2021 року № 2273-МР (зі змінами)</t>
  </si>
  <si>
    <t>Програма підвищення енергоефективності в бюджетній сфері Сумської міської територіальної громади на 2022-2024 роки</t>
  </si>
  <si>
    <t>ріш СМР від 26.01.2022 року № 2715-МР (зі змінами)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</si>
  <si>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</si>
  <si>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від 27.10.2021 року № 2002 - МР</t>
  </si>
  <si>
    <t>Програма розвитку фізичної культури і спорту Сумської міської територіальної громади на 2022-2024 роки</t>
  </si>
  <si>
    <t xml:space="preserve">ріш СМР від 24.11.2021 року № 2509-МР (зі змінами) </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</si>
  <si>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</si>
  <si>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</si>
  <si>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</si>
  <si>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</si>
  <si>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</si>
  <si>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</si>
  <si>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</si>
  <si>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</si>
  <si>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t>
  </si>
  <si>
    <r>
      <rPr>
        <sz val="35"/>
        <rFont val="Times New Roman"/>
        <family val="1"/>
      </rPr>
      <t>ріш СМР від</t>
    </r>
    <r>
      <rPr>
        <sz val="35"/>
        <color indexed="8"/>
        <rFont val="Times New Roman"/>
        <family val="1"/>
      </rPr>
      <t xml:space="preserve"> 29.09.</t>
    </r>
    <r>
      <rPr>
        <sz val="35"/>
        <rFont val="Times New Roman"/>
        <family val="1"/>
      </rPr>
      <t>2021 року № 1603 - МР</t>
    </r>
  </si>
  <si>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</si>
  <si>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</si>
  <si>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</si>
  <si>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t>
  </si>
  <si>
    <t>ріш ВК від 22.07.2022 № 295 (зі змінами)</t>
  </si>
  <si>
    <t>програма</t>
  </si>
  <si>
    <t>проверка итога</t>
  </si>
  <si>
    <t>ріш СМР від 24.11.2021 року № 2507-МР</t>
  </si>
  <si>
    <t>Програма Сумської міської територіальної громади «Соціальна підтримка Захисників і Захисниць України та членів їх сімей» на 2022-2024 роки»</t>
  </si>
  <si>
    <t>ріш СМР від 23.12.2021 № 2698-МР (зі змінами)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</si>
  <si>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</si>
  <si>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</si>
  <si>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</si>
  <si>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</si>
  <si>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</si>
  <si>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</si>
  <si>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1218240</t>
  </si>
  <si>
    <t>ріш СМР від 14.12.2022 року № 3310-МР (зі змінами)</t>
  </si>
  <si>
    <t>ріш СМР від 14.12.2022 року № 3325-МР (зі змінами)</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</si>
  <si>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</si>
  <si>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</si>
  <si>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</si>
  <si>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</si>
  <si>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</si>
  <si>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</si>
  <si>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</si>
  <si>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</si>
  <si>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</si>
  <si>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</si>
  <si>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t>
  </si>
  <si>
    <t>0512</t>
  </si>
  <si>
    <t>ріш СМР від 23.11.2022 року № 3206 - МР</t>
  </si>
  <si>
    <t>27 Департамент інспекційної роботи Сумської міської ради</t>
  </si>
  <si>
    <t>2717610</t>
  </si>
  <si>
    <t xml:space="preserve">Цільова програма підтримки малого та середнього підприємництва Сумської міської територіальної громади на 2022-2024 роки </t>
  </si>
  <si>
    <t>ріш СМР від 30.11.2022 року № 3241-МР (зі змінами)</t>
  </si>
  <si>
    <t xml:space="preserve">Програма з реалізації Конвенції ООН про права дитини Сумської міської територіальної громади на 2022-2024 роки </t>
  </si>
  <si>
    <t>ріш СМР від 29.09.2021 року № 1604-МР (зі змінами)</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</si>
  <si>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</si>
  <si>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</si>
  <si>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</si>
  <si>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</si>
  <si>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</si>
  <si>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</si>
  <si>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</si>
  <si>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</si>
  <si>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</si>
  <si>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</si>
  <si>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1511261</t>
  </si>
  <si>
    <t>1511262</t>
  </si>
  <si>
    <t>ріш СМР від 29.09.2021 року № 1601 - МР (зі змінами)</t>
  </si>
  <si>
    <t>1217462</t>
  </si>
  <si>
    <t>1217461</t>
  </si>
  <si>
    <t>7461</t>
  </si>
  <si>
    <t xml:space="preserve"> Утримання та розвиток автомобільних доріг та дорожньої інфраструктури за рахунок коштів місцевого бюджету</t>
  </si>
  <si>
    <t>0617384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</si>
  <si>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</si>
  <si>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</si>
  <si>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1217384</t>
  </si>
  <si>
    <t>0611272</t>
  </si>
  <si>
    <t>1272</t>
  </si>
  <si>
    <t>Реалізація заходів за рахунок освітньої субвенції з державного бюджету місцевим бюджетам</t>
  </si>
  <si>
    <t>0611271</t>
  </si>
  <si>
    <t>1271</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</si>
  <si>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</si>
  <si>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1217375</t>
  </si>
  <si>
    <t>7375</t>
  </si>
  <si>
    <t>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</si>
  <si>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міської          військової      адміністрації</t>
  </si>
  <si>
    <t>3617691</t>
  </si>
  <si>
    <t xml:space="preserve">до                    наказу                Сумської   </t>
  </si>
  <si>
    <t>Директор Департаменту фінансів,економіки</t>
  </si>
  <si>
    <t>та інвестицій Сумської міської ради</t>
  </si>
  <si>
    <t>Світлана ЛИПОВА</t>
  </si>
  <si>
    <t xml:space="preserve">                      Додаток 4</t>
  </si>
  <si>
    <t>від  08.12.2023  №  80  -  СМР</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</si>
</sst>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9">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35"/>
      <color indexed="8"/>
      <name val="Times New Roman"/>
      <family val="1"/>
    </font>
    <font>
      <sz val="68"/>
      <name val="Times New Roman"/>
      <family val="1"/>
    </font>
    <font>
      <b/>
      <sz val="50"/>
      <color indexed="10"/>
      <name val="Times New Roman"/>
      <family val="1"/>
    </font>
    <font>
      <b/>
      <sz val="40"/>
      <color indexed="10"/>
      <name val="Times New Roman"/>
      <family val="1"/>
    </font>
    <font>
      <sz val="60"/>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right style="thin"/>
      <top style="thin"/>
      <bottom style="thin"/>
    </border>
    <border>
      <left style="thin">
        <color indexed="63"/>
      </left>
      <right style="thin">
        <color indexed="63"/>
      </right>
      <top>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4" fillId="3" borderId="0" applyNumberFormat="0" applyBorder="0" applyAlignment="0" applyProtection="0"/>
    <xf numFmtId="0" fontId="2" fillId="4" borderId="0" applyNumberFormat="0" applyBorder="0" applyAlignment="0" applyProtection="0"/>
    <xf numFmtId="0" fontId="54" fillId="5" borderId="0" applyNumberFormat="0" applyBorder="0" applyAlignment="0" applyProtection="0"/>
    <xf numFmtId="0" fontId="2" fillId="6" borderId="0" applyNumberFormat="0" applyBorder="0" applyAlignment="0" applyProtection="0"/>
    <xf numFmtId="0" fontId="54" fillId="7" borderId="0" applyNumberFormat="0" applyBorder="0" applyAlignment="0" applyProtection="0"/>
    <xf numFmtId="0" fontId="2" fillId="8" borderId="0" applyNumberFormat="0" applyBorder="0" applyAlignment="0" applyProtection="0"/>
    <xf numFmtId="0" fontId="54" fillId="9" borderId="0" applyNumberFormat="0" applyBorder="0" applyAlignment="0" applyProtection="0"/>
    <xf numFmtId="0" fontId="2" fillId="10" borderId="0" applyNumberFormat="0" applyBorder="0" applyAlignment="0" applyProtection="0"/>
    <xf numFmtId="0" fontId="54" fillId="11" borderId="0" applyNumberFormat="0" applyBorder="0" applyAlignment="0" applyProtection="0"/>
    <xf numFmtId="0" fontId="2" fillId="12" borderId="0" applyNumberFormat="0" applyBorder="0" applyAlignment="0" applyProtection="0"/>
    <xf numFmtId="0" fontId="5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4" fillId="17" borderId="0" applyNumberFormat="0" applyBorder="0" applyAlignment="0" applyProtection="0"/>
    <xf numFmtId="0" fontId="2" fillId="15" borderId="0" applyNumberFormat="0" applyBorder="0" applyAlignment="0" applyProtection="0"/>
    <xf numFmtId="0" fontId="54" fillId="18" borderId="0" applyNumberFormat="0" applyBorder="0" applyAlignment="0" applyProtection="0"/>
    <xf numFmtId="0" fontId="2" fillId="19" borderId="0" applyNumberFormat="0" applyBorder="0" applyAlignment="0" applyProtection="0"/>
    <xf numFmtId="0" fontId="54" fillId="20" borderId="0" applyNumberFormat="0" applyBorder="0" applyAlignment="0" applyProtection="0"/>
    <xf numFmtId="0" fontId="2" fillId="8" borderId="0" applyNumberFormat="0" applyBorder="0" applyAlignment="0" applyProtection="0"/>
    <xf numFmtId="0" fontId="54" fillId="21" borderId="0" applyNumberFormat="0" applyBorder="0" applyAlignment="0" applyProtection="0"/>
    <xf numFmtId="0" fontId="2" fillId="14" borderId="0" applyNumberFormat="0" applyBorder="0" applyAlignment="0" applyProtection="0"/>
    <xf numFmtId="0" fontId="54" fillId="22" borderId="0" applyNumberFormat="0" applyBorder="0" applyAlignment="0" applyProtection="0"/>
    <xf numFmtId="0" fontId="2" fillId="23" borderId="0" applyNumberFormat="0" applyBorder="0" applyAlignment="0" applyProtection="0"/>
    <xf numFmtId="0" fontId="54"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5" fillId="27" borderId="0" applyNumberFormat="0" applyBorder="0" applyAlignment="0" applyProtection="0"/>
    <xf numFmtId="0" fontId="3" fillId="15" borderId="0" applyNumberFormat="0" applyBorder="0" applyAlignment="0" applyProtection="0"/>
    <xf numFmtId="0" fontId="55" fillId="28" borderId="0" applyNumberFormat="0" applyBorder="0" applyAlignment="0" applyProtection="0"/>
    <xf numFmtId="0" fontId="3" fillId="19" borderId="0" applyNumberFormat="0" applyBorder="0" applyAlignment="0" applyProtection="0"/>
    <xf numFmtId="0" fontId="55" fillId="29" borderId="0" applyNumberFormat="0" applyBorder="0" applyAlignment="0" applyProtection="0"/>
    <xf numFmtId="0" fontId="3" fillId="30" borderId="0" applyNumberFormat="0" applyBorder="0" applyAlignment="0" applyProtection="0"/>
    <xf numFmtId="0" fontId="55" fillId="31" borderId="0" applyNumberFormat="0" applyBorder="0" applyAlignment="0" applyProtection="0"/>
    <xf numFmtId="0" fontId="3" fillId="32" borderId="0" applyNumberFormat="0" applyBorder="0" applyAlignment="0" applyProtection="0"/>
    <xf numFmtId="0" fontId="55" fillId="33" borderId="0" applyNumberFormat="0" applyBorder="0" applyAlignment="0" applyProtection="0"/>
    <xf numFmtId="0" fontId="3" fillId="34" borderId="0" applyNumberFormat="0" applyBorder="0" applyAlignment="0" applyProtection="0"/>
    <xf numFmtId="0" fontId="55"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70">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4" fontId="22" fillId="0" borderId="0" xfId="0" applyNumberFormat="1" applyFont="1" applyFill="1" applyAlignment="1" applyProtection="1">
      <alignmen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4" fontId="24" fillId="0" borderId="0" xfId="0" applyNumberFormat="1" applyFont="1" applyFill="1" applyAlignment="1">
      <alignment vertical="center" wrapText="1"/>
    </xf>
    <xf numFmtId="4" fontId="25" fillId="0" borderId="0" xfId="0" applyNumberFormat="1" applyFont="1" applyFill="1" applyAlignment="1">
      <alignment vertical="center"/>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5" fillId="0" borderId="0" xfId="0" applyNumberFormat="1" applyFont="1" applyFill="1" applyAlignment="1">
      <alignment/>
    </xf>
    <xf numFmtId="4" fontId="23" fillId="0" borderId="0" xfId="0" applyNumberFormat="1" applyFont="1" applyFill="1" applyAlignment="1">
      <alignment vertical="center" wrapText="1"/>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4" fontId="29" fillId="0" borderId="14" xfId="112" applyNumberFormat="1" applyFont="1" applyFill="1" applyBorder="1" applyAlignment="1">
      <alignment horizontal="center"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 fontId="31" fillId="0" borderId="14" xfId="112" applyNumberFormat="1" applyFont="1" applyFill="1" applyBorder="1" applyAlignment="1">
      <alignment horizontal="center" vertical="center"/>
      <protection/>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center"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4" fontId="33" fillId="0" borderId="0" xfId="0" applyNumberFormat="1" applyFont="1" applyFill="1" applyAlignment="1">
      <alignment/>
    </xf>
    <xf numFmtId="4" fontId="34" fillId="0" borderId="14" xfId="112" applyNumberFormat="1" applyFont="1" applyFill="1" applyBorder="1" applyAlignment="1">
      <alignment horizontal="center" vertical="center"/>
      <protection/>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4" fontId="37" fillId="0" borderId="14" xfId="112" applyNumberFormat="1" applyFont="1" applyFill="1" applyBorder="1" applyAlignment="1">
      <alignment horizontal="center"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37" fillId="0" borderId="0" xfId="0" applyFont="1" applyFill="1" applyBorder="1" applyAlignment="1">
      <alignment/>
    </xf>
    <xf numFmtId="0" fontId="37" fillId="0" borderId="0" xfId="0" applyFont="1" applyFill="1" applyAlignment="1">
      <alignment/>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 fontId="31" fillId="0" borderId="14" xfId="0" applyNumberFormat="1" applyFont="1" applyFill="1" applyBorder="1" applyAlignment="1" applyProtection="1">
      <alignment horizontal="center" vertical="center" wrapText="1"/>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4" fontId="31"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49" fontId="45" fillId="0" borderId="0" xfId="0" applyNumberFormat="1" applyFont="1" applyFill="1" applyBorder="1" applyAlignment="1">
      <alignment vertical="center" wrapText="1"/>
    </xf>
    <xf numFmtId="170" fontId="45" fillId="0" borderId="0" xfId="0" applyNumberFormat="1" applyFont="1" applyFill="1" applyBorder="1" applyAlignment="1">
      <alignment horizontal="left" vertical="center"/>
    </xf>
    <xf numFmtId="4" fontId="45" fillId="0" borderId="0" xfId="0" applyNumberFormat="1" applyFont="1" applyFill="1" applyBorder="1" applyAlignment="1">
      <alignment horizontal="center" vertical="center"/>
    </xf>
    <xf numFmtId="0" fontId="45" fillId="0" borderId="0" xfId="0" applyFont="1" applyFill="1" applyAlignment="1">
      <alignment/>
    </xf>
    <xf numFmtId="4" fontId="46" fillId="0" borderId="0" xfId="0" applyNumberFormat="1" applyFont="1" applyFill="1" applyAlignment="1" applyProtection="1">
      <alignment/>
      <protection/>
    </xf>
    <xf numFmtId="0" fontId="31" fillId="46" borderId="14" xfId="0" applyFont="1" applyFill="1" applyBorder="1" applyAlignment="1">
      <alignment horizontal="left" vertical="center" wrapText="1"/>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0" fontId="0" fillId="47" borderId="0" xfId="0" applyFont="1" applyFill="1" applyBorder="1" applyAlignment="1">
      <alignment/>
    </xf>
    <xf numFmtId="0" fontId="0" fillId="47" borderId="0" xfId="0" applyFont="1" applyFill="1" applyAlignment="1">
      <alignment/>
    </xf>
    <xf numFmtId="4" fontId="31" fillId="48" borderId="14" xfId="0" applyNumberFormat="1" applyFont="1" applyFill="1" applyBorder="1" applyAlignment="1">
      <alignment horizontal="left" vertical="center" wrapText="1"/>
    </xf>
    <xf numFmtId="4" fontId="31" fillId="48" borderId="14" xfId="112" applyNumberFormat="1" applyFont="1" applyFill="1" applyBorder="1" applyAlignment="1">
      <alignment horizontal="center" vertical="center"/>
      <protection/>
    </xf>
    <xf numFmtId="49" fontId="31" fillId="0" borderId="19" xfId="0" applyNumberFormat="1" applyFont="1" applyFill="1" applyBorder="1" applyAlignment="1">
      <alignment horizontal="left" vertical="center" wrapText="1"/>
    </xf>
    <xf numFmtId="4" fontId="31" fillId="46" borderId="14" xfId="0" applyNumberFormat="1" applyFont="1" applyFill="1" applyBorder="1" applyAlignment="1">
      <alignment horizontal="left" vertical="center" wrapText="1"/>
    </xf>
    <xf numFmtId="4" fontId="31" fillId="46" borderId="14" xfId="112" applyNumberFormat="1" applyFont="1" applyFill="1" applyBorder="1" applyAlignment="1">
      <alignment horizontal="center" vertical="center"/>
      <protection/>
    </xf>
    <xf numFmtId="0" fontId="0" fillId="46" borderId="0" xfId="0" applyFont="1" applyFill="1" applyBorder="1" applyAlignment="1">
      <alignment/>
    </xf>
    <xf numFmtId="0" fontId="0" fillId="46" borderId="0" xfId="0" applyFont="1" applyFill="1" applyAlignment="1">
      <alignment/>
    </xf>
    <xf numFmtId="49" fontId="22" fillId="0" borderId="20"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 fontId="31" fillId="0" borderId="18" xfId="0" applyNumberFormat="1" applyFont="1" applyFill="1" applyBorder="1" applyAlignment="1" applyProtection="1">
      <alignment horizontal="center" vertical="center"/>
      <protection/>
    </xf>
    <xf numFmtId="49" fontId="22" fillId="0" borderId="21"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horizontal="left" vertical="center"/>
      <protection/>
    </xf>
    <xf numFmtId="0" fontId="31" fillId="0" borderId="21" xfId="0" applyFont="1" applyFill="1" applyBorder="1" applyAlignment="1">
      <alignment horizontal="left" vertical="center" wrapText="1"/>
    </xf>
    <xf numFmtId="4" fontId="31" fillId="0" borderId="21" xfId="0" applyNumberFormat="1" applyFont="1" applyFill="1" applyBorder="1" applyAlignment="1" applyProtection="1">
      <alignment horizontal="center" vertical="center"/>
      <protection/>
    </xf>
    <xf numFmtId="49" fontId="31" fillId="48" borderId="14" xfId="0" applyNumberFormat="1" applyFont="1" applyFill="1" applyBorder="1" applyAlignment="1">
      <alignment horizontal="center" vertical="center" wrapText="1"/>
    </xf>
    <xf numFmtId="0" fontId="0" fillId="48" borderId="0" xfId="0" applyFont="1" applyFill="1" applyBorder="1" applyAlignment="1">
      <alignment/>
    </xf>
    <xf numFmtId="0" fontId="0" fillId="48" borderId="0" xfId="0" applyFont="1" applyFill="1" applyAlignment="1">
      <alignment/>
    </xf>
    <xf numFmtId="4" fontId="25" fillId="48" borderId="0" xfId="0" applyNumberFormat="1" applyFont="1" applyFill="1" applyAlignment="1">
      <alignment vertical="center"/>
    </xf>
    <xf numFmtId="4" fontId="25" fillId="48" borderId="0" xfId="0" applyNumberFormat="1" applyFont="1" applyFill="1" applyAlignment="1">
      <alignment/>
    </xf>
    <xf numFmtId="4" fontId="22" fillId="48" borderId="0" xfId="0" applyNumberFormat="1" applyFont="1" applyFill="1" applyBorder="1" applyAlignment="1">
      <alignment horizontal="center"/>
    </xf>
    <xf numFmtId="4" fontId="29" fillId="48" borderId="14" xfId="112" applyNumberFormat="1" applyFont="1" applyFill="1" applyBorder="1" applyAlignment="1">
      <alignment horizontal="center" vertical="center"/>
      <protection/>
    </xf>
    <xf numFmtId="4" fontId="41" fillId="48" borderId="14" xfId="112" applyNumberFormat="1" applyFont="1" applyFill="1" applyBorder="1" applyAlignment="1">
      <alignment horizontal="center" vertical="center"/>
      <protection/>
    </xf>
    <xf numFmtId="4" fontId="31" fillId="48" borderId="14" xfId="0" applyNumberFormat="1" applyFont="1" applyFill="1" applyBorder="1" applyAlignment="1" applyProtection="1">
      <alignment horizontal="center" vertical="center"/>
      <protection/>
    </xf>
    <xf numFmtId="4" fontId="31" fillId="48" borderId="14" xfId="0" applyNumberFormat="1" applyFont="1" applyFill="1" applyBorder="1" applyAlignment="1" applyProtection="1">
      <alignment horizontal="center" vertical="center" wrapText="1"/>
      <protection/>
    </xf>
    <xf numFmtId="4" fontId="31" fillId="48" borderId="18" xfId="0" applyNumberFormat="1" applyFont="1" applyFill="1" applyBorder="1" applyAlignment="1" applyProtection="1">
      <alignment horizontal="center" vertical="center"/>
      <protection/>
    </xf>
    <xf numFmtId="4" fontId="31" fillId="48" borderId="21" xfId="0" applyNumberFormat="1" applyFont="1" applyFill="1" applyBorder="1" applyAlignment="1" applyProtection="1">
      <alignment horizontal="center" vertical="center"/>
      <protection/>
    </xf>
    <xf numFmtId="4" fontId="31" fillId="48" borderId="0" xfId="0" applyNumberFormat="1" applyFont="1" applyFill="1" applyBorder="1" applyAlignment="1" applyProtection="1">
      <alignment horizontal="center" vertical="center"/>
      <protection/>
    </xf>
    <xf numFmtId="4" fontId="45" fillId="48" borderId="0" xfId="0" applyNumberFormat="1" applyFont="1" applyFill="1" applyBorder="1" applyAlignment="1">
      <alignment wrapText="1"/>
    </xf>
    <xf numFmtId="3" fontId="47" fillId="48" borderId="14" xfId="0" applyNumberFormat="1" applyFont="1" applyFill="1" applyBorder="1" applyAlignment="1" applyProtection="1">
      <alignment/>
      <protection/>
    </xf>
    <xf numFmtId="4" fontId="47" fillId="48" borderId="14" xfId="0" applyNumberFormat="1" applyFont="1" applyFill="1" applyBorder="1" applyAlignment="1" applyProtection="1">
      <alignment/>
      <protection/>
    </xf>
    <xf numFmtId="4" fontId="22" fillId="48" borderId="0" xfId="0" applyNumberFormat="1" applyFont="1" applyFill="1" applyAlignment="1" applyProtection="1">
      <alignment/>
      <protection/>
    </xf>
    <xf numFmtId="49" fontId="31" fillId="48" borderId="21" xfId="0" applyNumberFormat="1" applyFont="1" applyFill="1" applyBorder="1" applyAlignment="1">
      <alignment horizontal="center" vertical="center" wrapText="1"/>
    </xf>
    <xf numFmtId="0" fontId="31" fillId="48" borderId="19" xfId="0" applyNumberFormat="1" applyFont="1" applyFill="1" applyBorder="1" applyAlignment="1">
      <alignment horizontal="left" vertical="center" wrapText="1"/>
    </xf>
    <xf numFmtId="0" fontId="31" fillId="48" borderId="14" xfId="0" applyFont="1" applyFill="1" applyBorder="1" applyAlignment="1">
      <alignment horizontal="left" vertical="center" wrapText="1"/>
    </xf>
    <xf numFmtId="4" fontId="25" fillId="48" borderId="0" xfId="0" applyNumberFormat="1" applyFont="1" applyFill="1" applyAlignment="1">
      <alignment/>
    </xf>
    <xf numFmtId="0" fontId="31" fillId="0" borderId="14" xfId="0" applyFont="1" applyFill="1" applyBorder="1" applyAlignment="1">
      <alignment horizontal="left" vertical="top" wrapText="1"/>
    </xf>
    <xf numFmtId="49" fontId="31" fillId="48" borderId="14" xfId="0" applyNumberFormat="1" applyFont="1" applyFill="1" applyBorder="1" applyAlignment="1">
      <alignment horizontal="left" vertical="center" wrapText="1"/>
    </xf>
    <xf numFmtId="49" fontId="31" fillId="48" borderId="18" xfId="0" applyNumberFormat="1" applyFont="1" applyFill="1" applyBorder="1" applyAlignment="1">
      <alignment horizontal="center" vertical="center" wrapText="1"/>
    </xf>
    <xf numFmtId="0" fontId="33" fillId="48" borderId="18" xfId="0" applyFont="1" applyFill="1" applyBorder="1" applyAlignment="1">
      <alignment horizontal="left" vertical="center"/>
    </xf>
    <xf numFmtId="0" fontId="31" fillId="0" borderId="17" xfId="0" applyFont="1" applyFill="1" applyBorder="1" applyAlignment="1">
      <alignment horizontal="left" vertical="center" wrapText="1"/>
    </xf>
    <xf numFmtId="49" fontId="25" fillId="0" borderId="0" xfId="0" applyNumberFormat="1" applyFont="1" applyFill="1" applyAlignment="1" applyProtection="1">
      <alignment vertical="center"/>
      <protection/>
    </xf>
    <xf numFmtId="0" fontId="48" fillId="0" borderId="0" xfId="0" applyNumberFormat="1" applyFont="1" applyFill="1" applyAlignment="1" applyProtection="1">
      <alignment horizontal="left" vertical="center"/>
      <protection/>
    </xf>
    <xf numFmtId="4" fontId="48" fillId="48" borderId="0" xfId="0" applyNumberFormat="1" applyFont="1" applyFill="1" applyAlignment="1" applyProtection="1">
      <alignment/>
      <protection/>
    </xf>
    <xf numFmtId="4" fontId="48" fillId="0" borderId="0" xfId="0" applyNumberFormat="1" applyFont="1" applyFill="1" applyAlignment="1" applyProtection="1">
      <alignment vertical="center"/>
      <protection/>
    </xf>
    <xf numFmtId="0" fontId="23" fillId="0" borderId="15" xfId="0" applyFont="1" applyFill="1" applyBorder="1" applyAlignment="1">
      <alignment horizontal="center" vertical="center" textRotation="180"/>
    </xf>
    <xf numFmtId="4" fontId="25" fillId="48" borderId="0" xfId="0" applyNumberFormat="1" applyFont="1" applyFill="1" applyAlignment="1">
      <alignment horizontal="left"/>
    </xf>
    <xf numFmtId="0" fontId="23" fillId="0" borderId="15" xfId="0" applyFont="1" applyFill="1" applyBorder="1" applyAlignment="1">
      <alignment horizontal="center" vertical="center" textRotation="180"/>
    </xf>
    <xf numFmtId="49" fontId="31" fillId="0" borderId="14"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1" fillId="0" borderId="18" xfId="0" applyNumberFormat="1" applyFont="1" applyFill="1" applyBorder="1" applyAlignment="1">
      <alignment horizontal="center" vertical="center" wrapText="1"/>
    </xf>
    <xf numFmtId="0" fontId="31" fillId="0" borderId="18"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4" fontId="29" fillId="48"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0" fontId="31" fillId="0" borderId="1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left" vertical="center"/>
    </xf>
    <xf numFmtId="0" fontId="31" fillId="0" borderId="17" xfId="0" applyFont="1" applyFill="1" applyBorder="1" applyAlignment="1">
      <alignment horizontal="left" vertical="center"/>
    </xf>
    <xf numFmtId="49" fontId="31" fillId="0" borderId="22" xfId="0" applyNumberFormat="1"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23" fillId="0" borderId="0" xfId="0" applyFont="1" applyFill="1" applyBorder="1" applyAlignment="1">
      <alignment horizontal="center" vertical="center" textRotation="180"/>
    </xf>
    <xf numFmtId="49" fontId="45" fillId="0" borderId="0" xfId="0" applyNumberFormat="1" applyFont="1" applyFill="1" applyBorder="1" applyAlignment="1">
      <alignment vertical="center" wrapText="1"/>
    </xf>
    <xf numFmtId="4" fontId="45" fillId="48" borderId="0" xfId="0" applyNumberFormat="1" applyFont="1" applyFill="1" applyBorder="1" applyAlignment="1">
      <alignment horizontal="center" wrapText="1"/>
    </xf>
    <xf numFmtId="0" fontId="31" fillId="0" borderId="19" xfId="0" applyFont="1" applyFill="1" applyBorder="1" applyAlignment="1">
      <alignment horizontal="left" vertical="center" wrapText="1"/>
    </xf>
    <xf numFmtId="49" fontId="45" fillId="0" borderId="0" xfId="0" applyNumberFormat="1"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6"/>
  <sheetViews>
    <sheetView showZeros="0" tabSelected="1" view="pageBreakPreview" zoomScale="23" zoomScaleNormal="24" zoomScaleSheetLayoutView="23" zoomScalePageLayoutView="0" workbookViewId="0" topLeftCell="A1">
      <selection activeCell="H6" sqref="H6"/>
    </sheetView>
  </sheetViews>
  <sheetFormatPr defaultColWidth="9.16015625" defaultRowHeight="12.75"/>
  <cols>
    <col min="1" max="1" width="54.5" style="1" customWidth="1"/>
    <col min="2" max="2" width="52.16015625" style="1" customWidth="1"/>
    <col min="3" max="3" width="56" style="1" customWidth="1"/>
    <col min="4" max="4" width="148" style="2" customWidth="1"/>
    <col min="5" max="5" width="196.66015625" style="2" customWidth="1"/>
    <col min="6" max="6" width="89.66015625" style="2" customWidth="1"/>
    <col min="7" max="7" width="75.66015625" style="125" customWidth="1"/>
    <col min="8" max="8" width="69" style="3" customWidth="1"/>
    <col min="9" max="9" width="66.66015625" style="3" customWidth="1"/>
    <col min="10" max="10" width="68" style="3" customWidth="1"/>
    <col min="11" max="11" width="16" style="4" customWidth="1"/>
    <col min="12" max="12" width="40" style="5" customWidth="1"/>
    <col min="13" max="13" width="9.16015625" style="6" customWidth="1"/>
    <col min="14" max="15" width="105" style="6" customWidth="1"/>
    <col min="16" max="16384" width="9.16015625" style="6" customWidth="1"/>
  </cols>
  <sheetData>
    <row r="1" spans="6:11" ht="68.25" customHeight="1">
      <c r="F1" s="7"/>
      <c r="G1" s="112" t="s">
        <v>662</v>
      </c>
      <c r="H1" s="8"/>
      <c r="I1" s="8"/>
      <c r="J1" s="8"/>
      <c r="K1" s="165">
        <v>32</v>
      </c>
    </row>
    <row r="2" spans="6:11" ht="68.25">
      <c r="F2" s="10"/>
      <c r="G2" s="112" t="s">
        <v>658</v>
      </c>
      <c r="H2" s="8"/>
      <c r="I2" s="8"/>
      <c r="J2" s="8"/>
      <c r="K2" s="165"/>
    </row>
    <row r="3" spans="6:11" ht="68.25">
      <c r="F3" s="10"/>
      <c r="G3" s="112" t="s">
        <v>656</v>
      </c>
      <c r="H3" s="8"/>
      <c r="I3" s="8"/>
      <c r="J3" s="8"/>
      <c r="K3" s="165"/>
    </row>
    <row r="4" spans="7:11" ht="68.25">
      <c r="G4" s="129" t="s">
        <v>663</v>
      </c>
      <c r="H4" s="11"/>
      <c r="I4" s="11"/>
      <c r="J4" s="12"/>
      <c r="K4" s="165"/>
    </row>
    <row r="5" spans="7:11" ht="68.25">
      <c r="G5" s="140"/>
      <c r="H5" s="140"/>
      <c r="I5" s="140"/>
      <c r="J5" s="12"/>
      <c r="K5" s="165"/>
    </row>
    <row r="6" spans="7:11" ht="68.25">
      <c r="G6" s="113"/>
      <c r="H6" s="11"/>
      <c r="I6" s="11"/>
      <c r="J6" s="12"/>
      <c r="K6" s="165"/>
    </row>
    <row r="7" spans="7:11" ht="68.25">
      <c r="G7" s="113"/>
      <c r="H7" s="11"/>
      <c r="I7" s="11"/>
      <c r="J7" s="12"/>
      <c r="K7" s="165"/>
    </row>
    <row r="8" spans="1:11" ht="162.75" customHeight="1">
      <c r="A8" s="150" t="s">
        <v>0</v>
      </c>
      <c r="B8" s="150"/>
      <c r="C8" s="150"/>
      <c r="D8" s="150"/>
      <c r="E8" s="150"/>
      <c r="F8" s="150"/>
      <c r="G8" s="150"/>
      <c r="H8" s="150"/>
      <c r="I8" s="150"/>
      <c r="J8" s="150"/>
      <c r="K8" s="165"/>
    </row>
    <row r="9" spans="1:11" ht="67.5" customHeight="1">
      <c r="A9" s="151" t="s">
        <v>616</v>
      </c>
      <c r="B9" s="151"/>
      <c r="C9" s="151"/>
      <c r="D9" s="151"/>
      <c r="E9" s="151"/>
      <c r="F9" s="151"/>
      <c r="G9" s="151"/>
      <c r="H9" s="151"/>
      <c r="I9" s="151"/>
      <c r="J9" s="151"/>
      <c r="K9" s="165"/>
    </row>
    <row r="10" spans="1:11" ht="55.5" customHeight="1">
      <c r="A10" s="152" t="s">
        <v>1</v>
      </c>
      <c r="B10" s="152"/>
      <c r="C10" s="152"/>
      <c r="D10" s="152"/>
      <c r="E10" s="152"/>
      <c r="F10" s="152"/>
      <c r="G10" s="152"/>
      <c r="H10" s="152"/>
      <c r="I10" s="152"/>
      <c r="J10" s="152"/>
      <c r="K10" s="165"/>
    </row>
    <row r="11" spans="1:11" ht="61.5" customHeight="1">
      <c r="A11" s="13"/>
      <c r="B11" s="13"/>
      <c r="C11" s="13"/>
      <c r="D11" s="14"/>
      <c r="E11" s="15"/>
      <c r="F11" s="15"/>
      <c r="G11" s="114"/>
      <c r="H11" s="16"/>
      <c r="I11" s="16"/>
      <c r="J11" s="17" t="s">
        <v>2</v>
      </c>
      <c r="K11" s="165"/>
    </row>
    <row r="12" spans="1:11" ht="100.5" customHeight="1">
      <c r="A12" s="153" t="s">
        <v>3</v>
      </c>
      <c r="B12" s="153" t="s">
        <v>4</v>
      </c>
      <c r="C12" s="153" t="s">
        <v>5</v>
      </c>
      <c r="D12" s="154" t="s">
        <v>6</v>
      </c>
      <c r="E12" s="154" t="s">
        <v>7</v>
      </c>
      <c r="F12" s="154" t="s">
        <v>8</v>
      </c>
      <c r="G12" s="155" t="s">
        <v>9</v>
      </c>
      <c r="H12" s="156" t="s">
        <v>10</v>
      </c>
      <c r="I12" s="156" t="s">
        <v>11</v>
      </c>
      <c r="J12" s="156"/>
      <c r="K12" s="165"/>
    </row>
    <row r="13" spans="1:11" ht="301.5" customHeight="1">
      <c r="A13" s="153"/>
      <c r="B13" s="153"/>
      <c r="C13" s="153"/>
      <c r="D13" s="154"/>
      <c r="E13" s="154"/>
      <c r="F13" s="154"/>
      <c r="G13" s="155"/>
      <c r="H13" s="156"/>
      <c r="I13" s="18" t="s">
        <v>9</v>
      </c>
      <c r="J13" s="18" t="s">
        <v>12</v>
      </c>
      <c r="K13" s="165"/>
    </row>
    <row r="14" spans="1:12" s="24" customFormat="1" ht="102" customHeight="1">
      <c r="A14" s="19"/>
      <c r="B14" s="19"/>
      <c r="C14" s="19"/>
      <c r="D14" s="20" t="s">
        <v>13</v>
      </c>
      <c r="E14" s="21"/>
      <c r="F14" s="21"/>
      <c r="G14" s="115">
        <f>SUM(G15:G65)</f>
        <v>399985753</v>
      </c>
      <c r="H14" s="22">
        <f>SUM(H15:H65)</f>
        <v>265661576</v>
      </c>
      <c r="I14" s="22">
        <f>SUM(I15:I65)</f>
        <v>134324177</v>
      </c>
      <c r="J14" s="22">
        <f>SUM(J15:J65)</f>
        <v>133736067</v>
      </c>
      <c r="K14" s="165"/>
      <c r="L14" s="23"/>
    </row>
    <row r="15" spans="1:11" ht="185.25" customHeight="1">
      <c r="A15" s="142" t="s">
        <v>14</v>
      </c>
      <c r="B15" s="142" t="s">
        <v>15</v>
      </c>
      <c r="C15" s="142" t="s">
        <v>16</v>
      </c>
      <c r="D15" s="146" t="s">
        <v>17</v>
      </c>
      <c r="E15" s="26" t="str">
        <f>E314</f>
        <v>Програма «Воєнний стан: інформування Сумської міської територіальної громади» на 2023 рік</v>
      </c>
      <c r="F15" s="26" t="str">
        <f>F314</f>
        <v>ріш СМР від 30.11.2022 року № 3241-МР (зі змінами)</v>
      </c>
      <c r="G15" s="94">
        <f aca="true" t="shared" si="0" ref="G15:G65">H15+I15</f>
        <v>1000000</v>
      </c>
      <c r="H15" s="27">
        <f>1000000</f>
        <v>1000000</v>
      </c>
      <c r="I15" s="27"/>
      <c r="J15" s="27"/>
      <c r="K15" s="165"/>
    </row>
    <row r="16" spans="1:11" ht="118.5" customHeight="1" hidden="1">
      <c r="A16" s="142"/>
      <c r="B16" s="142"/>
      <c r="C16" s="142"/>
      <c r="D16" s="146"/>
      <c r="E16" s="26" t="str">
        <f>E315</f>
        <v>Програма "Суспільні комунікації Сумської міської територіальної громади" на 2023-2025 роки</v>
      </c>
      <c r="F16" s="26" t="str">
        <f>F315</f>
        <v>ріш СМР 14.12.2022 № 3321-МР (зі змінами)</v>
      </c>
      <c r="G16" s="94">
        <f t="shared" si="0"/>
        <v>0</v>
      </c>
      <c r="H16" s="27"/>
      <c r="I16" s="27"/>
      <c r="J16" s="27"/>
      <c r="K16" s="165"/>
    </row>
    <row r="17" spans="1:11" ht="132.75" customHeight="1" hidden="1">
      <c r="A17" s="25" t="s">
        <v>18</v>
      </c>
      <c r="B17" s="25" t="s">
        <v>19</v>
      </c>
      <c r="C17" s="25" t="s">
        <v>20</v>
      </c>
      <c r="D17" s="28" t="s">
        <v>21</v>
      </c>
      <c r="E17" s="26" t="s">
        <v>22</v>
      </c>
      <c r="F17" s="26" t="s">
        <v>23</v>
      </c>
      <c r="G17" s="94">
        <f t="shared" si="0"/>
        <v>0</v>
      </c>
      <c r="H17" s="27"/>
      <c r="I17" s="27"/>
      <c r="J17" s="27"/>
      <c r="K17" s="165"/>
    </row>
    <row r="18" spans="1:11" ht="180" customHeight="1">
      <c r="A18" s="145" t="s">
        <v>24</v>
      </c>
      <c r="B18" s="142" t="s">
        <v>25</v>
      </c>
      <c r="C18" s="145" t="s">
        <v>26</v>
      </c>
      <c r="D18" s="146" t="s">
        <v>27</v>
      </c>
      <c r="E18" s="26" t="str">
        <f>E329</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v>
      </c>
      <c r="F18" s="26" t="str">
        <f>F329</f>
        <v>ріш СМР від 24.11.2021 року № 2508-МР (зі змінами)</v>
      </c>
      <c r="G18" s="94">
        <f t="shared" si="0"/>
        <v>805600</v>
      </c>
      <c r="H18" s="27">
        <f>520800+32800+252000</f>
        <v>805600</v>
      </c>
      <c r="I18" s="27"/>
      <c r="J18" s="27"/>
      <c r="K18" s="165"/>
    </row>
    <row r="19" spans="1:11" ht="114" customHeight="1">
      <c r="A19" s="145"/>
      <c r="B19" s="142"/>
      <c r="C19" s="145"/>
      <c r="D19" s="146"/>
      <c r="E19" s="26" t="str">
        <f>E315</f>
        <v>Програма "Суспільні комунікації Сумської міської територіальної громади" на 2023-2025 роки</v>
      </c>
      <c r="F19" s="26" t="s">
        <v>629</v>
      </c>
      <c r="G19" s="94">
        <f t="shared" si="0"/>
        <v>1265500</v>
      </c>
      <c r="H19" s="27">
        <f>1800000+50500+150000-735000</f>
        <v>1265500</v>
      </c>
      <c r="I19" s="27"/>
      <c r="J19" s="27"/>
      <c r="K19" s="165"/>
    </row>
    <row r="20" spans="1:11" ht="154.5" customHeight="1">
      <c r="A20" s="29" t="s">
        <v>28</v>
      </c>
      <c r="B20" s="25" t="s">
        <v>29</v>
      </c>
      <c r="C20" s="29">
        <v>1070</v>
      </c>
      <c r="D20" s="26" t="s">
        <v>30</v>
      </c>
      <c r="E20" s="26" t="str">
        <f>E316</f>
        <v>Комплексна програма Сумської міської територіальної громади «Освіта на 2022 - 2024 роки» </v>
      </c>
      <c r="F20" s="26" t="str">
        <f>F316</f>
        <v>ріш СМР від 24.11.2021 року № 2512 - МР (зі змінами)</v>
      </c>
      <c r="G20" s="94">
        <f t="shared" si="0"/>
        <v>515700</v>
      </c>
      <c r="H20" s="27">
        <v>515700</v>
      </c>
      <c r="I20" s="27"/>
      <c r="J20" s="27"/>
      <c r="K20" s="165"/>
    </row>
    <row r="21" spans="1:11" ht="128.25" customHeight="1">
      <c r="A21" s="145" t="s">
        <v>31</v>
      </c>
      <c r="B21" s="142" t="s">
        <v>32</v>
      </c>
      <c r="C21" s="142">
        <v>1070</v>
      </c>
      <c r="D21" s="146" t="s">
        <v>33</v>
      </c>
      <c r="E21" s="26" t="str">
        <f>E328</f>
        <v>Цільова комплексна програма «Суми - громада для молоді» на 2022-2024 роки </v>
      </c>
      <c r="F21" s="26" t="str">
        <f>F328</f>
        <v>ріш СМР від 23.12.2021 № 2698-МР (зі змінами)</v>
      </c>
      <c r="G21" s="94">
        <f t="shared" si="0"/>
        <v>7200</v>
      </c>
      <c r="H21" s="27">
        <v>7200</v>
      </c>
      <c r="I21" s="27"/>
      <c r="J21" s="27"/>
      <c r="K21" s="165"/>
    </row>
    <row r="22" spans="1:11" ht="147" customHeight="1">
      <c r="A22" s="145"/>
      <c r="B22" s="142"/>
      <c r="C22" s="142"/>
      <c r="D22" s="146"/>
      <c r="E22" s="26" t="str">
        <f>E316</f>
        <v>Комплексна програма Сумської міської територіальної громади «Освіта на 2022 - 2024 роки» </v>
      </c>
      <c r="F22" s="26" t="str">
        <f>F316</f>
        <v>ріш СМР від 24.11.2021 року № 2512 - МР (зі змінами)</v>
      </c>
      <c r="G22" s="94">
        <f t="shared" si="0"/>
        <v>668000</v>
      </c>
      <c r="H22" s="27">
        <v>668000</v>
      </c>
      <c r="I22" s="27"/>
      <c r="J22" s="27"/>
      <c r="K22" s="165"/>
    </row>
    <row r="23" spans="1:11" ht="169.5" customHeight="1">
      <c r="A23" s="25" t="s">
        <v>34</v>
      </c>
      <c r="B23" s="25" t="s">
        <v>35</v>
      </c>
      <c r="C23" s="25" t="s">
        <v>36</v>
      </c>
      <c r="D23" s="26" t="s">
        <v>37</v>
      </c>
      <c r="E23" s="26" t="str">
        <f>E325</f>
        <v>Програма Сумської міської територіальної громади «Соціальні служби готові прийти на допомогу на 2022 – 2024 роки»</v>
      </c>
      <c r="F23" s="26" t="str">
        <f>F325</f>
        <v>ріш СМР від 27.10.2021 року № 2003-МР</v>
      </c>
      <c r="G23" s="94">
        <f t="shared" si="0"/>
        <v>152700</v>
      </c>
      <c r="H23" s="27">
        <v>152700</v>
      </c>
      <c r="I23" s="27"/>
      <c r="J23" s="27"/>
      <c r="K23" s="165"/>
    </row>
    <row r="24" spans="1:11" ht="216.75" customHeight="1">
      <c r="A24" s="25" t="s">
        <v>38</v>
      </c>
      <c r="B24" s="25" t="s">
        <v>39</v>
      </c>
      <c r="C24" s="25" t="s">
        <v>36</v>
      </c>
      <c r="D24" s="26" t="s">
        <v>40</v>
      </c>
      <c r="E24" s="26" t="str">
        <f>E328</f>
        <v>Цільова комплексна програма «Суми - громада для молоді» на 2022-2024 роки </v>
      </c>
      <c r="F24" s="26" t="str">
        <f>F328</f>
        <v>ріш СМР від 23.12.2021 № 2698-МР (зі змінами)</v>
      </c>
      <c r="G24" s="94">
        <f t="shared" si="0"/>
        <v>860000</v>
      </c>
      <c r="H24" s="27">
        <f>1000000-140000</f>
        <v>860000</v>
      </c>
      <c r="I24" s="27"/>
      <c r="J24" s="27"/>
      <c r="K24" s="165"/>
    </row>
    <row r="25" spans="1:11" ht="126.75" customHeight="1">
      <c r="A25" s="25" t="s">
        <v>41</v>
      </c>
      <c r="B25" s="25" t="s">
        <v>42</v>
      </c>
      <c r="C25" s="25" t="s">
        <v>36</v>
      </c>
      <c r="D25" s="26" t="s">
        <v>43</v>
      </c>
      <c r="E25" s="26" t="str">
        <f>E328</f>
        <v>Цільова комплексна програма «Суми - громада для молоді» на 2022-2024 роки </v>
      </c>
      <c r="F25" s="26" t="str">
        <f>F328</f>
        <v>ріш СМР від 23.12.2021 № 2698-МР (зі змінами)</v>
      </c>
      <c r="G25" s="94">
        <f t="shared" si="0"/>
        <v>5520100</v>
      </c>
      <c r="H25" s="27">
        <f>5570500+4800-65200</f>
        <v>5510100</v>
      </c>
      <c r="I25" s="27">
        <v>10000</v>
      </c>
      <c r="J25" s="27"/>
      <c r="K25" s="165"/>
    </row>
    <row r="26" spans="1:12" s="31" customFormat="1" ht="283.5" customHeight="1" hidden="1">
      <c r="A26" s="25" t="s">
        <v>44</v>
      </c>
      <c r="B26" s="25" t="s">
        <v>45</v>
      </c>
      <c r="C26" s="25" t="s">
        <v>36</v>
      </c>
      <c r="D26" s="26" t="s">
        <v>46</v>
      </c>
      <c r="E26" s="26" t="str">
        <f>E344</f>
        <v>Програма оздоровлення та відпочинку дітей Сумської міської територіальної громади на 2022-2024 роки</v>
      </c>
      <c r="F26" s="26" t="str">
        <f>F344</f>
        <v>ріш СМР від 24.11.2021 року № 2507-МР</v>
      </c>
      <c r="G26" s="94">
        <f t="shared" si="0"/>
        <v>0</v>
      </c>
      <c r="H26" s="27"/>
      <c r="I26" s="27"/>
      <c r="J26" s="27"/>
      <c r="K26" s="45">
        <v>33</v>
      </c>
      <c r="L26" s="30"/>
    </row>
    <row r="27" spans="1:11" ht="151.5" customHeight="1">
      <c r="A27" s="25" t="s">
        <v>47</v>
      </c>
      <c r="B27" s="25" t="s">
        <v>48</v>
      </c>
      <c r="C27" s="25" t="s">
        <v>49</v>
      </c>
      <c r="D27" s="32" t="s">
        <v>50</v>
      </c>
      <c r="E27" s="26" t="str">
        <f>E325</f>
        <v>Програма Сумської міської територіальної громади «Соціальні служби готові прийти на допомогу на 2022 – 2024 роки»</v>
      </c>
      <c r="F27" s="26" t="str">
        <f>F325</f>
        <v>ріш СМР від 27.10.2021 року № 2003-МР</v>
      </c>
      <c r="G27" s="94">
        <f t="shared" si="0"/>
        <v>1565000</v>
      </c>
      <c r="H27" s="27">
        <f>1579300-14300</f>
        <v>1565000</v>
      </c>
      <c r="I27" s="27"/>
      <c r="J27" s="33"/>
      <c r="K27" s="141">
        <v>33</v>
      </c>
    </row>
    <row r="28" spans="1:11" ht="167.25" customHeight="1">
      <c r="A28" s="142" t="s">
        <v>51</v>
      </c>
      <c r="B28" s="142" t="s">
        <v>52</v>
      </c>
      <c r="C28" s="142" t="s">
        <v>49</v>
      </c>
      <c r="D28" s="144" t="s">
        <v>53</v>
      </c>
      <c r="E28" s="26" t="str">
        <f>E323</f>
        <v>Програма Сумської міської територіальної громади «Милосердя» на 2022-2024 роки</v>
      </c>
      <c r="F28" s="26" t="str">
        <f>F323</f>
        <v>ріш СМР від 24.11.2021 року № 2272-МР (зі змінами)</v>
      </c>
      <c r="G28" s="94">
        <f t="shared" si="0"/>
        <v>173000</v>
      </c>
      <c r="H28" s="27">
        <f>141000+32000</f>
        <v>173000</v>
      </c>
      <c r="I28" s="27"/>
      <c r="J28" s="33"/>
      <c r="K28" s="141"/>
    </row>
    <row r="29" spans="1:11" ht="170.25" customHeight="1" hidden="1">
      <c r="A29" s="142"/>
      <c r="B29" s="142"/>
      <c r="C29" s="142"/>
      <c r="D29" s="144"/>
      <c r="E29" s="26" t="str">
        <f>E334</f>
        <v>Програма Сумської міської територіальної громади «Соціальна підтримка Захисників і Захисниць України та членів їх сімей» на 2022-2024 роки»</v>
      </c>
      <c r="F29" s="26" t="str">
        <f>F334</f>
        <v>ріш СМР від 24.11.2021 року № 2273-МР (зі змінами)</v>
      </c>
      <c r="G29" s="94">
        <f t="shared" si="0"/>
        <v>0</v>
      </c>
      <c r="H29" s="27"/>
      <c r="I29" s="27"/>
      <c r="J29" s="33"/>
      <c r="K29" s="141"/>
    </row>
    <row r="30" spans="1:11" ht="143.25" customHeight="1" hidden="1">
      <c r="A30" s="25" t="s">
        <v>54</v>
      </c>
      <c r="B30" s="25" t="s">
        <v>55</v>
      </c>
      <c r="C30" s="25" t="s">
        <v>56</v>
      </c>
      <c r="D30" s="32" t="s">
        <v>57</v>
      </c>
      <c r="E30" s="26" t="str">
        <f>E328</f>
        <v>Цільова комплексна програма «Суми - громада для молоді» на 2022-2024 роки </v>
      </c>
      <c r="F30" s="26" t="str">
        <f>F328</f>
        <v>ріш СМР від 23.12.2021 № 2698-МР (зі змінами)</v>
      </c>
      <c r="G30" s="94">
        <f t="shared" si="0"/>
        <v>0</v>
      </c>
      <c r="H30" s="27"/>
      <c r="I30" s="27"/>
      <c r="J30" s="33"/>
      <c r="K30" s="141"/>
    </row>
    <row r="31" spans="1:11" ht="159.75" customHeight="1" hidden="1">
      <c r="A31" s="25" t="s">
        <v>58</v>
      </c>
      <c r="B31" s="25" t="s">
        <v>59</v>
      </c>
      <c r="C31" s="25" t="s">
        <v>60</v>
      </c>
      <c r="D31" s="32" t="s">
        <v>61</v>
      </c>
      <c r="E31" s="26" t="str">
        <f>E314</f>
        <v>Програма «Воєнний стан: інформування Сумської міської територіальної громади» на 2023 рік</v>
      </c>
      <c r="F31" s="26" t="str">
        <f>F314</f>
        <v>ріш СМР від 30.11.2022 року № 3241-МР (зі змінами)</v>
      </c>
      <c r="G31" s="94">
        <f t="shared" si="0"/>
        <v>0</v>
      </c>
      <c r="H31" s="27"/>
      <c r="I31" s="27"/>
      <c r="J31" s="27"/>
      <c r="K31" s="141"/>
    </row>
    <row r="32" spans="1:11" ht="141.75" customHeight="1" hidden="1">
      <c r="A32" s="25" t="s">
        <v>62</v>
      </c>
      <c r="B32" s="25" t="s">
        <v>63</v>
      </c>
      <c r="C32" s="25" t="s">
        <v>60</v>
      </c>
      <c r="D32" s="32" t="s">
        <v>64</v>
      </c>
      <c r="E32" s="26" t="str">
        <f>E314</f>
        <v>Програма «Воєнний стан: інформування Сумської міської територіальної громади» на 2023 рік</v>
      </c>
      <c r="F32" s="26" t="str">
        <f>F314</f>
        <v>ріш СМР від 30.11.2022 року № 3241-МР (зі змінами)</v>
      </c>
      <c r="G32" s="94">
        <f t="shared" si="0"/>
        <v>0</v>
      </c>
      <c r="H32" s="27"/>
      <c r="I32" s="27"/>
      <c r="J32" s="27"/>
      <c r="K32" s="141"/>
    </row>
    <row r="33" spans="1:11" ht="183.75" customHeight="1">
      <c r="A33" s="25" t="s">
        <v>65</v>
      </c>
      <c r="B33" s="25" t="s">
        <v>66</v>
      </c>
      <c r="C33" s="25" t="s">
        <v>67</v>
      </c>
      <c r="D33" s="32" t="s">
        <v>68</v>
      </c>
      <c r="E33" s="26" t="str">
        <f>E337</f>
        <v>Програма розвитку фізичної культури і спорту Сумської міської територіальної громади на 2022-2024 роки</v>
      </c>
      <c r="F33" s="26" t="str">
        <f>F337</f>
        <v>ріш СМР від 24.11.2021 року № 2509-МР (зі змінами) </v>
      </c>
      <c r="G33" s="94">
        <f t="shared" si="0"/>
        <v>1965000</v>
      </c>
      <c r="H33" s="27">
        <f>400000+1000000+1300000-500000-235000</f>
        <v>1965000</v>
      </c>
      <c r="I33" s="27"/>
      <c r="J33" s="27"/>
      <c r="K33" s="141"/>
    </row>
    <row r="34" spans="1:11" ht="180.75" customHeight="1">
      <c r="A34" s="25" t="s">
        <v>69</v>
      </c>
      <c r="B34" s="25" t="s">
        <v>70</v>
      </c>
      <c r="C34" s="25" t="s">
        <v>67</v>
      </c>
      <c r="D34" s="32" t="s">
        <v>71</v>
      </c>
      <c r="E34" s="26" t="str">
        <f>E337</f>
        <v>Програма розвитку фізичної культури і спорту Сумської міської територіальної громади на 2022-2024 роки</v>
      </c>
      <c r="F34" s="26" t="str">
        <f>F337</f>
        <v>ріш СМР від 24.11.2021 року № 2509-МР (зі змінами) </v>
      </c>
      <c r="G34" s="94">
        <f t="shared" si="0"/>
        <v>750000</v>
      </c>
      <c r="H34" s="27">
        <f>400000+300000+50000</f>
        <v>750000</v>
      </c>
      <c r="I34" s="27"/>
      <c r="J34" s="27"/>
      <c r="K34" s="141"/>
    </row>
    <row r="35" spans="1:11" ht="177.75" customHeight="1">
      <c r="A35" s="25" t="s">
        <v>72</v>
      </c>
      <c r="B35" s="25" t="s">
        <v>73</v>
      </c>
      <c r="C35" s="25" t="s">
        <v>67</v>
      </c>
      <c r="D35" s="32" t="s">
        <v>74</v>
      </c>
      <c r="E35" s="26" t="str">
        <f>E337</f>
        <v>Програма розвитку фізичної культури і спорту Сумської міської територіальної громади на 2022-2024 роки</v>
      </c>
      <c r="F35" s="26" t="str">
        <f>F337</f>
        <v>ріш СМР від 24.11.2021 року № 2509-МР (зі змінами) </v>
      </c>
      <c r="G35" s="94">
        <f>H35+I35</f>
        <v>24145841</v>
      </c>
      <c r="H35" s="27">
        <f>21461600+1098141+935000+455000-178900+185000</f>
        <v>23955841</v>
      </c>
      <c r="I35" s="27">
        <v>190000</v>
      </c>
      <c r="J35" s="27">
        <v>190000</v>
      </c>
      <c r="K35" s="141"/>
    </row>
    <row r="36" spans="1:11" ht="162" customHeight="1">
      <c r="A36" s="25" t="s">
        <v>75</v>
      </c>
      <c r="B36" s="25" t="s">
        <v>76</v>
      </c>
      <c r="C36" s="25" t="s">
        <v>67</v>
      </c>
      <c r="D36" s="32" t="s">
        <v>77</v>
      </c>
      <c r="E36" s="26" t="str">
        <f>E337</f>
        <v>Програма розвитку фізичної культури і спорту Сумської міської територіальної громади на 2022-2024 роки</v>
      </c>
      <c r="F36" s="26" t="str">
        <f>F337</f>
        <v>ріш СМР від 24.11.2021 року № 2509-МР (зі змінами) </v>
      </c>
      <c r="G36" s="94">
        <f t="shared" si="0"/>
        <v>20042595</v>
      </c>
      <c r="H36" s="27">
        <f>15408900+432000+1901859+200000+79736+525000+520000-520000</f>
        <v>18547495</v>
      </c>
      <c r="I36" s="27">
        <f>147100+163000+500000+165000+520000</f>
        <v>1495100</v>
      </c>
      <c r="J36" s="27">
        <f>147100+163000+500000+165000+520000</f>
        <v>1495100</v>
      </c>
      <c r="K36" s="141"/>
    </row>
    <row r="37" spans="1:11" ht="247.5" customHeight="1">
      <c r="A37" s="25" t="s">
        <v>78</v>
      </c>
      <c r="B37" s="25" t="s">
        <v>79</v>
      </c>
      <c r="C37" s="25" t="s">
        <v>67</v>
      </c>
      <c r="D37" s="32" t="s">
        <v>80</v>
      </c>
      <c r="E37" s="26" t="str">
        <f>E337</f>
        <v>Програма розвитку фізичної культури і спорту Сумської міської територіальної громади на 2022-2024 роки</v>
      </c>
      <c r="F37" s="26" t="str">
        <f>F337</f>
        <v>ріш СМР від 24.11.2021 року № 2509-МР (зі змінами) </v>
      </c>
      <c r="G37" s="94">
        <f t="shared" si="0"/>
        <v>6242510</v>
      </c>
      <c r="H37" s="27">
        <f>5289200+543600-68400</f>
        <v>5764400</v>
      </c>
      <c r="I37" s="27">
        <v>478110</v>
      </c>
      <c r="J37" s="27"/>
      <c r="K37" s="141"/>
    </row>
    <row r="38" spans="1:11" ht="201" customHeight="1">
      <c r="A38" s="25" t="s">
        <v>81</v>
      </c>
      <c r="B38" s="25" t="s">
        <v>82</v>
      </c>
      <c r="C38" s="25" t="s">
        <v>67</v>
      </c>
      <c r="D38" s="32" t="s">
        <v>83</v>
      </c>
      <c r="E38" s="26" t="str">
        <f>E337</f>
        <v>Програма розвитку фізичної культури і спорту Сумської міської територіальної громади на 2022-2024 роки</v>
      </c>
      <c r="F38" s="26" t="str">
        <f>F337</f>
        <v>ріш СМР від 24.11.2021 року № 2509-МР (зі змінами) </v>
      </c>
      <c r="G38" s="94">
        <f t="shared" si="0"/>
        <v>14446532</v>
      </c>
      <c r="H38" s="27">
        <f>13828800-3000000+1900000+1017732+700000</f>
        <v>14446532</v>
      </c>
      <c r="I38" s="27"/>
      <c r="J38" s="27"/>
      <c r="K38" s="141"/>
    </row>
    <row r="39" spans="1:11" ht="189" customHeight="1">
      <c r="A39" s="25" t="s">
        <v>84</v>
      </c>
      <c r="B39" s="25" t="s">
        <v>85</v>
      </c>
      <c r="C39" s="25" t="s">
        <v>86</v>
      </c>
      <c r="D39" s="26" t="s">
        <v>87</v>
      </c>
      <c r="E39" s="26" t="str">
        <f>E321</f>
        <v>Програма розвитку та вдосконалення пасажирського транспорту і мобільності на території Сумської міської територіальної громади на 2022-2024 роки</v>
      </c>
      <c r="F39" s="26" t="str">
        <f>F321</f>
        <v>ріш СМР від 26.01.2022 року № 2716-МР (зі змінами)</v>
      </c>
      <c r="G39" s="94">
        <f t="shared" si="0"/>
        <v>14205800</v>
      </c>
      <c r="H39" s="27">
        <v>14205800</v>
      </c>
      <c r="I39" s="27"/>
      <c r="J39" s="27"/>
      <c r="K39" s="141"/>
    </row>
    <row r="40" spans="1:11" ht="182.25" customHeight="1">
      <c r="A40" s="25" t="s">
        <v>88</v>
      </c>
      <c r="B40" s="25">
        <v>7413</v>
      </c>
      <c r="C40" s="25" t="s">
        <v>86</v>
      </c>
      <c r="D40" s="26" t="s">
        <v>89</v>
      </c>
      <c r="E40" s="26" t="str">
        <f>E321</f>
        <v>Програма розвитку та вдосконалення пасажирського транспорту і мобільності на території Сумської міської територіальної громади на 2022-2024 роки</v>
      </c>
      <c r="F40" s="26" t="str">
        <f>F321</f>
        <v>ріш СМР від 26.01.2022 року № 2716-МР (зі змінами)</v>
      </c>
      <c r="G40" s="94">
        <f t="shared" si="0"/>
        <v>5937700</v>
      </c>
      <c r="H40" s="27">
        <f>4937700+1000000</f>
        <v>5937700</v>
      </c>
      <c r="I40" s="27"/>
      <c r="J40" s="27"/>
      <c r="K40" s="141"/>
    </row>
    <row r="41" spans="1:11" ht="186" customHeight="1">
      <c r="A41" s="25" t="s">
        <v>90</v>
      </c>
      <c r="B41" s="25">
        <v>7422</v>
      </c>
      <c r="C41" s="25" t="s">
        <v>91</v>
      </c>
      <c r="D41" s="34" t="s">
        <v>92</v>
      </c>
      <c r="E41" s="26" t="str">
        <f>E321</f>
        <v>Програма розвитку та вдосконалення пасажирського транспорту і мобільності на території Сумської міської територіальної громади на 2022-2024 роки</v>
      </c>
      <c r="F41" s="26" t="str">
        <f>F321</f>
        <v>ріш СМР від 26.01.2022 року № 2716-МР (зі змінами)</v>
      </c>
      <c r="G41" s="94">
        <f t="shared" si="0"/>
        <v>41613200</v>
      </c>
      <c r="H41" s="27">
        <v>41613200</v>
      </c>
      <c r="I41" s="27"/>
      <c r="J41" s="27"/>
      <c r="K41" s="141"/>
    </row>
    <row r="42" spans="1:11" ht="167.25" customHeight="1">
      <c r="A42" s="25" t="s">
        <v>93</v>
      </c>
      <c r="B42" s="25" t="s">
        <v>94</v>
      </c>
      <c r="C42" s="25" t="s">
        <v>91</v>
      </c>
      <c r="D42" s="26" t="s">
        <v>95</v>
      </c>
      <c r="E42" s="26" t="str">
        <f>E321</f>
        <v>Програма розвитку та вдосконалення пасажирського транспорту і мобільності на території Сумської міської територіальної громади на 2022-2024 роки</v>
      </c>
      <c r="F42" s="26" t="str">
        <f>F321</f>
        <v>ріш СМР від 26.01.2022 року № 2716-МР (зі змінами)</v>
      </c>
      <c r="G42" s="94">
        <f t="shared" si="0"/>
        <v>17916743</v>
      </c>
      <c r="H42" s="94">
        <f>10162300+3054443+4700000</f>
        <v>17916743</v>
      </c>
      <c r="I42" s="27"/>
      <c r="J42" s="27"/>
      <c r="K42" s="141"/>
    </row>
    <row r="43" spans="1:12" s="31" customFormat="1" ht="159.75" customHeight="1" hidden="1">
      <c r="A43" s="25" t="s">
        <v>96</v>
      </c>
      <c r="B43" s="25" t="s">
        <v>97</v>
      </c>
      <c r="C43" s="25" t="s">
        <v>98</v>
      </c>
      <c r="D43" s="26" t="s">
        <v>99</v>
      </c>
      <c r="E43" s="26" t="str">
        <f>E321</f>
        <v>Програма розвитку та вдосконалення пасажирського транспорту і мобільності на території Сумської міської територіальної громади на 2022-2024 роки</v>
      </c>
      <c r="F43" s="26" t="str">
        <f>F321</f>
        <v>ріш СМР від 26.01.2022 року № 2716-МР (зі змінами)</v>
      </c>
      <c r="G43" s="94">
        <f t="shared" si="0"/>
        <v>0</v>
      </c>
      <c r="H43" s="27">
        <f>2500000-2500000</f>
        <v>0</v>
      </c>
      <c r="I43" s="27"/>
      <c r="J43" s="27"/>
      <c r="K43" s="141"/>
      <c r="L43" s="30"/>
    </row>
    <row r="44" spans="1:11" ht="156" customHeight="1">
      <c r="A44" s="25" t="s">
        <v>100</v>
      </c>
      <c r="B44" s="25" t="s">
        <v>101</v>
      </c>
      <c r="C44" s="25" t="s">
        <v>102</v>
      </c>
      <c r="D44" s="26" t="s">
        <v>103</v>
      </c>
      <c r="E44" s="26" t="str">
        <f>E322</f>
        <v>Програма «Автоматизація муніципальних телекомунікаційних систем на 2022-2024 роки Сумської міської територіальної громади»</v>
      </c>
      <c r="F44" s="26" t="str">
        <f>F322</f>
        <v>ріш СМР від 24.11.2021 року № 2510-МР (зі змінами)</v>
      </c>
      <c r="G44" s="94">
        <f t="shared" si="0"/>
        <v>10240202</v>
      </c>
      <c r="H44" s="27">
        <f>10000000+311348-1865000-2000000</f>
        <v>6446348</v>
      </c>
      <c r="I44" s="27">
        <f>1818854+1865000+110000</f>
        <v>3793854</v>
      </c>
      <c r="J44" s="27">
        <f>1818854+1865000+110000</f>
        <v>3793854</v>
      </c>
      <c r="K44" s="141"/>
    </row>
    <row r="45" spans="1:12" s="31" customFormat="1" ht="186" customHeight="1" hidden="1">
      <c r="A45" s="25" t="s">
        <v>104</v>
      </c>
      <c r="B45" s="25" t="s">
        <v>105</v>
      </c>
      <c r="C45" s="25" t="s">
        <v>106</v>
      </c>
      <c r="D45" s="26" t="s">
        <v>107</v>
      </c>
      <c r="E45" s="26" t="str">
        <f>E339</f>
        <v>Цільова Програма підтримки малого і середнього підприємництва Сумської міської територіальної громади на 2022-2024 роки</v>
      </c>
      <c r="F45" s="26" t="str">
        <f>F339</f>
        <v>від 29.09.2021 року № 1601-МР</v>
      </c>
      <c r="G45" s="94">
        <f t="shared" si="0"/>
        <v>0</v>
      </c>
      <c r="H45" s="27"/>
      <c r="I45" s="27"/>
      <c r="J45" s="27"/>
      <c r="K45" s="141"/>
      <c r="L45" s="30"/>
    </row>
    <row r="46" spans="1:12" s="31" customFormat="1" ht="129.75" customHeight="1">
      <c r="A46" s="25" t="s">
        <v>108</v>
      </c>
      <c r="B46" s="25" t="s">
        <v>109</v>
      </c>
      <c r="C46" s="25" t="s">
        <v>110</v>
      </c>
      <c r="D46" s="26" t="s">
        <v>111</v>
      </c>
      <c r="E46" s="26" t="str">
        <f>E335</f>
        <v>Програма підвищення енергоефективності в бюджетній сфері Сумської міської територіальної громади на 2022-2024 роки</v>
      </c>
      <c r="F46" s="26" t="str">
        <f>F335</f>
        <v>ріш СМР від 26.01.2022 року № 2715-МР (зі змінами)</v>
      </c>
      <c r="G46" s="94">
        <f t="shared" si="0"/>
        <v>20500000</v>
      </c>
      <c r="H46" s="27"/>
      <c r="I46" s="27">
        <v>20500000</v>
      </c>
      <c r="J46" s="27">
        <v>20500000</v>
      </c>
      <c r="K46" s="141"/>
      <c r="L46" s="30"/>
    </row>
    <row r="47" spans="1:12" s="31" customFormat="1" ht="167.25" customHeight="1">
      <c r="A47" s="25" t="s">
        <v>112</v>
      </c>
      <c r="B47" s="25" t="s">
        <v>113</v>
      </c>
      <c r="C47" s="25" t="s">
        <v>114</v>
      </c>
      <c r="D47" s="26" t="s">
        <v>115</v>
      </c>
      <c r="E47" s="26" t="str">
        <f>E321</f>
        <v>Програма розвитку та вдосконалення пасажирського транспорту і мобільності на території Сумської міської територіальної громади на 2022-2024 роки</v>
      </c>
      <c r="F47" s="26" t="str">
        <f>F321</f>
        <v>ріш СМР від 26.01.2022 року № 2716-МР (зі змінами)</v>
      </c>
      <c r="G47" s="94">
        <f t="shared" si="0"/>
        <v>1679790</v>
      </c>
      <c r="H47" s="27"/>
      <c r="I47" s="27">
        <v>1679790</v>
      </c>
      <c r="J47" s="27">
        <v>1679790</v>
      </c>
      <c r="K47" s="141">
        <v>34</v>
      </c>
      <c r="L47" s="30"/>
    </row>
    <row r="48" spans="1:12" s="31" customFormat="1" ht="124.5" customHeight="1">
      <c r="A48" s="142" t="s">
        <v>116</v>
      </c>
      <c r="B48" s="142" t="s">
        <v>117</v>
      </c>
      <c r="C48" s="142" t="s">
        <v>114</v>
      </c>
      <c r="D48" s="144" t="s">
        <v>118</v>
      </c>
      <c r="E48" s="35" t="str">
        <f>E330</f>
        <v>Програма економічного і соціального розвитку Сумської міської територіальної громади на 2023 рік</v>
      </c>
      <c r="F48" s="35" t="str">
        <f>F330</f>
        <v>ріш СМР від 14.12.2022 року № 3310-МР (зі змінами)</v>
      </c>
      <c r="G48" s="94">
        <f t="shared" si="0"/>
        <v>334639</v>
      </c>
      <c r="H48" s="27">
        <f>267000+67639</f>
        <v>334639</v>
      </c>
      <c r="I48" s="27"/>
      <c r="J48" s="27"/>
      <c r="K48" s="141"/>
      <c r="L48" s="30"/>
    </row>
    <row r="49" spans="1:12" s="31" customFormat="1" ht="132.75">
      <c r="A49" s="142"/>
      <c r="B49" s="142"/>
      <c r="C49" s="142"/>
      <c r="D49" s="144"/>
      <c r="E49" s="26" t="str">
        <f>E335</f>
        <v>Програма підвищення енергоефективності в бюджетній сфері Сумської міської територіальної громади на 2022-2024 роки</v>
      </c>
      <c r="F49" s="26" t="str">
        <f>F335</f>
        <v>ріш СМР від 26.01.2022 року № 2715-МР (зі змінами)</v>
      </c>
      <c r="G49" s="94">
        <f t="shared" si="0"/>
        <v>117500</v>
      </c>
      <c r="H49" s="27">
        <f>50000+67500</f>
        <v>117500</v>
      </c>
      <c r="I49" s="27"/>
      <c r="J49" s="27"/>
      <c r="K49" s="141"/>
      <c r="L49" s="30"/>
    </row>
    <row r="50" spans="1:11" ht="177">
      <c r="A50" s="25" t="s">
        <v>119</v>
      </c>
      <c r="B50" s="25" t="s">
        <v>120</v>
      </c>
      <c r="C50" s="25" t="s">
        <v>114</v>
      </c>
      <c r="D50" s="26" t="s">
        <v>121</v>
      </c>
      <c r="E50" s="26" t="str">
        <f>E346</f>
        <v>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v>
      </c>
      <c r="F50" s="26" t="str">
        <f>F346</f>
        <v>ріш ВК від 22.07.2022 № 295 (зі змінами)</v>
      </c>
      <c r="G50" s="94">
        <f t="shared" si="0"/>
        <v>1568830</v>
      </c>
      <c r="H50" s="27">
        <f>1986330-417500</f>
        <v>1568830</v>
      </c>
      <c r="I50" s="27"/>
      <c r="J50" s="27"/>
      <c r="K50" s="141"/>
    </row>
    <row r="51" spans="1:11" ht="205.5" customHeight="1">
      <c r="A51" s="25" t="s">
        <v>122</v>
      </c>
      <c r="B51" s="25" t="s">
        <v>123</v>
      </c>
      <c r="C51" s="25" t="s">
        <v>124</v>
      </c>
      <c r="D51" s="26" t="s">
        <v>125</v>
      </c>
      <c r="E51" s="26" t="str">
        <f>E327</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51" s="26" t="str">
        <f>F327</f>
        <v>ріш СМР від 27.10.2021 року № 2001-МР (зі змінами)</v>
      </c>
      <c r="G51" s="94">
        <f t="shared" si="0"/>
        <v>18021212</v>
      </c>
      <c r="H51" s="27">
        <f>530920+3000000+5091+1060000+7200+10000000-2997000+500000+1231400-10000000</f>
        <v>3337611</v>
      </c>
      <c r="I51" s="27">
        <f>24560000-1060000-99999-5100000-4000000+880000-1231400+735000</f>
        <v>14683601</v>
      </c>
      <c r="J51" s="27">
        <f>24560000-1060000-99999-5100000-4000000+880000-1231400+735000</f>
        <v>14683601</v>
      </c>
      <c r="K51" s="141"/>
    </row>
    <row r="52" spans="1:11" ht="144" customHeight="1">
      <c r="A52" s="25" t="s">
        <v>126</v>
      </c>
      <c r="B52" s="25" t="s">
        <v>127</v>
      </c>
      <c r="C52" s="25" t="s">
        <v>128</v>
      </c>
      <c r="D52" s="32" t="s">
        <v>129</v>
      </c>
      <c r="E52" s="26" t="str">
        <f>E320</f>
        <v>Комплексна програма «Правопорядок» на період 2022-2024 роки</v>
      </c>
      <c r="F52" s="26" t="str">
        <f>F320</f>
        <v>ріш СМР від 27.10.2021 року № 2005-МР (зі змінами)</v>
      </c>
      <c r="G52" s="94">
        <f t="shared" si="0"/>
        <v>636900</v>
      </c>
      <c r="H52" s="27">
        <f>665100+8500-69800+33100</f>
        <v>636900</v>
      </c>
      <c r="I52" s="27"/>
      <c r="J52" s="27"/>
      <c r="K52" s="141"/>
    </row>
    <row r="53" spans="1:11" ht="381.75" customHeight="1">
      <c r="A53" s="142" t="s">
        <v>130</v>
      </c>
      <c r="B53" s="142" t="s">
        <v>131</v>
      </c>
      <c r="C53" s="142" t="s">
        <v>128</v>
      </c>
      <c r="D53" s="146" t="s">
        <v>132</v>
      </c>
      <c r="E53" s="26" t="str">
        <f>E340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53" s="26" t="str">
        <f>F340</f>
        <v>ріш СМР від 14.12.2022 року № 3325-МР (зі змінами)</v>
      </c>
      <c r="G53" s="94">
        <f t="shared" si="0"/>
        <v>54535320</v>
      </c>
      <c r="H53" s="27">
        <f>20000000+4884444+435265+260512+300000+664871+821000+414829+6850500+1000000+1614204+510800+3652000+400000+1840000+55996-84800+701000+268980+159000</f>
        <v>44748601</v>
      </c>
      <c r="I53" s="27">
        <f>2000000+33700+99999+1375000+523200+2348000+850000+1000000+84800+99000+531020+842000</f>
        <v>9786719</v>
      </c>
      <c r="J53" s="27">
        <f>2000000+33700+99999+1375000+523200+2348000+850000+1000000+84800+99000+531020+842000</f>
        <v>9786719</v>
      </c>
      <c r="K53" s="141"/>
    </row>
    <row r="54" spans="1:11" ht="192" customHeight="1" hidden="1">
      <c r="A54" s="142"/>
      <c r="B54" s="142"/>
      <c r="C54" s="142"/>
      <c r="D54" s="146"/>
      <c r="E54" s="26"/>
      <c r="F54" s="26"/>
      <c r="G54" s="94">
        <f t="shared" si="0"/>
        <v>0</v>
      </c>
      <c r="H54" s="27"/>
      <c r="I54" s="27"/>
      <c r="J54" s="27"/>
      <c r="K54" s="141"/>
    </row>
    <row r="55" spans="1:11" ht="138" customHeight="1">
      <c r="A55" s="25" t="s">
        <v>133</v>
      </c>
      <c r="B55" s="25" t="s">
        <v>134</v>
      </c>
      <c r="C55" s="25" t="s">
        <v>135</v>
      </c>
      <c r="D55" s="26" t="s">
        <v>136</v>
      </c>
      <c r="E55" s="35" t="str">
        <f>E333</f>
        <v>Програма охорони навколишнього природного середовища Сумської міської територіальної громади на 2022-2024 роки</v>
      </c>
      <c r="F55" s="35" t="str">
        <f>F333</f>
        <v>ріш ВК від 27.05.2022 № 162 (зі змінами)</v>
      </c>
      <c r="G55" s="94">
        <f t="shared" si="0"/>
        <v>100000</v>
      </c>
      <c r="H55" s="27"/>
      <c r="I55" s="27">
        <v>100000</v>
      </c>
      <c r="J55" s="27"/>
      <c r="K55" s="141"/>
    </row>
    <row r="56" spans="1:11" ht="144.75" customHeight="1" hidden="1">
      <c r="A56" s="25" t="s">
        <v>137</v>
      </c>
      <c r="B56" s="25" t="s">
        <v>138</v>
      </c>
      <c r="C56" s="25" t="s">
        <v>139</v>
      </c>
      <c r="D56" s="26" t="s">
        <v>140</v>
      </c>
      <c r="E56" s="26" t="str">
        <f>E314</f>
        <v>Програма «Воєнний стан: інформування Сумської міської територіальної громади» на 2023 рік</v>
      </c>
      <c r="F56" s="26" t="str">
        <f>F314</f>
        <v>ріш СМР від 30.11.2022 року № 3241-МР (зі змінами)</v>
      </c>
      <c r="G56" s="94">
        <f t="shared" si="0"/>
        <v>0</v>
      </c>
      <c r="H56" s="27"/>
      <c r="I56" s="27"/>
      <c r="J56" s="27"/>
      <c r="K56" s="141"/>
    </row>
    <row r="57" spans="1:11" ht="196.5" customHeight="1" hidden="1">
      <c r="A57" s="25" t="s">
        <v>141</v>
      </c>
      <c r="B57" s="25">
        <v>8861</v>
      </c>
      <c r="C57" s="25" t="s">
        <v>114</v>
      </c>
      <c r="D57" s="26" t="s">
        <v>142</v>
      </c>
      <c r="E57" s="35" t="str">
        <f>E330</f>
        <v>Програма економічного і соціального розвитку Сумської міської територіальної громади на 2023 рік</v>
      </c>
      <c r="F57" s="35" t="str">
        <f>F330</f>
        <v>ріш СМР від 14.12.2022 року № 3310-МР (зі змінами)</v>
      </c>
      <c r="G57" s="94">
        <f t="shared" si="0"/>
        <v>0</v>
      </c>
      <c r="H57" s="27"/>
      <c r="I57" s="27"/>
      <c r="J57" s="27"/>
      <c r="K57" s="141"/>
    </row>
    <row r="58" spans="1:11" ht="128.25" customHeight="1" hidden="1">
      <c r="A58" s="147" t="s">
        <v>143</v>
      </c>
      <c r="B58" s="147" t="s">
        <v>144</v>
      </c>
      <c r="C58" s="147" t="s">
        <v>25</v>
      </c>
      <c r="D58" s="157" t="s">
        <v>145</v>
      </c>
      <c r="E58" s="26" t="str">
        <f>E320</f>
        <v>Комплексна програма «Правопорядок» на період 2022-2024 роки</v>
      </c>
      <c r="F58" s="26" t="str">
        <f>F320</f>
        <v>ріш СМР від 27.10.2021 року № 2005-МР (зі змінами)</v>
      </c>
      <c r="G58" s="94">
        <f t="shared" si="0"/>
        <v>0</v>
      </c>
      <c r="H58" s="27"/>
      <c r="I58" s="27"/>
      <c r="J58" s="27"/>
      <c r="K58" s="141"/>
    </row>
    <row r="59" spans="1:11" ht="409.5" customHeight="1" hidden="1">
      <c r="A59" s="162"/>
      <c r="B59" s="162"/>
      <c r="C59" s="162"/>
      <c r="D59" s="158"/>
      <c r="E59" s="26" t="str">
        <f>E340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59" s="26" t="str">
        <f>F340</f>
        <v>ріш СМР від 14.12.2022 року № 3325-МР (зі змінами)</v>
      </c>
      <c r="G59" s="94">
        <f t="shared" si="0"/>
        <v>0</v>
      </c>
      <c r="H59" s="27"/>
      <c r="I59" s="27"/>
      <c r="J59" s="27"/>
      <c r="K59" s="141"/>
    </row>
    <row r="60" spans="1:11" ht="232.5" customHeight="1">
      <c r="A60" s="162"/>
      <c r="B60" s="162"/>
      <c r="C60" s="162"/>
      <c r="D60" s="158"/>
      <c r="E60" s="35" t="str">
        <f>E330</f>
        <v>Програма економічного і соціального розвитку Сумської міської територіальної громади на 2023 рік</v>
      </c>
      <c r="F60" s="35" t="str">
        <f>F330</f>
        <v>ріш СМР від 14.12.2022 року № 3310-МР (зі змінами)</v>
      </c>
      <c r="G60" s="94">
        <f>H60+I60</f>
        <v>4450000</v>
      </c>
      <c r="H60" s="27">
        <f>2000000+450000+2000000</f>
        <v>4450000</v>
      </c>
      <c r="I60" s="27"/>
      <c r="J60" s="27"/>
      <c r="K60" s="141"/>
    </row>
    <row r="61" spans="1:11" ht="232.5" customHeight="1">
      <c r="A61" s="143"/>
      <c r="B61" s="143"/>
      <c r="C61" s="143"/>
      <c r="D61" s="159"/>
      <c r="E61" s="35" t="str">
        <f>E337</f>
        <v>Програма розвитку фізичної культури і спорту Сумської міської територіальної громади на 2022-2024 роки</v>
      </c>
      <c r="F61" s="35" t="str">
        <f>F337</f>
        <v>ріш СМР від 24.11.2021 року № 2509-МР (зі змінами) </v>
      </c>
      <c r="G61" s="94">
        <f>H61+I61</f>
        <v>2900000</v>
      </c>
      <c r="H61" s="27"/>
      <c r="I61" s="27">
        <v>2900000</v>
      </c>
      <c r="J61" s="27">
        <v>2900000</v>
      </c>
      <c r="K61" s="141"/>
    </row>
    <row r="62" spans="1:11" ht="134.25" customHeight="1">
      <c r="A62" s="142" t="s">
        <v>146</v>
      </c>
      <c r="B62" s="142" t="s">
        <v>147</v>
      </c>
      <c r="C62" s="142" t="s">
        <v>25</v>
      </c>
      <c r="D62" s="144" t="s">
        <v>148</v>
      </c>
      <c r="E62" s="35" t="str">
        <f>E330</f>
        <v>Програма економічного і соціального розвитку Сумської міської територіальної громади на 2023 рік</v>
      </c>
      <c r="F62" s="35" t="str">
        <f>F330</f>
        <v>ріш СМР від 14.12.2022 року № 3310-МР (зі змінами)</v>
      </c>
      <c r="G62" s="94">
        <f>H62+I62</f>
        <v>30750930</v>
      </c>
      <c r="H62" s="27">
        <f>50000+4000000+100000+54000+850000+98000+1325930+49000+1400000+99000</f>
        <v>8025930</v>
      </c>
      <c r="I62" s="27">
        <f>100000+685000+4000000+6900000+3000000+900000+990000+1500000+650000+4000000</f>
        <v>22725000</v>
      </c>
      <c r="J62" s="27">
        <f>100000+685000+4000000+6900000+3000000+900000+990000+1500000+650000+4000000</f>
        <v>22725000</v>
      </c>
      <c r="K62" s="141"/>
    </row>
    <row r="63" spans="1:11" ht="132.75" customHeight="1" hidden="1">
      <c r="A63" s="142"/>
      <c r="B63" s="142"/>
      <c r="C63" s="142"/>
      <c r="D63" s="144"/>
      <c r="E63" s="88"/>
      <c r="F63" s="88"/>
      <c r="G63" s="94">
        <f t="shared" si="0"/>
        <v>0</v>
      </c>
      <c r="H63" s="27"/>
      <c r="I63" s="27"/>
      <c r="J63" s="27"/>
      <c r="K63" s="141"/>
    </row>
    <row r="64" spans="1:11" ht="398.25">
      <c r="A64" s="142"/>
      <c r="B64" s="142"/>
      <c r="C64" s="142"/>
      <c r="D64" s="144"/>
      <c r="E64" s="26" t="str">
        <f>E340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4" s="26" t="str">
        <f>F340</f>
        <v>ріш СМР від 14.12.2022 року № 3325-МР (зі змінами)</v>
      </c>
      <c r="G64" s="94">
        <f t="shared" si="0"/>
        <v>71410270</v>
      </c>
      <c r="H64" s="27">
        <f>1068461+3000000+140000+5000000+766025+426000+600000+1500000+8805000+100000-4310137+3000000+500000+10000000+180000+500000-8475116.22+7603066.22+3000000+1000000+100000+250000-2874000+82040</f>
        <v>31961339</v>
      </c>
      <c r="I64" s="27">
        <f>680000+320000+6574000+266450+4310137+4300000+500000+3000000+7000000+3000000-500000-49950+922000-3000000+3000000+5000000+1334334+2874000-82040</f>
        <v>39448931</v>
      </c>
      <c r="J64" s="27">
        <f>680000+320000+6574000+266450+4310137+4300000+500000+3000000+7000000+3000000-500000-49950+922000-3000000+3000000+5000000+1334334+2874000-82040</f>
        <v>39448931</v>
      </c>
      <c r="K64" s="141"/>
    </row>
    <row r="65" spans="1:11" ht="138" customHeight="1">
      <c r="A65" s="142"/>
      <c r="B65" s="142"/>
      <c r="C65" s="142"/>
      <c r="D65" s="144"/>
      <c r="E65" s="26" t="str">
        <f>E320</f>
        <v>Комплексна програма «Правопорядок» на період 2022-2024 роки</v>
      </c>
      <c r="F65" s="26" t="str">
        <f>F320</f>
        <v>ріш СМР від 27.10.2021 року № 2005-МР (зі змінами)</v>
      </c>
      <c r="G65" s="94">
        <f t="shared" si="0"/>
        <v>22941439</v>
      </c>
      <c r="H65" s="27">
        <f>70000+690000+1485000+1000000+2339854+601439+222074</f>
        <v>6408367</v>
      </c>
      <c r="I65" s="94">
        <f>3300000+1800000+2515000+2300000+3700000+2480000+660146-222074</f>
        <v>16533072</v>
      </c>
      <c r="J65" s="94">
        <f>3300000+1800000+2515000+2300000+3700000+2480000+660146-222074</f>
        <v>16533072</v>
      </c>
      <c r="K65" s="141"/>
    </row>
    <row r="66" spans="1:12" s="37" customFormat="1" ht="103.5" customHeight="1">
      <c r="A66" s="19"/>
      <c r="B66" s="19"/>
      <c r="C66" s="19"/>
      <c r="D66" s="20" t="s">
        <v>149</v>
      </c>
      <c r="E66" s="20"/>
      <c r="F66" s="20"/>
      <c r="G66" s="115">
        <f>SUM(G67:G117)</f>
        <v>1644615531.33</v>
      </c>
      <c r="H66" s="115">
        <f>SUM(H67:H117)</f>
        <v>1307594163.31</v>
      </c>
      <c r="I66" s="115">
        <f>SUM(I67:I117)</f>
        <v>337021368.02</v>
      </c>
      <c r="J66" s="115">
        <f>SUM(J67:J117)</f>
        <v>189065396.02</v>
      </c>
      <c r="K66" s="141"/>
      <c r="L66" s="36"/>
    </row>
    <row r="67" spans="1:12" s="37" customFormat="1" ht="150.75" customHeight="1">
      <c r="A67" s="25" t="s">
        <v>150</v>
      </c>
      <c r="B67" s="25" t="s">
        <v>15</v>
      </c>
      <c r="C67" s="25" t="s">
        <v>16</v>
      </c>
      <c r="D67" s="26" t="s">
        <v>17</v>
      </c>
      <c r="E67" s="26" t="str">
        <f>E314</f>
        <v>Програма «Воєнний стан: інформування Сумської міської територіальної громади» на 2023 рік</v>
      </c>
      <c r="F67" s="26" t="str">
        <f>F314</f>
        <v>ріш СМР від 30.11.2022 року № 3241-МР (зі змінами)</v>
      </c>
      <c r="G67" s="94">
        <f aca="true" t="shared" si="1" ref="G67:G118">H67+I67</f>
        <v>90000</v>
      </c>
      <c r="H67" s="27">
        <v>90000</v>
      </c>
      <c r="I67" s="27"/>
      <c r="J67" s="27"/>
      <c r="K67" s="141"/>
      <c r="L67" s="36"/>
    </row>
    <row r="68" spans="1:14" ht="156.75" customHeight="1">
      <c r="A68" s="142" t="s">
        <v>151</v>
      </c>
      <c r="B68" s="142" t="s">
        <v>152</v>
      </c>
      <c r="C68" s="142" t="s">
        <v>153</v>
      </c>
      <c r="D68" s="146" t="s">
        <v>154</v>
      </c>
      <c r="E68" s="26" t="str">
        <f>E316</f>
        <v>Комплексна програма Сумської міської територіальної громади «Освіта на 2022 - 2024 роки» </v>
      </c>
      <c r="F68" s="26" t="str">
        <f>F316</f>
        <v>ріш СМР від 24.11.2021 року № 2512 - МР (зі змінами)</v>
      </c>
      <c r="G68" s="94">
        <f t="shared" si="1"/>
        <v>390396671</v>
      </c>
      <c r="H68" s="94">
        <f>343462000-H69-H70+53489+82600-271804+271804-114730-30000-1819380-6400000-6147400+348000-111626-73730-311000</f>
        <v>327841113</v>
      </c>
      <c r="I68" s="27">
        <f>20053800+18138600+1100000+63902-53489-1000000+10000000-5000000+25000000-25000000-5148500+7000000+4000000+5648500+692746+159999+6900000</f>
        <v>62555558</v>
      </c>
      <c r="J68" s="27">
        <f>18138600+1100000+63902-53489-1000000+10000000-5000000+25000000-25000000-5148500+7000000+4000000+5648500+692746+159999+6900000</f>
        <v>42501758</v>
      </c>
      <c r="K68" s="141"/>
      <c r="N68" s="38"/>
    </row>
    <row r="69" spans="1:12" s="41" customFormat="1" ht="136.5" customHeight="1">
      <c r="A69" s="142"/>
      <c r="B69" s="142"/>
      <c r="C69" s="142"/>
      <c r="D69" s="146"/>
      <c r="E69" s="26" t="str">
        <f>E323</f>
        <v>Програма Сумської міської територіальної громади «Милосердя» на 2022-2024 роки</v>
      </c>
      <c r="F69" s="26" t="str">
        <f>F323</f>
        <v>ріш СМР від 24.11.2021 року № 2272-МР (зі змінами)</v>
      </c>
      <c r="G69" s="94">
        <f t="shared" si="1"/>
        <v>12900</v>
      </c>
      <c r="H69" s="27">
        <v>12900</v>
      </c>
      <c r="I69" s="39"/>
      <c r="J69" s="39"/>
      <c r="K69" s="141"/>
      <c r="L69" s="40"/>
    </row>
    <row r="70" spans="1:12" s="41" customFormat="1" ht="174.75" customHeight="1">
      <c r="A70" s="142"/>
      <c r="B70" s="142"/>
      <c r="C70" s="142"/>
      <c r="D70" s="146"/>
      <c r="E70" s="26" t="str">
        <f>E334</f>
        <v>Програма Сумської міської територіальної громади «Соціальна підтримка Захисників і Захисниць України та членів їх сімей» на 2022-2024 роки»</v>
      </c>
      <c r="F70" s="26" t="str">
        <f>F334</f>
        <v>ріш СМР від 24.11.2021 року № 2273-МР (зі змінами)</v>
      </c>
      <c r="G70" s="94">
        <f t="shared" si="1"/>
        <v>1084210</v>
      </c>
      <c r="H70" s="27">
        <v>1084210</v>
      </c>
      <c r="I70" s="39"/>
      <c r="J70" s="39"/>
      <c r="K70" s="141"/>
      <c r="L70" s="40"/>
    </row>
    <row r="71" spans="1:12" s="41" customFormat="1" ht="134.25" customHeight="1">
      <c r="A71" s="142" t="s">
        <v>155</v>
      </c>
      <c r="B71" s="142">
        <v>1021</v>
      </c>
      <c r="C71" s="142" t="s">
        <v>156</v>
      </c>
      <c r="D71" s="146" t="s">
        <v>598</v>
      </c>
      <c r="E71" s="26" t="str">
        <f>E316</f>
        <v>Комплексна програма Сумської міської територіальної громади «Освіта на 2022 - 2024 роки» </v>
      </c>
      <c r="F71" s="26" t="str">
        <f>F316</f>
        <v>ріш СМР від 24.11.2021 року № 2512 - МР (зі змінами)</v>
      </c>
      <c r="G71" s="94">
        <f t="shared" si="1"/>
        <v>330605813.02</v>
      </c>
      <c r="H71" s="27">
        <f>235067000-H72-H73+354011+123900+9234000-12600+200000+473050+300000+114730-300000-1200000+30600+156794-17041+3000+7200000-1900000-8583000-43000+150000-947987</f>
        <v>237107257</v>
      </c>
      <c r="I71" s="94">
        <f>59110240+8031200+1100000+199947+47168269-7000000-150000+45000-30600-850000-159794-3550000-12392560+1000000-100000+1000000+68300+8554.02</f>
        <v>93498556.02</v>
      </c>
      <c r="J71" s="94">
        <f>8031200+1100000+199947+47168269-7000000-150000+45000-30600-850000-159794-3550000-12392560+1000000-100000+1000000+68300+8554.02</f>
        <v>34388316.02</v>
      </c>
      <c r="K71" s="141">
        <v>35</v>
      </c>
      <c r="L71" s="40"/>
    </row>
    <row r="72" spans="1:12" s="41" customFormat="1" ht="141" customHeight="1">
      <c r="A72" s="142"/>
      <c r="B72" s="142"/>
      <c r="C72" s="142"/>
      <c r="D72" s="146"/>
      <c r="E72" s="26" t="str">
        <f>E323</f>
        <v>Програма Сумської міської територіальної громади «Милосердя» на 2022-2024 роки</v>
      </c>
      <c r="F72" s="26" t="str">
        <f>F323</f>
        <v>ріш СМР від 24.11.2021 року № 2272-МР (зі змінами)</v>
      </c>
      <c r="G72" s="94">
        <f t="shared" si="1"/>
        <v>58200</v>
      </c>
      <c r="H72" s="27">
        <v>58200</v>
      </c>
      <c r="I72" s="39"/>
      <c r="J72" s="39"/>
      <c r="K72" s="141"/>
      <c r="L72" s="40"/>
    </row>
    <row r="73" spans="1:12" s="41" customFormat="1" ht="156" customHeight="1">
      <c r="A73" s="142"/>
      <c r="B73" s="142"/>
      <c r="C73" s="142"/>
      <c r="D73" s="146"/>
      <c r="E73" s="26" t="str">
        <f>E334</f>
        <v>Програма Сумської міської територіальної громади «Соціальна підтримка Захисників і Захисниць України та членів їх сімей» на 2022-2024 роки»</v>
      </c>
      <c r="F73" s="26" t="str">
        <f>F334</f>
        <v>ріш СМР від 24.11.2021 року № 2273-МР (зі змінами)</v>
      </c>
      <c r="G73" s="94">
        <f t="shared" si="1"/>
        <v>3238000</v>
      </c>
      <c r="H73" s="27">
        <v>3238000</v>
      </c>
      <c r="I73" s="39"/>
      <c r="J73" s="39"/>
      <c r="K73" s="141"/>
      <c r="L73" s="40"/>
    </row>
    <row r="74" spans="1:12" s="41" customFormat="1" ht="297" customHeight="1">
      <c r="A74" s="25" t="s">
        <v>158</v>
      </c>
      <c r="B74" s="25">
        <v>1022</v>
      </c>
      <c r="C74" s="25" t="s">
        <v>159</v>
      </c>
      <c r="D74" s="26" t="s">
        <v>599</v>
      </c>
      <c r="E74" s="26" t="str">
        <f>E316</f>
        <v>Комплексна програма Сумської міської територіальної громади «Освіта на 2022 - 2024 роки» </v>
      </c>
      <c r="F74" s="26" t="str">
        <f>F316</f>
        <v>ріш СМР від 24.11.2021 року № 2512 - МР (зі змінами)</v>
      </c>
      <c r="G74" s="94">
        <f t="shared" si="1"/>
        <v>16255341</v>
      </c>
      <c r="H74" s="27">
        <f>16738700+766000-725500+17041-270900-270000</f>
        <v>16255341</v>
      </c>
      <c r="I74" s="27"/>
      <c r="J74" s="27"/>
      <c r="K74" s="141"/>
      <c r="L74" s="40"/>
    </row>
    <row r="75" spans="1:12" s="41" customFormat="1" ht="265.5">
      <c r="A75" s="25" t="s">
        <v>161</v>
      </c>
      <c r="B75" s="25">
        <v>1025</v>
      </c>
      <c r="C75" s="25" t="s">
        <v>159</v>
      </c>
      <c r="D75" s="26" t="s">
        <v>600</v>
      </c>
      <c r="E75" s="26" t="str">
        <f>E316</f>
        <v>Комплексна програма Сумської міської територіальної громади «Освіта на 2022 - 2024 роки» </v>
      </c>
      <c r="F75" s="26" t="str">
        <f>F316</f>
        <v>ріш СМР від 24.11.2021 року № 2512 - МР (зі змінами)</v>
      </c>
      <c r="G75" s="94">
        <f t="shared" si="1"/>
        <v>12011900</v>
      </c>
      <c r="H75" s="27">
        <f>12270100-103000-155200</f>
        <v>12011900</v>
      </c>
      <c r="I75" s="27"/>
      <c r="J75" s="27"/>
      <c r="K75" s="141"/>
      <c r="L75" s="40"/>
    </row>
    <row r="76" spans="1:11" ht="132.75">
      <c r="A76" s="29" t="s">
        <v>162</v>
      </c>
      <c r="B76" s="29">
        <v>1031</v>
      </c>
      <c r="C76" s="25" t="s">
        <v>156</v>
      </c>
      <c r="D76" s="26" t="s">
        <v>601</v>
      </c>
      <c r="E76" s="26" t="str">
        <f>E316</f>
        <v>Комплексна програма Сумської міської територіальної громади «Освіта на 2022 - 2024 роки» </v>
      </c>
      <c r="F76" s="26" t="str">
        <f>F316</f>
        <v>ріш СМР від 24.11.2021 року № 2512 - МР (зі змінами)</v>
      </c>
      <c r="G76" s="94">
        <f t="shared" si="1"/>
        <v>439541077.94</v>
      </c>
      <c r="H76" s="27">
        <f>434093700+1809120-178302.06+3816560</f>
        <v>439541077.94</v>
      </c>
      <c r="I76" s="27"/>
      <c r="J76" s="27"/>
      <c r="K76" s="141"/>
    </row>
    <row r="77" spans="1:11" ht="283.5" customHeight="1">
      <c r="A77" s="29" t="s">
        <v>163</v>
      </c>
      <c r="B77" s="29">
        <v>1032</v>
      </c>
      <c r="C77" s="25" t="s">
        <v>159</v>
      </c>
      <c r="D77" s="26" t="s">
        <v>602</v>
      </c>
      <c r="E77" s="26" t="str">
        <f>E316</f>
        <v>Комплексна програма Сумської міської територіальної громади «Освіта на 2022 - 2024 роки» </v>
      </c>
      <c r="F77" s="26" t="str">
        <f>F316</f>
        <v>ріш СМР від 24.11.2021 року № 2512 - МР (зі змінами)</v>
      </c>
      <c r="G77" s="94">
        <f t="shared" si="1"/>
        <v>15956780</v>
      </c>
      <c r="H77" s="27">
        <f>16318700-361920</f>
        <v>15956780</v>
      </c>
      <c r="I77" s="27"/>
      <c r="J77" s="27"/>
      <c r="K77" s="141"/>
    </row>
    <row r="78" spans="1:11" ht="280.5" customHeight="1">
      <c r="A78" s="29" t="s">
        <v>164</v>
      </c>
      <c r="B78" s="29">
        <v>1035</v>
      </c>
      <c r="C78" s="25" t="s">
        <v>159</v>
      </c>
      <c r="D78" s="26" t="s">
        <v>603</v>
      </c>
      <c r="E78" s="26" t="str">
        <f>E316</f>
        <v>Комплексна програма Сумської міської територіальної громади «Освіта на 2022 - 2024 роки» </v>
      </c>
      <c r="F78" s="26" t="str">
        <f>F316</f>
        <v>ріш СМР від 24.11.2021 року № 2512 - МР (зі змінами)</v>
      </c>
      <c r="G78" s="94">
        <f t="shared" si="1"/>
        <v>1176620</v>
      </c>
      <c r="H78" s="27">
        <f>1301700-125080</f>
        <v>1176620</v>
      </c>
      <c r="I78" s="27"/>
      <c r="J78" s="27"/>
      <c r="K78" s="141"/>
    </row>
    <row r="79" spans="1:11" ht="132.75" customHeight="1" hidden="1">
      <c r="A79" s="29" t="s">
        <v>165</v>
      </c>
      <c r="B79" s="29">
        <v>1061</v>
      </c>
      <c r="C79" s="42" t="s">
        <v>156</v>
      </c>
      <c r="D79" s="28" t="s">
        <v>157</v>
      </c>
      <c r="E79" s="26" t="str">
        <f>E316</f>
        <v>Комплексна програма Сумської міської територіальної громади «Освіта на 2022 - 2024 роки» </v>
      </c>
      <c r="F79" s="26" t="str">
        <f>F316</f>
        <v>ріш СМР від 24.11.2021 року № 2512 - МР (зі змінами)</v>
      </c>
      <c r="G79" s="94">
        <f t="shared" si="1"/>
        <v>0</v>
      </c>
      <c r="H79" s="27"/>
      <c r="I79" s="27"/>
      <c r="J79" s="27"/>
      <c r="K79" s="141"/>
    </row>
    <row r="80" spans="1:11" ht="221.25" customHeight="1" hidden="1">
      <c r="A80" s="29" t="s">
        <v>166</v>
      </c>
      <c r="B80" s="29">
        <v>1062</v>
      </c>
      <c r="C80" s="43" t="s">
        <v>159</v>
      </c>
      <c r="D80" s="44" t="s">
        <v>160</v>
      </c>
      <c r="E80" s="26" t="str">
        <f>E316</f>
        <v>Комплексна програма Сумської міської територіальної громади «Освіта на 2022 - 2024 роки» </v>
      </c>
      <c r="F80" s="26" t="str">
        <f>F316</f>
        <v>ріш СМР від 24.11.2021 року № 2512 - МР (зі змінами)</v>
      </c>
      <c r="G80" s="94">
        <f t="shared" si="1"/>
        <v>0</v>
      </c>
      <c r="H80" s="27"/>
      <c r="I80" s="27"/>
      <c r="J80" s="27"/>
      <c r="K80" s="141"/>
    </row>
    <row r="81" spans="1:11" ht="143.25" customHeight="1">
      <c r="A81" s="29" t="s">
        <v>167</v>
      </c>
      <c r="B81" s="29">
        <v>1070</v>
      </c>
      <c r="C81" s="25" t="s">
        <v>168</v>
      </c>
      <c r="D81" s="26" t="s">
        <v>169</v>
      </c>
      <c r="E81" s="26" t="str">
        <f>E316</f>
        <v>Комплексна програма Сумської міської територіальної громади «Освіта на 2022 - 2024 роки» </v>
      </c>
      <c r="F81" s="26" t="str">
        <f>F316</f>
        <v>ріш СМР від 24.11.2021 року № 2512 - МР (зі змінами)</v>
      </c>
      <c r="G81" s="94">
        <f t="shared" si="1"/>
        <v>45012800</v>
      </c>
      <c r="H81" s="27">
        <f>42397200-584400</f>
        <v>41812800</v>
      </c>
      <c r="I81" s="27">
        <f>100000+1000000+2100000</f>
        <v>3200000</v>
      </c>
      <c r="J81" s="27">
        <f>100000+1000000+2100000</f>
        <v>3200000</v>
      </c>
      <c r="K81" s="141"/>
    </row>
    <row r="82" spans="1:11" ht="209.25" customHeight="1">
      <c r="A82" s="29" t="s">
        <v>170</v>
      </c>
      <c r="B82" s="29" t="s">
        <v>171</v>
      </c>
      <c r="C82" s="25" t="s">
        <v>172</v>
      </c>
      <c r="D82" s="26" t="s">
        <v>173</v>
      </c>
      <c r="E82" s="26" t="str">
        <f>E316</f>
        <v>Комплексна програма Сумської міської територіальної громади «Освіта на 2022 - 2024 роки» </v>
      </c>
      <c r="F82" s="26" t="str">
        <f>F316</f>
        <v>ріш СМР від 24.11.2021 року № 2512 - МР (зі змінами)</v>
      </c>
      <c r="G82" s="94">
        <f t="shared" si="1"/>
        <v>162149005</v>
      </c>
      <c r="H82" s="27">
        <f>147991300+87148-2136400+3000000+1000000-1000000+199919</f>
        <v>149141967</v>
      </c>
      <c r="I82" s="27">
        <f>12026638+980400</f>
        <v>13007038</v>
      </c>
      <c r="J82" s="27">
        <v>980400</v>
      </c>
      <c r="K82" s="141"/>
    </row>
    <row r="83" spans="1:11" ht="221.25" customHeight="1">
      <c r="A83" s="29" t="s">
        <v>174</v>
      </c>
      <c r="B83" s="29" t="s">
        <v>175</v>
      </c>
      <c r="C83" s="25" t="s">
        <v>172</v>
      </c>
      <c r="D83" s="26" t="s">
        <v>176</v>
      </c>
      <c r="E83" s="26" t="str">
        <f>E316</f>
        <v>Комплексна програма Сумської міської територіальної громади «Освіта на 2022 - 2024 роки» </v>
      </c>
      <c r="F83" s="26" t="str">
        <f>F316</f>
        <v>ріш СМР від 24.11.2021 року № 2512 - МР (зі змінами)</v>
      </c>
      <c r="G83" s="94">
        <f t="shared" si="1"/>
        <v>18750040</v>
      </c>
      <c r="H83" s="27">
        <f>22079600-3329560</f>
        <v>18750040</v>
      </c>
      <c r="I83" s="27"/>
      <c r="J83" s="27"/>
      <c r="K83" s="141"/>
    </row>
    <row r="84" spans="1:11" ht="138" customHeight="1">
      <c r="A84" s="29" t="s">
        <v>177</v>
      </c>
      <c r="B84" s="29">
        <v>1141</v>
      </c>
      <c r="C84" s="25" t="s">
        <v>178</v>
      </c>
      <c r="D84" s="26" t="s">
        <v>179</v>
      </c>
      <c r="E84" s="26" t="str">
        <f>E316</f>
        <v>Комплексна програма Сумської міської територіальної громади «Освіта на 2022 - 2024 роки» </v>
      </c>
      <c r="F84" s="26" t="str">
        <f>F316</f>
        <v>ріш СМР від 24.11.2021 року № 2512 - МР (зі змінами)</v>
      </c>
      <c r="G84" s="94">
        <f t="shared" si="1"/>
        <v>12601000</v>
      </c>
      <c r="H84" s="27">
        <f>12697300-96300</f>
        <v>12601000</v>
      </c>
      <c r="I84" s="27"/>
      <c r="J84" s="27"/>
      <c r="K84" s="141"/>
    </row>
    <row r="85" spans="1:11" ht="136.5" customHeight="1">
      <c r="A85" s="29" t="s">
        <v>180</v>
      </c>
      <c r="B85" s="29">
        <v>1142</v>
      </c>
      <c r="C85" s="25" t="s">
        <v>178</v>
      </c>
      <c r="D85" s="26" t="s">
        <v>181</v>
      </c>
      <c r="E85" s="26" t="str">
        <f>E316</f>
        <v>Комплексна програма Сумської міської територіальної громади «Освіта на 2022 - 2024 роки» </v>
      </c>
      <c r="F85" s="26" t="str">
        <f>F316</f>
        <v>ріш СМР від 24.11.2021 року № 2512 - МР (зі змінами)</v>
      </c>
      <c r="G85" s="94">
        <f t="shared" si="1"/>
        <v>119000</v>
      </c>
      <c r="H85" s="27">
        <v>119000</v>
      </c>
      <c r="I85" s="27"/>
      <c r="J85" s="27"/>
      <c r="K85" s="141"/>
    </row>
    <row r="86" spans="1:11" ht="178.5" customHeight="1">
      <c r="A86" s="29" t="s">
        <v>182</v>
      </c>
      <c r="B86" s="29">
        <v>1151</v>
      </c>
      <c r="C86" s="25" t="s">
        <v>178</v>
      </c>
      <c r="D86" s="26" t="s">
        <v>183</v>
      </c>
      <c r="E86" s="26" t="str">
        <f>E316</f>
        <v>Комплексна програма Сумської міської територіальної громади «Освіта на 2022 - 2024 роки» </v>
      </c>
      <c r="F86" s="26" t="str">
        <f>F316</f>
        <v>ріш СМР від 24.11.2021 року № 2512 - МР (зі змінами)</v>
      </c>
      <c r="G86" s="94">
        <f t="shared" si="1"/>
        <v>527800</v>
      </c>
      <c r="H86" s="27">
        <f>538100-10300</f>
        <v>527800</v>
      </c>
      <c r="I86" s="27"/>
      <c r="J86" s="27"/>
      <c r="K86" s="141">
        <v>36</v>
      </c>
    </row>
    <row r="87" spans="1:11" ht="141" customHeight="1">
      <c r="A87" s="29" t="s">
        <v>184</v>
      </c>
      <c r="B87" s="29">
        <v>1152</v>
      </c>
      <c r="C87" s="25" t="s">
        <v>178</v>
      </c>
      <c r="D87" s="26" t="s">
        <v>185</v>
      </c>
      <c r="E87" s="26" t="str">
        <f>E316</f>
        <v>Комплексна програма Сумської міської територіальної громади «Освіта на 2022 - 2024 роки» </v>
      </c>
      <c r="F87" s="26" t="str">
        <f>F316</f>
        <v>ріш СМР від 24.11.2021 року № 2512 - МР (зі змінами)</v>
      </c>
      <c r="G87" s="94">
        <f t="shared" si="1"/>
        <v>1743560</v>
      </c>
      <c r="H87" s="27">
        <v>1743560</v>
      </c>
      <c r="I87" s="27"/>
      <c r="J87" s="27"/>
      <c r="K87" s="141"/>
    </row>
    <row r="88" spans="1:11" ht="147.75" customHeight="1">
      <c r="A88" s="29" t="s">
        <v>186</v>
      </c>
      <c r="B88" s="29">
        <v>1160</v>
      </c>
      <c r="C88" s="25" t="s">
        <v>178</v>
      </c>
      <c r="D88" s="26" t="s">
        <v>187</v>
      </c>
      <c r="E88" s="26" t="str">
        <f>E316</f>
        <v>Комплексна програма Сумської міської територіальної громади «Освіта на 2022 - 2024 роки» </v>
      </c>
      <c r="F88" s="26" t="str">
        <f>F316</f>
        <v>ріш СМР від 24.11.2021 року № 2512 - МР (зі змінами)</v>
      </c>
      <c r="G88" s="94">
        <f t="shared" si="1"/>
        <v>2880400</v>
      </c>
      <c r="H88" s="27">
        <f>2913000-32600</f>
        <v>2880400</v>
      </c>
      <c r="I88" s="27"/>
      <c r="J88" s="27"/>
      <c r="K88" s="141"/>
    </row>
    <row r="89" spans="1:11" ht="299.25" customHeight="1" hidden="1">
      <c r="A89" s="29" t="s">
        <v>188</v>
      </c>
      <c r="B89" s="29">
        <v>1171</v>
      </c>
      <c r="C89" s="25" t="s">
        <v>178</v>
      </c>
      <c r="D89" s="26" t="s">
        <v>189</v>
      </c>
      <c r="E89" s="26" t="str">
        <f>E316</f>
        <v>Комплексна програма Сумської міської територіальної громади «Освіта на 2022 - 2024 роки» </v>
      </c>
      <c r="F89" s="26" t="str">
        <f>F316</f>
        <v>ріш СМР від 24.11.2021 року № 2512 - МР (зі змінами)</v>
      </c>
      <c r="G89" s="94">
        <f t="shared" si="1"/>
        <v>0</v>
      </c>
      <c r="H89" s="27"/>
      <c r="I89" s="27"/>
      <c r="J89" s="27"/>
      <c r="K89" s="141"/>
    </row>
    <row r="90" spans="1:11" ht="251.25" customHeight="1" hidden="1">
      <c r="A90" s="29" t="s">
        <v>190</v>
      </c>
      <c r="B90" s="29">
        <v>1172</v>
      </c>
      <c r="C90" s="25" t="s">
        <v>178</v>
      </c>
      <c r="D90" s="26" t="s">
        <v>191</v>
      </c>
      <c r="E90" s="26" t="str">
        <f>E316</f>
        <v>Комплексна програма Сумської міської територіальної громади «Освіта на 2022 - 2024 роки» </v>
      </c>
      <c r="F90" s="26" t="str">
        <f>F316</f>
        <v>ріш СМР від 24.11.2021 року № 2512 - МР (зі змінами)</v>
      </c>
      <c r="G90" s="94">
        <f t="shared" si="1"/>
        <v>0</v>
      </c>
      <c r="H90" s="27"/>
      <c r="I90" s="27"/>
      <c r="J90" s="27"/>
      <c r="K90" s="141"/>
    </row>
    <row r="91" spans="1:11" ht="318.75" customHeight="1" hidden="1">
      <c r="A91" s="29" t="s">
        <v>192</v>
      </c>
      <c r="B91" s="29">
        <v>1181</v>
      </c>
      <c r="C91" s="25" t="s">
        <v>178</v>
      </c>
      <c r="D91" s="44" t="s">
        <v>193</v>
      </c>
      <c r="E91" s="26" t="str">
        <f>E316</f>
        <v>Комплексна програма Сумської міської територіальної громади «Освіта на 2022 - 2024 роки» </v>
      </c>
      <c r="F91" s="26" t="str">
        <f>F316</f>
        <v>ріш СМР від 24.11.2021 року № 2512 - МР (зі змінами)</v>
      </c>
      <c r="G91" s="94">
        <f t="shared" si="1"/>
        <v>0</v>
      </c>
      <c r="H91" s="27"/>
      <c r="I91" s="27"/>
      <c r="J91" s="27"/>
      <c r="K91" s="141"/>
    </row>
    <row r="92" spans="1:11" ht="283.5" customHeight="1" hidden="1">
      <c r="A92" s="29" t="s">
        <v>194</v>
      </c>
      <c r="B92" s="29">
        <v>1182</v>
      </c>
      <c r="C92" s="25" t="s">
        <v>178</v>
      </c>
      <c r="D92" s="44" t="s">
        <v>195</v>
      </c>
      <c r="E92" s="26" t="str">
        <f>E316</f>
        <v>Комплексна програма Сумської міської територіальної громади «Освіта на 2022 - 2024 роки» </v>
      </c>
      <c r="F92" s="26" t="str">
        <f>F316</f>
        <v>ріш СМР від 24.11.2021 року № 2512 - МР (зі змінами)</v>
      </c>
      <c r="G92" s="94">
        <f t="shared" si="1"/>
        <v>0</v>
      </c>
      <c r="H92" s="27"/>
      <c r="I92" s="27"/>
      <c r="J92" s="27"/>
      <c r="K92" s="141"/>
    </row>
    <row r="93" spans="1:11" ht="230.25" customHeight="1">
      <c r="A93" s="29" t="s">
        <v>196</v>
      </c>
      <c r="B93" s="29">
        <v>1200</v>
      </c>
      <c r="C93" s="25" t="s">
        <v>178</v>
      </c>
      <c r="D93" s="26" t="s">
        <v>197</v>
      </c>
      <c r="E93" s="26" t="str">
        <f>E316</f>
        <v>Комплексна програма Сумської міської територіальної громади «Освіта на 2022 - 2024 роки» </v>
      </c>
      <c r="F93" s="26" t="str">
        <f>F316</f>
        <v>ріш СМР від 24.11.2021 року № 2512 - МР (зі змінами)</v>
      </c>
      <c r="G93" s="94">
        <f t="shared" si="1"/>
        <v>1822724</v>
      </c>
      <c r="H93" s="27">
        <v>1822724</v>
      </c>
      <c r="I93" s="27"/>
      <c r="J93" s="27"/>
      <c r="K93" s="141"/>
    </row>
    <row r="94" spans="1:11" ht="258.75" customHeight="1">
      <c r="A94" s="29" t="s">
        <v>198</v>
      </c>
      <c r="B94" s="29">
        <v>1210</v>
      </c>
      <c r="C94" s="25" t="s">
        <v>178</v>
      </c>
      <c r="D94" s="28" t="s">
        <v>199</v>
      </c>
      <c r="E94" s="26" t="str">
        <f>E316</f>
        <v>Комплексна програма Сумської міської територіальної громади «Освіта на 2022 - 2024 роки» </v>
      </c>
      <c r="F94" s="26" t="str">
        <f>F316</f>
        <v>ріш СМР від 24.11.2021 року № 2512 - МР (зі змінами)</v>
      </c>
      <c r="G94" s="94">
        <f t="shared" si="1"/>
        <v>208630.37</v>
      </c>
      <c r="H94" s="27">
        <v>208630.37</v>
      </c>
      <c r="I94" s="27"/>
      <c r="J94" s="27"/>
      <c r="K94" s="141"/>
    </row>
    <row r="95" spans="1:11" ht="288.75" customHeight="1" hidden="1">
      <c r="A95" s="29" t="s">
        <v>200</v>
      </c>
      <c r="B95" s="29" t="s">
        <v>45</v>
      </c>
      <c r="C95" s="25" t="s">
        <v>36</v>
      </c>
      <c r="D95" s="26" t="s">
        <v>46</v>
      </c>
      <c r="E95" s="26" t="str">
        <f>E344</f>
        <v>Програма оздоровлення та відпочинку дітей Сумської міської територіальної громади на 2022-2024 роки</v>
      </c>
      <c r="F95" s="26" t="str">
        <f>F344</f>
        <v>ріш СМР від 24.11.2021 року № 2507-МР</v>
      </c>
      <c r="G95" s="94">
        <f t="shared" si="1"/>
        <v>0</v>
      </c>
      <c r="H95" s="27">
        <f>2000000-2000000</f>
        <v>0</v>
      </c>
      <c r="I95" s="27"/>
      <c r="J95" s="27"/>
      <c r="K95" s="141"/>
    </row>
    <row r="96" spans="1:11" ht="288.75" customHeight="1">
      <c r="A96" s="29" t="s">
        <v>630</v>
      </c>
      <c r="B96" s="29" t="s">
        <v>631</v>
      </c>
      <c r="C96" s="25" t="s">
        <v>178</v>
      </c>
      <c r="D96" s="26" t="s">
        <v>632</v>
      </c>
      <c r="E96" s="26" t="str">
        <f>E316</f>
        <v>Комплексна програма Сумської міської територіальної громади «Освіта на 2022 - 2024 роки» </v>
      </c>
      <c r="F96" s="26" t="str">
        <f>F316</f>
        <v>ріш СМР від 24.11.2021 року № 2512 - МР (зі змінами)</v>
      </c>
      <c r="G96" s="94">
        <f t="shared" si="1"/>
        <v>9718150</v>
      </c>
      <c r="H96" s="27"/>
      <c r="I96" s="27">
        <v>9718150</v>
      </c>
      <c r="J96" s="27">
        <v>9718150</v>
      </c>
      <c r="K96" s="141"/>
    </row>
    <row r="97" spans="1:11" ht="288.75" customHeight="1">
      <c r="A97" s="29" t="s">
        <v>633</v>
      </c>
      <c r="B97" s="29" t="s">
        <v>634</v>
      </c>
      <c r="C97" s="25" t="s">
        <v>178</v>
      </c>
      <c r="D97" s="26" t="s">
        <v>635</v>
      </c>
      <c r="E97" s="26" t="str">
        <f>E316</f>
        <v>Комплексна програма Сумської міської територіальної громади «Освіта на 2022 - 2024 роки» </v>
      </c>
      <c r="F97" s="26" t="str">
        <f>F316</f>
        <v>ріш СМР від 24.11.2021 року № 2512 - МР (зі змінами)</v>
      </c>
      <c r="G97" s="94">
        <f t="shared" si="1"/>
        <v>22175500</v>
      </c>
      <c r="H97" s="27"/>
      <c r="I97" s="27">
        <v>22175500</v>
      </c>
      <c r="J97" s="27">
        <v>22175500</v>
      </c>
      <c r="K97" s="141"/>
    </row>
    <row r="98" spans="1:11" ht="288.75" customHeight="1">
      <c r="A98" s="29" t="s">
        <v>650</v>
      </c>
      <c r="B98" s="29" t="s">
        <v>651</v>
      </c>
      <c r="C98" s="25" t="s">
        <v>178</v>
      </c>
      <c r="D98" s="26" t="s">
        <v>652</v>
      </c>
      <c r="E98" s="26" t="str">
        <f>E316</f>
        <v>Комплексна програма Сумської міської територіальної громади «Освіта на 2022 - 2024 роки» </v>
      </c>
      <c r="F98" s="26" t="str">
        <f>F316</f>
        <v>ріш СМР від 24.11.2021 року № 2512 - МР (зі змінами)</v>
      </c>
      <c r="G98" s="94">
        <f t="shared" si="1"/>
        <v>1059613</v>
      </c>
      <c r="H98" s="27">
        <v>823899</v>
      </c>
      <c r="I98" s="27">
        <v>235714</v>
      </c>
      <c r="J98" s="27">
        <v>235714</v>
      </c>
      <c r="K98" s="141"/>
    </row>
    <row r="99" spans="1:11" ht="132.75">
      <c r="A99" s="29" t="s">
        <v>647</v>
      </c>
      <c r="B99" s="29" t="s">
        <v>648</v>
      </c>
      <c r="C99" s="25" t="s">
        <v>178</v>
      </c>
      <c r="D99" s="26" t="s">
        <v>649</v>
      </c>
      <c r="E99" s="26" t="str">
        <f>E316</f>
        <v>Комплексна програма Сумської міської територіальної громади «Освіта на 2022 - 2024 роки» </v>
      </c>
      <c r="F99" s="26" t="str">
        <f>F316</f>
        <v>ріш СМР від 24.11.2021 року № 2512 - МР (зі змінами)</v>
      </c>
      <c r="G99" s="94">
        <f t="shared" si="1"/>
        <v>2797912</v>
      </c>
      <c r="H99" s="27"/>
      <c r="I99" s="27">
        <v>2797912</v>
      </c>
      <c r="J99" s="27"/>
      <c r="K99" s="141"/>
    </row>
    <row r="100" spans="1:11" ht="156" customHeight="1">
      <c r="A100" s="29" t="s">
        <v>201</v>
      </c>
      <c r="B100" s="29" t="s">
        <v>52</v>
      </c>
      <c r="C100" s="25" t="s">
        <v>49</v>
      </c>
      <c r="D100" s="26" t="s">
        <v>53</v>
      </c>
      <c r="E100" s="26" t="str">
        <f>E326</f>
        <v>Програма з реалізації Конвенції ООН про права дитини Сумської міської територіальної громади на 2022-2024 роки </v>
      </c>
      <c r="F100" s="26" t="str">
        <f>F326</f>
        <v>ріш СМР від 29.09.2021 року № 1604-МР (зі змінами)</v>
      </c>
      <c r="G100" s="94">
        <f t="shared" si="1"/>
        <v>77830</v>
      </c>
      <c r="H100" s="27">
        <f>72400+5430</f>
        <v>77830</v>
      </c>
      <c r="I100" s="27"/>
      <c r="J100" s="27"/>
      <c r="K100" s="141"/>
    </row>
    <row r="101" spans="1:11" ht="141.75" customHeight="1">
      <c r="A101" s="25" t="s">
        <v>202</v>
      </c>
      <c r="B101" s="25" t="s">
        <v>73</v>
      </c>
      <c r="C101" s="25" t="s">
        <v>67</v>
      </c>
      <c r="D101" s="26" t="s">
        <v>74</v>
      </c>
      <c r="E101" s="26" t="str">
        <f>E337</f>
        <v>Програма розвитку фізичної культури і спорту Сумської міської територіальної громади на 2022-2024 роки</v>
      </c>
      <c r="F101" s="26" t="str">
        <f>F337</f>
        <v>ріш СМР від 24.11.2021 року № 2509-МР (зі змінами) </v>
      </c>
      <c r="G101" s="94">
        <f t="shared" si="1"/>
        <v>11836000</v>
      </c>
      <c r="H101" s="27">
        <f>10880000+500000+180000+220000-44000</f>
        <v>11736000</v>
      </c>
      <c r="I101" s="27">
        <v>100000</v>
      </c>
      <c r="J101" s="27">
        <v>100000</v>
      </c>
      <c r="K101" s="141"/>
    </row>
    <row r="102" spans="1:11" ht="132.75" customHeight="1" hidden="1">
      <c r="A102" s="25" t="s">
        <v>203</v>
      </c>
      <c r="B102" s="25">
        <v>7321</v>
      </c>
      <c r="C102" s="25" t="s">
        <v>204</v>
      </c>
      <c r="D102" s="26" t="s">
        <v>205</v>
      </c>
      <c r="E102" s="26" t="str">
        <f>E316</f>
        <v>Комплексна програма Сумської міської територіальної громади «Освіта на 2022 - 2024 роки» </v>
      </c>
      <c r="F102" s="26" t="str">
        <f>F316</f>
        <v>ріш СМР від 24.11.2021 року № 2512 - МР (зі змінами)</v>
      </c>
      <c r="G102" s="94">
        <f t="shared" si="1"/>
        <v>0</v>
      </c>
      <c r="H102" s="27"/>
      <c r="I102" s="27"/>
      <c r="J102" s="27"/>
      <c r="K102" s="141"/>
    </row>
    <row r="103" spans="1:11" ht="180.75" customHeight="1" hidden="1">
      <c r="A103" s="142" t="s">
        <v>206</v>
      </c>
      <c r="B103" s="142" t="s">
        <v>207</v>
      </c>
      <c r="C103" s="142" t="s">
        <v>114</v>
      </c>
      <c r="D103" s="146" t="s">
        <v>208</v>
      </c>
      <c r="E103" s="26" t="str">
        <f>E335</f>
        <v>Програма підвищення енергоефективності в бюджетній сфері Сумської міської територіальної громади на 2022-2024 роки</v>
      </c>
      <c r="F103" s="26" t="str">
        <f>F335</f>
        <v>ріш СМР від 26.01.2022 року № 2715-МР (зі змінами)</v>
      </c>
      <c r="G103" s="94">
        <f t="shared" si="1"/>
        <v>0</v>
      </c>
      <c r="H103" s="27"/>
      <c r="I103" s="27"/>
      <c r="J103" s="27"/>
      <c r="K103" s="141"/>
    </row>
    <row r="104" spans="1:11" ht="132.75" customHeight="1" hidden="1">
      <c r="A104" s="142"/>
      <c r="B104" s="142"/>
      <c r="C104" s="142"/>
      <c r="D104" s="146"/>
      <c r="E104" s="26" t="s">
        <v>209</v>
      </c>
      <c r="F104" s="26" t="s">
        <v>210</v>
      </c>
      <c r="G104" s="94">
        <f t="shared" si="1"/>
        <v>0</v>
      </c>
      <c r="H104" s="27"/>
      <c r="I104" s="27"/>
      <c r="J104" s="27"/>
      <c r="K104" s="141"/>
    </row>
    <row r="105" spans="1:11" ht="177" customHeight="1" hidden="1">
      <c r="A105" s="25" t="s">
        <v>211</v>
      </c>
      <c r="B105" s="25" t="s">
        <v>120</v>
      </c>
      <c r="C105" s="25" t="s">
        <v>114</v>
      </c>
      <c r="D105" s="26" t="s">
        <v>121</v>
      </c>
      <c r="E105" s="35" t="str">
        <f>E330</f>
        <v>Програма економічного і соціального розвитку Сумської міської територіальної громади на 2023 рік</v>
      </c>
      <c r="F105" s="35" t="str">
        <f>F330</f>
        <v>ріш СМР від 14.12.2022 року № 3310-МР (зі змінами)</v>
      </c>
      <c r="G105" s="94">
        <f t="shared" si="1"/>
        <v>0</v>
      </c>
      <c r="H105" s="27"/>
      <c r="I105" s="27"/>
      <c r="J105" s="27"/>
      <c r="K105" s="141"/>
    </row>
    <row r="106" spans="1:11" ht="309.75">
      <c r="A106" s="25" t="s">
        <v>643</v>
      </c>
      <c r="B106" s="25" t="s">
        <v>644</v>
      </c>
      <c r="C106" s="25" t="s">
        <v>114</v>
      </c>
      <c r="D106" s="26" t="s">
        <v>645</v>
      </c>
      <c r="E106" s="35" t="str">
        <f>E335</f>
        <v>Програма підвищення енергоефективності в бюджетній сфері Сумської міської територіальної громади на 2022-2024 роки</v>
      </c>
      <c r="F106" s="35" t="str">
        <f>F335</f>
        <v>ріш СМР від 26.01.2022 року № 2715-МР (зі змінами)</v>
      </c>
      <c r="G106" s="94">
        <f t="shared" si="1"/>
        <v>52912282</v>
      </c>
      <c r="H106" s="27"/>
      <c r="I106" s="27">
        <v>52912282</v>
      </c>
      <c r="J106" s="27"/>
      <c r="K106" s="141"/>
    </row>
    <row r="107" spans="1:12" s="47" customFormat="1" ht="141" customHeight="1">
      <c r="A107" s="25" t="s">
        <v>212</v>
      </c>
      <c r="B107" s="25" t="s">
        <v>109</v>
      </c>
      <c r="C107" s="25" t="s">
        <v>110</v>
      </c>
      <c r="D107" s="26" t="s">
        <v>111</v>
      </c>
      <c r="E107" s="26" t="str">
        <f>E335</f>
        <v>Програма підвищення енергоефективності в бюджетній сфері Сумської міської територіальної громади на 2022-2024 роки</v>
      </c>
      <c r="F107" s="26" t="str">
        <f>F335</f>
        <v>ріш СМР від 26.01.2022 року № 2715-МР (зі змінами)</v>
      </c>
      <c r="G107" s="94">
        <f>H107+I107</f>
        <v>76977792</v>
      </c>
      <c r="H107" s="27">
        <f>1176500+6600-397000+300000+126134</f>
        <v>1212234</v>
      </c>
      <c r="I107" s="27">
        <f>13600000+800000+200000+199243+9500000+7200000+363949+7000000+5000000+5000000+5000000+7000000+3750000+7000000+7000000+397000-800000-126134-3000000+199500+300000+182000</f>
        <v>75765558</v>
      </c>
      <c r="J107" s="27">
        <f>13600000+800000+200000+199243+9500000+7200000+363949+7000000+5000000+5000000+5000000+7000000+3750000+7000000+7000000+397000-800000-126134-3000000+199500+300000+182000</f>
        <v>75765558</v>
      </c>
      <c r="K107" s="141"/>
      <c r="L107" s="46"/>
    </row>
    <row r="108" spans="1:12" s="47" customFormat="1" ht="185.25" customHeight="1" hidden="1">
      <c r="A108" s="25" t="s">
        <v>213</v>
      </c>
      <c r="B108" s="25">
        <v>7700</v>
      </c>
      <c r="C108" s="42" t="s">
        <v>26</v>
      </c>
      <c r="D108" s="26" t="s">
        <v>214</v>
      </c>
      <c r="E108" s="26" t="s">
        <v>215</v>
      </c>
      <c r="F108" s="26" t="s">
        <v>216</v>
      </c>
      <c r="G108" s="94">
        <f t="shared" si="1"/>
        <v>0</v>
      </c>
      <c r="H108" s="27"/>
      <c r="I108" s="27"/>
      <c r="J108" s="27"/>
      <c r="K108" s="141"/>
      <c r="L108" s="46"/>
    </row>
    <row r="109" spans="1:12" s="47" customFormat="1" ht="185.25" customHeight="1">
      <c r="A109" s="25" t="s">
        <v>211</v>
      </c>
      <c r="B109" s="25" t="s">
        <v>120</v>
      </c>
      <c r="C109" s="42" t="s">
        <v>114</v>
      </c>
      <c r="D109" s="26" t="s">
        <v>607</v>
      </c>
      <c r="E109" s="35" t="str">
        <f>E330</f>
        <v>Програма економічного і соціального розвитку Сумської міської територіальної громади на 2023 рік</v>
      </c>
      <c r="F109" s="35" t="str">
        <f>F330</f>
        <v>ріш СМР від 14.12.2022 року № 3310-МР (зі змінами)</v>
      </c>
      <c r="G109" s="94">
        <f t="shared" si="1"/>
        <v>350000</v>
      </c>
      <c r="H109" s="27">
        <v>350000</v>
      </c>
      <c r="I109" s="27"/>
      <c r="J109" s="27"/>
      <c r="K109" s="141"/>
      <c r="L109" s="46"/>
    </row>
    <row r="110" spans="1:12" s="47" customFormat="1" ht="185.25" customHeight="1">
      <c r="A110" s="25" t="s">
        <v>213</v>
      </c>
      <c r="B110" s="25" t="s">
        <v>272</v>
      </c>
      <c r="C110" s="42" t="s">
        <v>26</v>
      </c>
      <c r="D110" s="26" t="s">
        <v>214</v>
      </c>
      <c r="E110" s="35" t="str">
        <f>E333</f>
        <v>Програма охорони навколишнього природного середовища Сумської міської територіальної громади на 2022-2024 роки</v>
      </c>
      <c r="F110" s="35" t="str">
        <f>F333</f>
        <v>ріш ВК від 27.05.2022 № 162 (зі змінами)</v>
      </c>
      <c r="G110" s="94">
        <f>H110+I110</f>
        <v>390000</v>
      </c>
      <c r="H110" s="27"/>
      <c r="I110" s="27">
        <v>390000</v>
      </c>
      <c r="J110" s="27"/>
      <c r="K110" s="141"/>
      <c r="L110" s="46"/>
    </row>
    <row r="111" spans="1:12" s="47" customFormat="1" ht="372" customHeight="1">
      <c r="A111" s="25" t="s">
        <v>614</v>
      </c>
      <c r="B111" s="25" t="s">
        <v>131</v>
      </c>
      <c r="C111" s="42" t="s">
        <v>128</v>
      </c>
      <c r="D111" s="26" t="s">
        <v>615</v>
      </c>
      <c r="E111" s="35" t="str">
        <f>E340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111" s="35" t="str">
        <f>F340</f>
        <v>ріш СМР від 14.12.2022 року № 3325-МР (зі змінами)</v>
      </c>
      <c r="G111" s="94">
        <f>H111+I111</f>
        <v>9312880</v>
      </c>
      <c r="H111" s="27">
        <f>1500000+1200000+2647880+270000+3384000+311000</f>
        <v>9312880</v>
      </c>
      <c r="I111" s="27"/>
      <c r="J111" s="27"/>
      <c r="K111" s="141"/>
      <c r="L111" s="46"/>
    </row>
    <row r="112" spans="1:11" ht="146.25" customHeight="1">
      <c r="A112" s="29" t="s">
        <v>217</v>
      </c>
      <c r="B112" s="29" t="s">
        <v>134</v>
      </c>
      <c r="C112" s="25" t="s">
        <v>135</v>
      </c>
      <c r="D112" s="26" t="s">
        <v>136</v>
      </c>
      <c r="E112" s="35" t="str">
        <f>E333</f>
        <v>Програма охорони навколишнього природного середовища Сумської міської територіальної громади на 2022-2024 роки</v>
      </c>
      <c r="F112" s="35" t="str">
        <f>F333</f>
        <v>ріш ВК від 27.05.2022 № 162 (зі змінами)</v>
      </c>
      <c r="G112" s="94">
        <f t="shared" si="1"/>
        <v>665100</v>
      </c>
      <c r="H112" s="27"/>
      <c r="I112" s="27">
        <f>532100+25000+108000</f>
        <v>665100</v>
      </c>
      <c r="J112" s="27"/>
      <c r="K112" s="141"/>
    </row>
    <row r="113" spans="1:11" ht="221.25" customHeight="1" hidden="1">
      <c r="A113" s="29" t="s">
        <v>218</v>
      </c>
      <c r="B113" s="29">
        <v>9310</v>
      </c>
      <c r="C113" s="25" t="s">
        <v>25</v>
      </c>
      <c r="D113" s="26" t="s">
        <v>219</v>
      </c>
      <c r="E113" s="26" t="s">
        <v>209</v>
      </c>
      <c r="F113" s="26" t="s">
        <v>210</v>
      </c>
      <c r="G113" s="94">
        <f t="shared" si="1"/>
        <v>0</v>
      </c>
      <c r="H113" s="27"/>
      <c r="I113" s="27"/>
      <c r="J113" s="27"/>
      <c r="K113" s="141"/>
    </row>
    <row r="114" spans="1:11" ht="195" customHeight="1" hidden="1">
      <c r="A114" s="29" t="s">
        <v>220</v>
      </c>
      <c r="B114" s="29">
        <v>9320</v>
      </c>
      <c r="C114" s="25" t="s">
        <v>25</v>
      </c>
      <c r="D114" s="26" t="s">
        <v>221</v>
      </c>
      <c r="E114" s="26" t="s">
        <v>209</v>
      </c>
      <c r="F114" s="26" t="s">
        <v>210</v>
      </c>
      <c r="G114" s="94">
        <f t="shared" si="1"/>
        <v>0</v>
      </c>
      <c r="H114" s="27"/>
      <c r="I114" s="27"/>
      <c r="J114" s="27"/>
      <c r="K114" s="141"/>
    </row>
    <row r="115" spans="1:11" ht="138" customHeight="1" hidden="1">
      <c r="A115" s="145" t="s">
        <v>222</v>
      </c>
      <c r="B115" s="145">
        <v>9770</v>
      </c>
      <c r="C115" s="142" t="s">
        <v>25</v>
      </c>
      <c r="D115" s="146" t="s">
        <v>145</v>
      </c>
      <c r="E115" s="26" t="s">
        <v>209</v>
      </c>
      <c r="F115" s="26" t="s">
        <v>210</v>
      </c>
      <c r="G115" s="94">
        <f t="shared" si="1"/>
        <v>0</v>
      </c>
      <c r="H115" s="27"/>
      <c r="I115" s="27"/>
      <c r="J115" s="27"/>
      <c r="K115" s="141"/>
    </row>
    <row r="116" spans="1:11" ht="177" customHeight="1" hidden="1">
      <c r="A116" s="145"/>
      <c r="B116" s="145"/>
      <c r="C116" s="142"/>
      <c r="D116" s="146"/>
      <c r="E116" s="35" t="s">
        <v>223</v>
      </c>
      <c r="F116" s="26" t="s">
        <v>23</v>
      </c>
      <c r="G116" s="94">
        <f t="shared" si="1"/>
        <v>0</v>
      </c>
      <c r="H116" s="27"/>
      <c r="I116" s="27"/>
      <c r="J116" s="27"/>
      <c r="K116" s="141"/>
    </row>
    <row r="117" spans="1:11" ht="187.5" customHeight="1">
      <c r="A117" s="25" t="s">
        <v>224</v>
      </c>
      <c r="B117" s="25" t="s">
        <v>147</v>
      </c>
      <c r="C117" s="25" t="s">
        <v>25</v>
      </c>
      <c r="D117" s="32" t="s">
        <v>148</v>
      </c>
      <c r="E117" s="35" t="str">
        <f>E330</f>
        <v>Програма економічного і соціального розвитку Сумської міської територіальної громади на 2023 рік</v>
      </c>
      <c r="F117" s="35" t="str">
        <f>F330</f>
        <v>ріш СМР від 14.12.2022 року № 3310-МР (зі змінами)</v>
      </c>
      <c r="G117" s="94">
        <f t="shared" si="1"/>
        <v>100000</v>
      </c>
      <c r="H117" s="27">
        <v>100000</v>
      </c>
      <c r="I117" s="27"/>
      <c r="J117" s="27"/>
      <c r="K117" s="141"/>
    </row>
    <row r="118" spans="1:11" ht="177" customHeight="1" hidden="1">
      <c r="A118" s="25" t="s">
        <v>218</v>
      </c>
      <c r="B118" s="25">
        <v>9310</v>
      </c>
      <c r="C118" s="25" t="s">
        <v>25</v>
      </c>
      <c r="D118" s="32" t="s">
        <v>219</v>
      </c>
      <c r="E118" s="26"/>
      <c r="F118" s="26"/>
      <c r="G118" s="94">
        <f t="shared" si="1"/>
        <v>0</v>
      </c>
      <c r="H118" s="27"/>
      <c r="I118" s="27"/>
      <c r="J118" s="27"/>
      <c r="K118" s="141"/>
    </row>
    <row r="119" spans="1:12" s="37" customFormat="1" ht="97.5" customHeight="1">
      <c r="A119" s="19"/>
      <c r="B119" s="19"/>
      <c r="C119" s="19"/>
      <c r="D119" s="20" t="s">
        <v>227</v>
      </c>
      <c r="E119" s="20"/>
      <c r="F119" s="20"/>
      <c r="G119" s="115">
        <f>SUM(G120:G145)</f>
        <v>381632462</v>
      </c>
      <c r="H119" s="115">
        <f>SUM(H120:H145)</f>
        <v>117502156</v>
      </c>
      <c r="I119" s="115">
        <f>SUM(I120:I145)</f>
        <v>264130306</v>
      </c>
      <c r="J119" s="115">
        <f>SUM(J120:J145)</f>
        <v>259930306</v>
      </c>
      <c r="K119" s="141"/>
      <c r="L119" s="36"/>
    </row>
    <row r="120" spans="1:11" ht="183" customHeight="1">
      <c r="A120" s="25" t="s">
        <v>228</v>
      </c>
      <c r="B120" s="25" t="s">
        <v>15</v>
      </c>
      <c r="C120" s="25" t="s">
        <v>16</v>
      </c>
      <c r="D120" s="26" t="s">
        <v>17</v>
      </c>
      <c r="E120" s="26" t="str">
        <f>E314</f>
        <v>Програма «Воєнний стан: інформування Сумської міської територіальної громади» на 2023 рік</v>
      </c>
      <c r="F120" s="26" t="str">
        <f>F314</f>
        <v>ріш СМР від 30.11.2022 року № 3241-МР (зі змінами)</v>
      </c>
      <c r="G120" s="94">
        <f aca="true" t="shared" si="2" ref="G120:G144">H120+I120</f>
        <v>90000</v>
      </c>
      <c r="H120" s="27">
        <v>90000</v>
      </c>
      <c r="I120" s="27"/>
      <c r="J120" s="27"/>
      <c r="K120" s="141"/>
    </row>
    <row r="121" spans="1:11" ht="144.75" customHeight="1">
      <c r="A121" s="145" t="s">
        <v>229</v>
      </c>
      <c r="B121" s="145" t="s">
        <v>230</v>
      </c>
      <c r="C121" s="142" t="s">
        <v>231</v>
      </c>
      <c r="D121" s="146" t="s">
        <v>232</v>
      </c>
      <c r="E121" s="35" t="str">
        <f>E317</f>
        <v>Комплексна Програма Сумської міської територіальної громади «Охорона здоров’я» на 2022-2024 роки»</v>
      </c>
      <c r="F121" s="35" t="str">
        <f>F317</f>
        <v>ріш СМР від 26.01.2022 року № 2713- МР (зі змінами)</v>
      </c>
      <c r="G121" s="94">
        <f t="shared" si="2"/>
        <v>193996581</v>
      </c>
      <c r="H121" s="27">
        <f>65654390+1000000+1000000+3000000+238400+100000-775000-7478200+710000+34600+4619000+200000</f>
        <v>68303190</v>
      </c>
      <c r="I121" s="27">
        <f>84875000+28071260+7120000+590122+604640-7120000-6394559+3500000-9000000+58800+1834200+9354149-1834200+9000000-7000000+1495900+5090621+6394559-947101</f>
        <v>125693391</v>
      </c>
      <c r="J121" s="27">
        <f>84875000+28071260+7120000+590122+604640-7120000-6394559+3500000-9000000+58800+1834200+9354149-1834200+9000000-7000000+1495900+5090621+6394559-947101</f>
        <v>125693391</v>
      </c>
      <c r="K121" s="141"/>
    </row>
    <row r="122" spans="1:12" s="41" customFormat="1" ht="207.75" customHeight="1" hidden="1">
      <c r="A122" s="145"/>
      <c r="B122" s="145"/>
      <c r="C122" s="142"/>
      <c r="D122" s="146"/>
      <c r="E122" s="26" t="s">
        <v>225</v>
      </c>
      <c r="F122" s="26" t="s">
        <v>226</v>
      </c>
      <c r="G122" s="94">
        <f t="shared" si="2"/>
        <v>0</v>
      </c>
      <c r="H122" s="27"/>
      <c r="I122" s="39"/>
      <c r="J122" s="39"/>
      <c r="K122" s="141"/>
      <c r="L122" s="40"/>
    </row>
    <row r="123" spans="1:12" s="41" customFormat="1" ht="138.75" customHeight="1" hidden="1">
      <c r="A123" s="29" t="s">
        <v>233</v>
      </c>
      <c r="B123" s="29">
        <v>2020</v>
      </c>
      <c r="C123" s="25">
        <v>732</v>
      </c>
      <c r="D123" s="26" t="s">
        <v>234</v>
      </c>
      <c r="E123" s="35" t="str">
        <f>E317</f>
        <v>Комплексна Програма Сумської міської територіальної громади «Охорона здоров’я» на 2022-2024 роки»</v>
      </c>
      <c r="F123" s="35" t="str">
        <f>F317</f>
        <v>ріш СМР від 26.01.2022 року № 2713- МР (зі змінами)</v>
      </c>
      <c r="G123" s="94">
        <f t="shared" si="2"/>
        <v>0</v>
      </c>
      <c r="H123" s="27"/>
      <c r="I123" s="39"/>
      <c r="J123" s="39"/>
      <c r="K123" s="141"/>
      <c r="L123" s="40"/>
    </row>
    <row r="124" spans="1:11" ht="190.5" customHeight="1">
      <c r="A124" s="145" t="s">
        <v>235</v>
      </c>
      <c r="B124" s="145">
        <v>2030</v>
      </c>
      <c r="C124" s="142" t="s">
        <v>236</v>
      </c>
      <c r="D124" s="144" t="s">
        <v>237</v>
      </c>
      <c r="E124" s="35" t="str">
        <f>E317</f>
        <v>Комплексна Програма Сумської міської територіальної громади «Охорона здоров’я» на 2022-2024 роки»</v>
      </c>
      <c r="F124" s="35" t="str">
        <f>F317</f>
        <v>ріш СМР від 26.01.2022 року № 2713- МР (зі змінами)</v>
      </c>
      <c r="G124" s="94">
        <f t="shared" si="2"/>
        <v>4309900</v>
      </c>
      <c r="H124" s="27">
        <f>5512000-117000-882300-202800</f>
        <v>4309900</v>
      </c>
      <c r="I124" s="27"/>
      <c r="J124" s="27"/>
      <c r="K124" s="141"/>
    </row>
    <row r="125" spans="1:11" ht="52.5" customHeight="1" hidden="1">
      <c r="A125" s="145"/>
      <c r="B125" s="145"/>
      <c r="C125" s="142"/>
      <c r="D125" s="144"/>
      <c r="E125" s="35"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125" s="26" t="s">
        <v>226</v>
      </c>
      <c r="G125" s="94">
        <f t="shared" si="2"/>
        <v>0</v>
      </c>
      <c r="H125" s="27"/>
      <c r="I125" s="27"/>
      <c r="J125" s="27"/>
      <c r="K125" s="141"/>
    </row>
    <row r="126" spans="1:11" ht="141.75" customHeight="1" hidden="1">
      <c r="A126" s="29" t="s">
        <v>238</v>
      </c>
      <c r="B126" s="29" t="s">
        <v>239</v>
      </c>
      <c r="C126" s="25" t="s">
        <v>240</v>
      </c>
      <c r="D126" s="32" t="s">
        <v>241</v>
      </c>
      <c r="E126" s="35" t="s">
        <v>242</v>
      </c>
      <c r="F126" s="26" t="s">
        <v>243</v>
      </c>
      <c r="G126" s="94">
        <f t="shared" si="2"/>
        <v>0</v>
      </c>
      <c r="H126" s="27"/>
      <c r="I126" s="27"/>
      <c r="J126" s="27"/>
      <c r="K126" s="141"/>
    </row>
    <row r="127" spans="1:11" ht="156.75" customHeight="1">
      <c r="A127" s="145" t="s">
        <v>244</v>
      </c>
      <c r="B127" s="145" t="s">
        <v>245</v>
      </c>
      <c r="C127" s="142" t="s">
        <v>246</v>
      </c>
      <c r="D127" s="146" t="s">
        <v>247</v>
      </c>
      <c r="E127" s="35" t="str">
        <f>E317</f>
        <v>Комплексна Програма Сумської міської територіальної громади «Охорона здоров’я» на 2022-2024 роки»</v>
      </c>
      <c r="F127" s="35" t="str">
        <f>F317</f>
        <v>ріш СМР від 26.01.2022 року № 2713- МР (зі змінами)</v>
      </c>
      <c r="G127" s="94">
        <f t="shared" si="2"/>
        <v>12896400</v>
      </c>
      <c r="H127" s="27">
        <f>12846800-H128-13000-166900+89500</f>
        <v>12696400</v>
      </c>
      <c r="I127" s="27">
        <v>200000</v>
      </c>
      <c r="J127" s="27">
        <v>200000</v>
      </c>
      <c r="K127" s="141"/>
    </row>
    <row r="128" spans="1:12" s="41" customFormat="1" ht="163.5" customHeight="1">
      <c r="A128" s="145"/>
      <c r="B128" s="145"/>
      <c r="C128" s="142"/>
      <c r="D128" s="146"/>
      <c r="E128" s="26" t="str">
        <f>E334</f>
        <v>Програма Сумської міської територіальної громади «Соціальна підтримка Захисників і Захисниць України та членів їх сімей» на 2022-2024 роки»</v>
      </c>
      <c r="F128" s="26" t="str">
        <f>F334</f>
        <v>ріш СМР від 24.11.2021 року № 2273-МР (зі змінами)</v>
      </c>
      <c r="G128" s="94">
        <f t="shared" si="2"/>
        <v>60000</v>
      </c>
      <c r="H128" s="27">
        <v>60000</v>
      </c>
      <c r="I128" s="39"/>
      <c r="J128" s="39"/>
      <c r="K128" s="141"/>
      <c r="L128" s="40"/>
    </row>
    <row r="129" spans="1:11" ht="190.5" customHeight="1">
      <c r="A129" s="29" t="s">
        <v>248</v>
      </c>
      <c r="B129" s="29">
        <v>2111</v>
      </c>
      <c r="C129" s="25" t="s">
        <v>249</v>
      </c>
      <c r="D129" s="26" t="s">
        <v>250</v>
      </c>
      <c r="E129" s="35" t="str">
        <f>E317</f>
        <v>Комплексна Програма Сумської міської територіальної громади «Охорона здоров’я» на 2022-2024 роки»</v>
      </c>
      <c r="F129" s="35" t="str">
        <f>F317</f>
        <v>ріш СМР від 26.01.2022 року № 2713- МР (зі змінами)</v>
      </c>
      <c r="G129" s="94">
        <f t="shared" si="2"/>
        <v>13396300</v>
      </c>
      <c r="H129" s="27">
        <f>5707000-95000-834600-222400</f>
        <v>4555000</v>
      </c>
      <c r="I129" s="27">
        <v>8841300</v>
      </c>
      <c r="J129" s="27">
        <v>8841300</v>
      </c>
      <c r="K129" s="141"/>
    </row>
    <row r="130" spans="1:11" ht="139.5" customHeight="1" hidden="1">
      <c r="A130" s="29" t="s">
        <v>251</v>
      </c>
      <c r="B130" s="29" t="s">
        <v>252</v>
      </c>
      <c r="C130" s="29" t="s">
        <v>253</v>
      </c>
      <c r="D130" s="26" t="s">
        <v>254</v>
      </c>
      <c r="E130" s="35" t="s">
        <v>255</v>
      </c>
      <c r="F130" s="26" t="s">
        <v>256</v>
      </c>
      <c r="G130" s="94">
        <f t="shared" si="2"/>
        <v>0</v>
      </c>
      <c r="H130" s="27"/>
      <c r="I130" s="27"/>
      <c r="J130" s="27"/>
      <c r="K130" s="141"/>
    </row>
    <row r="131" spans="1:11" ht="138.75" customHeight="1" hidden="1">
      <c r="A131" s="29" t="s">
        <v>251</v>
      </c>
      <c r="B131" s="29">
        <v>2144</v>
      </c>
      <c r="C131" s="29" t="s">
        <v>253</v>
      </c>
      <c r="D131" s="48" t="s">
        <v>254</v>
      </c>
      <c r="E131" s="35" t="str">
        <f>E317</f>
        <v>Комплексна Програма Сумської міської територіальної громади «Охорона здоров’я» на 2022-2024 роки»</v>
      </c>
      <c r="F131" s="35" t="str">
        <f>F317</f>
        <v>ріш СМР від 26.01.2022 року № 2713- МР (зі змінами)</v>
      </c>
      <c r="G131" s="94">
        <f t="shared" si="2"/>
        <v>0</v>
      </c>
      <c r="H131" s="27"/>
      <c r="I131" s="27"/>
      <c r="J131" s="27"/>
      <c r="K131" s="141"/>
    </row>
    <row r="132" spans="1:11" ht="184.5" customHeight="1">
      <c r="A132" s="29" t="s">
        <v>257</v>
      </c>
      <c r="B132" s="29" t="s">
        <v>258</v>
      </c>
      <c r="C132" s="29" t="s">
        <v>253</v>
      </c>
      <c r="D132" s="26" t="s">
        <v>259</v>
      </c>
      <c r="E132" s="35" t="str">
        <f>E317</f>
        <v>Комплексна Програма Сумської міської територіальної громади «Охорона здоров’я» на 2022-2024 роки»</v>
      </c>
      <c r="F132" s="35" t="str">
        <f>F317</f>
        <v>ріш СМР від 26.01.2022 року № 2713- МР (зі змінами)</v>
      </c>
      <c r="G132" s="94">
        <f t="shared" si="2"/>
        <v>3789166</v>
      </c>
      <c r="H132" s="27">
        <f>3512966+200000+100000-23800</f>
        <v>3789166</v>
      </c>
      <c r="I132" s="27"/>
      <c r="J132" s="27"/>
      <c r="K132" s="141"/>
    </row>
    <row r="133" spans="1:11" ht="143.25" customHeight="1">
      <c r="A133" s="145" t="s">
        <v>260</v>
      </c>
      <c r="B133" s="145" t="s">
        <v>261</v>
      </c>
      <c r="C133" s="145" t="s">
        <v>253</v>
      </c>
      <c r="D133" s="144" t="s">
        <v>262</v>
      </c>
      <c r="E133" s="35" t="str">
        <f>E317</f>
        <v>Комплексна Програма Сумської міської територіальної громади «Охорона здоров’я» на 2022-2024 роки»</v>
      </c>
      <c r="F133" s="35" t="str">
        <f>F317</f>
        <v>ріш СМР від 26.01.2022 року № 2713- МР (зі змінами)</v>
      </c>
      <c r="G133" s="94">
        <f t="shared" si="2"/>
        <v>134208990</v>
      </c>
      <c r="H133" s="27">
        <f>22355800-H134+1000000-900000-100000+1000000</f>
        <v>22762400</v>
      </c>
      <c r="I133" s="27">
        <f>75176590+25000000-3500000+7000000+2000000+5770000</f>
        <v>111446590</v>
      </c>
      <c r="J133" s="27">
        <f>75176590+25000000-3500000+7000000+2000000+5770000</f>
        <v>111446590</v>
      </c>
      <c r="K133" s="141">
        <v>37</v>
      </c>
    </row>
    <row r="134" spans="1:12" s="41" customFormat="1" ht="171.75" customHeight="1">
      <c r="A134" s="145"/>
      <c r="B134" s="145"/>
      <c r="C134" s="145"/>
      <c r="D134" s="144"/>
      <c r="E134" s="26" t="str">
        <f>E334</f>
        <v>Програма Сумської міської територіальної громади «Соціальна підтримка Захисників і Захисниць України та членів їх сімей» на 2022-2024 роки»</v>
      </c>
      <c r="F134" s="26" t="str">
        <f>F334</f>
        <v>ріш СМР від 24.11.2021 року № 2273-МР (зі змінами)</v>
      </c>
      <c r="G134" s="94">
        <f t="shared" si="2"/>
        <v>593400</v>
      </c>
      <c r="H134" s="27">
        <v>593400</v>
      </c>
      <c r="I134" s="27"/>
      <c r="J134" s="27"/>
      <c r="K134" s="141"/>
      <c r="L134" s="40"/>
    </row>
    <row r="135" spans="1:12" s="41" customFormat="1" ht="150.75" customHeight="1" hidden="1">
      <c r="A135" s="29" t="s">
        <v>263</v>
      </c>
      <c r="B135" s="29">
        <v>7322</v>
      </c>
      <c r="C135" s="29" t="s">
        <v>204</v>
      </c>
      <c r="D135" s="26" t="s">
        <v>264</v>
      </c>
      <c r="E135" s="35" t="str">
        <f>E317</f>
        <v>Комплексна Програма Сумської міської територіальної громади «Охорона здоров’я» на 2022-2024 роки»</v>
      </c>
      <c r="F135" s="26" t="s">
        <v>265</v>
      </c>
      <c r="G135" s="94">
        <f t="shared" si="2"/>
        <v>0</v>
      </c>
      <c r="H135" s="27"/>
      <c r="I135" s="27"/>
      <c r="J135" s="27"/>
      <c r="K135" s="141"/>
      <c r="L135" s="40"/>
    </row>
    <row r="136" spans="1:12" s="41" customFormat="1" ht="192" customHeight="1">
      <c r="A136" s="145" t="s">
        <v>266</v>
      </c>
      <c r="B136" s="145">
        <v>7361</v>
      </c>
      <c r="C136" s="145" t="s">
        <v>114</v>
      </c>
      <c r="D136" s="144" t="s">
        <v>267</v>
      </c>
      <c r="E136" s="35" t="str">
        <f>E317</f>
        <v>Комплексна Програма Сумської міської територіальної громади «Охорона здоров’я» на 2022-2024 роки»</v>
      </c>
      <c r="F136" s="35" t="str">
        <f>F317</f>
        <v>ріш СМР від 26.01.2022 року № 2713- МР (зі змінами)</v>
      </c>
      <c r="G136" s="94">
        <f t="shared" si="2"/>
        <v>107164</v>
      </c>
      <c r="H136" s="27"/>
      <c r="I136" s="27">
        <v>107164</v>
      </c>
      <c r="J136" s="27">
        <v>107164</v>
      </c>
      <c r="K136" s="141"/>
      <c r="L136" s="40"/>
    </row>
    <row r="137" spans="1:12" s="41" customFormat="1" ht="140.25" customHeight="1" hidden="1">
      <c r="A137" s="145"/>
      <c r="B137" s="145"/>
      <c r="C137" s="145"/>
      <c r="D137" s="144"/>
      <c r="E137" s="26" t="str">
        <f>E335</f>
        <v>Програма підвищення енергоефективності в бюджетній сфері Сумської міської територіальної громади на 2022-2024 роки</v>
      </c>
      <c r="F137" s="26" t="str">
        <f>F335</f>
        <v>ріш СМР від 26.01.2022 року № 2715-МР (зі змінами)</v>
      </c>
      <c r="G137" s="94">
        <f t="shared" si="2"/>
        <v>0</v>
      </c>
      <c r="H137" s="27"/>
      <c r="I137" s="27"/>
      <c r="J137" s="27"/>
      <c r="K137" s="141"/>
      <c r="L137" s="40"/>
    </row>
    <row r="138" spans="1:11" ht="159" customHeight="1" hidden="1">
      <c r="A138" s="142" t="s">
        <v>268</v>
      </c>
      <c r="B138" s="142" t="s">
        <v>207</v>
      </c>
      <c r="C138" s="142" t="s">
        <v>114</v>
      </c>
      <c r="D138" s="146" t="s">
        <v>208</v>
      </c>
      <c r="E138" s="26" t="str">
        <f>E336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8" s="26" t="s">
        <v>269</v>
      </c>
      <c r="G138" s="94">
        <f t="shared" si="2"/>
        <v>0</v>
      </c>
      <c r="H138" s="27"/>
      <c r="I138" s="27"/>
      <c r="J138" s="27"/>
      <c r="K138" s="141"/>
    </row>
    <row r="139" spans="1:11" ht="192" customHeight="1" hidden="1">
      <c r="A139" s="142"/>
      <c r="B139" s="142"/>
      <c r="C139" s="142"/>
      <c r="D139" s="146"/>
      <c r="E139" s="26" t="str">
        <f>E337</f>
        <v>Програма розвитку фізичної культури і спорту Сумської міської територіальної громади на 2022-2024 роки</v>
      </c>
      <c r="F139" s="26" t="s">
        <v>265</v>
      </c>
      <c r="G139" s="94">
        <f t="shared" si="2"/>
        <v>0</v>
      </c>
      <c r="H139" s="27"/>
      <c r="I139" s="27"/>
      <c r="J139" s="27"/>
      <c r="K139" s="141"/>
    </row>
    <row r="140" spans="1:11" ht="162.75" customHeight="1">
      <c r="A140" s="25" t="s">
        <v>270</v>
      </c>
      <c r="B140" s="25" t="s">
        <v>109</v>
      </c>
      <c r="C140" s="25" t="s">
        <v>110</v>
      </c>
      <c r="D140" s="26" t="s">
        <v>111</v>
      </c>
      <c r="E140" s="26" t="str">
        <f>E335</f>
        <v>Програма підвищення енергоефективності в бюджетній сфері Сумської міської територіальної громади на 2022-2024 роки</v>
      </c>
      <c r="F140" s="26" t="str">
        <f>F335</f>
        <v>ріш СМР від 26.01.2022 року № 2715-МР (зі змінами)</v>
      </c>
      <c r="G140" s="94">
        <f t="shared" si="2"/>
        <v>12864561</v>
      </c>
      <c r="H140" s="27">
        <f>309400+33300</f>
        <v>342700</v>
      </c>
      <c r="I140" s="27">
        <f>10824760+750000+947101</f>
        <v>12521861</v>
      </c>
      <c r="J140" s="27">
        <f>10824760+750000+947101</f>
        <v>12521861</v>
      </c>
      <c r="K140" s="141"/>
    </row>
    <row r="141" spans="1:11" ht="183" customHeight="1">
      <c r="A141" s="25" t="s">
        <v>271</v>
      </c>
      <c r="B141" s="25" t="s">
        <v>272</v>
      </c>
      <c r="C141" s="25" t="s">
        <v>26</v>
      </c>
      <c r="D141" s="26" t="s">
        <v>214</v>
      </c>
      <c r="E141" s="26" t="str">
        <f>E335</f>
        <v>Програма підвищення енергоефективності в бюджетній сфері Сумської міської територіальної громади на 2022-2024 роки</v>
      </c>
      <c r="F141" s="26" t="str">
        <f>F335</f>
        <v>ріш СМР від 26.01.2022 року № 2715-МР (зі змінами)</v>
      </c>
      <c r="G141" s="94">
        <f t="shared" si="2"/>
        <v>4620000</v>
      </c>
      <c r="H141" s="27"/>
      <c r="I141" s="27">
        <v>4620000</v>
      </c>
      <c r="J141" s="27">
        <v>420000</v>
      </c>
      <c r="K141" s="141"/>
    </row>
    <row r="142" spans="1:11" ht="177" customHeight="1" hidden="1">
      <c r="A142" s="25" t="s">
        <v>273</v>
      </c>
      <c r="B142" s="25" t="s">
        <v>134</v>
      </c>
      <c r="C142" s="25" t="s">
        <v>135</v>
      </c>
      <c r="D142" s="26" t="s">
        <v>136</v>
      </c>
      <c r="E142" s="35" t="s">
        <v>274</v>
      </c>
      <c r="F142" s="26" t="s">
        <v>275</v>
      </c>
      <c r="G142" s="94">
        <f t="shared" si="2"/>
        <v>0</v>
      </c>
      <c r="H142" s="49"/>
      <c r="I142" s="49"/>
      <c r="J142" s="27"/>
      <c r="K142" s="141"/>
    </row>
    <row r="143" spans="1:11" ht="177" customHeight="1" hidden="1">
      <c r="A143" s="25" t="s">
        <v>276</v>
      </c>
      <c r="B143" s="25">
        <v>8661</v>
      </c>
      <c r="C143" s="25">
        <v>490</v>
      </c>
      <c r="D143" s="26" t="s">
        <v>277</v>
      </c>
      <c r="E143" s="35" t="s">
        <v>278</v>
      </c>
      <c r="F143" s="26" t="s">
        <v>265</v>
      </c>
      <c r="G143" s="94">
        <f t="shared" si="2"/>
        <v>0</v>
      </c>
      <c r="H143" s="27"/>
      <c r="I143" s="49"/>
      <c r="J143" s="27"/>
      <c r="K143" s="141"/>
    </row>
    <row r="144" spans="1:11" ht="177" customHeight="1" hidden="1">
      <c r="A144" s="25" t="s">
        <v>279</v>
      </c>
      <c r="B144" s="25">
        <v>8662</v>
      </c>
      <c r="C144" s="25">
        <v>4090</v>
      </c>
      <c r="D144" s="26" t="s">
        <v>280</v>
      </c>
      <c r="E144" s="35" t="s">
        <v>278</v>
      </c>
      <c r="F144" s="26" t="s">
        <v>265</v>
      </c>
      <c r="G144" s="94">
        <f t="shared" si="2"/>
        <v>0</v>
      </c>
      <c r="H144" s="27"/>
      <c r="I144" s="49"/>
      <c r="J144" s="27"/>
      <c r="K144" s="141"/>
    </row>
    <row r="145" spans="1:12" s="111" customFormat="1" ht="158.25" customHeight="1">
      <c r="A145" s="132" t="s">
        <v>281</v>
      </c>
      <c r="B145" s="132" t="s">
        <v>144</v>
      </c>
      <c r="C145" s="132" t="s">
        <v>282</v>
      </c>
      <c r="D145" s="133" t="s">
        <v>145</v>
      </c>
      <c r="E145" s="93" t="str">
        <f>E330</f>
        <v>Програма економічного і соціального розвитку Сумської міської територіальної громади на 2023 рік</v>
      </c>
      <c r="F145" s="93" t="str">
        <f>F330</f>
        <v>ріш СМР від 14.12.2022 року № 3310-МР (зі змінами)</v>
      </c>
      <c r="G145" s="94">
        <f>H145+I145</f>
        <v>700000</v>
      </c>
      <c r="H145" s="94"/>
      <c r="I145" s="94">
        <v>700000</v>
      </c>
      <c r="J145" s="94">
        <v>700000</v>
      </c>
      <c r="K145" s="141"/>
      <c r="L145" s="110"/>
    </row>
    <row r="146" spans="1:12" s="37" customFormat="1" ht="135.75" customHeight="1">
      <c r="A146" s="19"/>
      <c r="B146" s="19"/>
      <c r="C146" s="19"/>
      <c r="D146" s="20" t="s">
        <v>283</v>
      </c>
      <c r="E146" s="20"/>
      <c r="F146" s="20"/>
      <c r="G146" s="115">
        <f>SUM(G147:G167)</f>
        <v>364178774</v>
      </c>
      <c r="H146" s="22">
        <f>SUM(H147:H167)</f>
        <v>364152774</v>
      </c>
      <c r="I146" s="22">
        <f>SUM(I147:I167)</f>
        <v>26000</v>
      </c>
      <c r="J146" s="22">
        <f>SUM(J147:J167)</f>
        <v>26000</v>
      </c>
      <c r="K146" s="141"/>
      <c r="L146" s="36"/>
    </row>
    <row r="147" spans="1:11" ht="162" customHeight="1">
      <c r="A147" s="25" t="s">
        <v>284</v>
      </c>
      <c r="B147" s="25" t="s">
        <v>15</v>
      </c>
      <c r="C147" s="25" t="s">
        <v>16</v>
      </c>
      <c r="D147" s="26" t="s">
        <v>17</v>
      </c>
      <c r="E147" s="26" t="str">
        <f>E314</f>
        <v>Програма «Воєнний стан: інформування Сумської міської територіальної громади» на 2023 рік</v>
      </c>
      <c r="F147" s="26" t="str">
        <f>F314</f>
        <v>ріш СМР від 30.11.2022 року № 3241-МР (зі змінами)</v>
      </c>
      <c r="G147" s="94">
        <f aca="true" t="shared" si="3" ref="G147:G169">H147+I147</f>
        <v>90000</v>
      </c>
      <c r="H147" s="27">
        <v>90000</v>
      </c>
      <c r="I147" s="27"/>
      <c r="J147" s="27"/>
      <c r="K147" s="141"/>
    </row>
    <row r="148" spans="1:11" ht="203.25" customHeight="1" hidden="1">
      <c r="A148" s="25" t="s">
        <v>285</v>
      </c>
      <c r="B148" s="25" t="s">
        <v>25</v>
      </c>
      <c r="C148" s="25" t="s">
        <v>26</v>
      </c>
      <c r="D148" s="26" t="s">
        <v>27</v>
      </c>
      <c r="E148" s="26" t="str">
        <f>E342</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8" s="26" t="str">
        <f>F342</f>
        <v>від 24.03.2021 року № 517-МР</v>
      </c>
      <c r="G148" s="94">
        <f t="shared" si="3"/>
        <v>0</v>
      </c>
      <c r="H148" s="27"/>
      <c r="I148" s="27"/>
      <c r="J148" s="27"/>
      <c r="K148" s="141"/>
    </row>
    <row r="149" spans="1:12" s="51" customFormat="1" ht="154.5" customHeight="1">
      <c r="A149" s="25" t="s">
        <v>286</v>
      </c>
      <c r="B149" s="25" t="s">
        <v>287</v>
      </c>
      <c r="C149" s="25">
        <v>1030</v>
      </c>
      <c r="D149" s="26" t="s">
        <v>288</v>
      </c>
      <c r="E149" s="26" t="str">
        <f>E323</f>
        <v>Програма Сумської міської територіальної громади «Милосердя» на 2022-2024 роки</v>
      </c>
      <c r="F149" s="26" t="str">
        <f>F323</f>
        <v>ріш СМР від 24.11.2021 року № 2272-МР (зі змінами)</v>
      </c>
      <c r="G149" s="94">
        <f t="shared" si="3"/>
        <v>431000</v>
      </c>
      <c r="H149" s="27">
        <f>466000-35000</f>
        <v>431000</v>
      </c>
      <c r="I149" s="27"/>
      <c r="J149" s="27"/>
      <c r="K149" s="141"/>
      <c r="L149" s="50"/>
    </row>
    <row r="150" spans="1:11" ht="132.75">
      <c r="A150" s="25" t="s">
        <v>289</v>
      </c>
      <c r="B150" s="25" t="s">
        <v>290</v>
      </c>
      <c r="C150" s="25">
        <v>1070</v>
      </c>
      <c r="D150" s="26" t="s">
        <v>291</v>
      </c>
      <c r="E150" s="26" t="str">
        <f>E323</f>
        <v>Програма Сумської міської територіальної громади «Милосердя» на 2022-2024 роки</v>
      </c>
      <c r="F150" s="26" t="str">
        <f>F323</f>
        <v>ріш СМР від 24.11.2021 року № 2272-МР (зі змінами)</v>
      </c>
      <c r="G150" s="94">
        <f t="shared" si="3"/>
        <v>769100</v>
      </c>
      <c r="H150" s="27">
        <f>930000-148400-12500</f>
        <v>769100</v>
      </c>
      <c r="I150" s="27"/>
      <c r="J150" s="27"/>
      <c r="K150" s="141"/>
    </row>
    <row r="151" spans="1:11" ht="161.25" customHeight="1">
      <c r="A151" s="25" t="s">
        <v>292</v>
      </c>
      <c r="B151" s="25" t="s">
        <v>29</v>
      </c>
      <c r="C151" s="25" t="s">
        <v>293</v>
      </c>
      <c r="D151" s="26" t="s">
        <v>30</v>
      </c>
      <c r="E151" s="26" t="str">
        <f>E323</f>
        <v>Програма Сумської міської територіальної громади «Милосердя» на 2022-2024 роки</v>
      </c>
      <c r="F151" s="26" t="str">
        <f>F323</f>
        <v>ріш СМР від 24.11.2021 року № 2272-МР (зі змінами)</v>
      </c>
      <c r="G151" s="94">
        <f t="shared" si="3"/>
        <v>18306100</v>
      </c>
      <c r="H151" s="27">
        <f>18426100-120000</f>
        <v>18306100</v>
      </c>
      <c r="I151" s="27"/>
      <c r="J151" s="27"/>
      <c r="K151" s="141"/>
    </row>
    <row r="152" spans="1:11" ht="170.25" customHeight="1">
      <c r="A152" s="25" t="s">
        <v>294</v>
      </c>
      <c r="B152" s="25" t="s">
        <v>295</v>
      </c>
      <c r="C152" s="25" t="s">
        <v>293</v>
      </c>
      <c r="D152" s="26" t="s">
        <v>296</v>
      </c>
      <c r="E152" s="26" t="str">
        <f>E323</f>
        <v>Програма Сумської міської територіальної громади «Милосердя» на 2022-2024 роки</v>
      </c>
      <c r="F152" s="26" t="str">
        <f>F323</f>
        <v>ріш СМР від 24.11.2021 року № 2272-МР (зі змінами)</v>
      </c>
      <c r="G152" s="94">
        <f t="shared" si="3"/>
        <v>2106000</v>
      </c>
      <c r="H152" s="27">
        <v>2106000</v>
      </c>
      <c r="I152" s="27"/>
      <c r="J152" s="27"/>
      <c r="K152" s="141"/>
    </row>
    <row r="153" spans="1:11" ht="150" customHeight="1">
      <c r="A153" s="25" t="s">
        <v>297</v>
      </c>
      <c r="B153" s="25" t="s">
        <v>32</v>
      </c>
      <c r="C153" s="25" t="s">
        <v>293</v>
      </c>
      <c r="D153" s="26" t="s">
        <v>33</v>
      </c>
      <c r="E153" s="26" t="str">
        <f>E323</f>
        <v>Програма Сумської міської територіальної громади «Милосердя» на 2022-2024 роки</v>
      </c>
      <c r="F153" s="26" t="str">
        <f>F323</f>
        <v>ріш СМР від 24.11.2021 року № 2272-МР (зі змінами)</v>
      </c>
      <c r="G153" s="94">
        <f t="shared" si="3"/>
        <v>42214000</v>
      </c>
      <c r="H153" s="27">
        <v>42214000</v>
      </c>
      <c r="I153" s="27"/>
      <c r="J153" s="27"/>
      <c r="K153" s="141"/>
    </row>
    <row r="154" spans="1:11" ht="265.5" customHeight="1" hidden="1">
      <c r="A154" s="25" t="s">
        <v>298</v>
      </c>
      <c r="B154" s="25" t="s">
        <v>299</v>
      </c>
      <c r="C154" s="25" t="s">
        <v>300</v>
      </c>
      <c r="D154" s="26" t="s">
        <v>301</v>
      </c>
      <c r="E154" s="26" t="str">
        <f>E323</f>
        <v>Програма Сумської міської територіальної громади «Милосердя» на 2022-2024 роки</v>
      </c>
      <c r="F154" s="26" t="str">
        <f>F323</f>
        <v>ріш СМР від 24.11.2021 року № 2272-МР (зі змінами)</v>
      </c>
      <c r="G154" s="94">
        <f t="shared" si="3"/>
        <v>0</v>
      </c>
      <c r="H154" s="27"/>
      <c r="I154" s="27"/>
      <c r="J154" s="27"/>
      <c r="K154" s="141"/>
    </row>
    <row r="155" spans="1:11" ht="294.75" customHeight="1" hidden="1">
      <c r="A155" s="25" t="s">
        <v>302</v>
      </c>
      <c r="B155" s="25" t="s">
        <v>45</v>
      </c>
      <c r="C155" s="25" t="s">
        <v>36</v>
      </c>
      <c r="D155" s="26" t="s">
        <v>46</v>
      </c>
      <c r="E155" s="26" t="str">
        <f>E344</f>
        <v>Програма оздоровлення та відпочинку дітей Сумської міської територіальної громади на 2022-2024 роки</v>
      </c>
      <c r="F155" s="26" t="str">
        <f>F344</f>
        <v>ріш СМР від 24.11.2021 року № 2507-МР</v>
      </c>
      <c r="G155" s="94">
        <f t="shared" si="3"/>
        <v>0</v>
      </c>
      <c r="H155" s="27">
        <f>5000000-5000000</f>
        <v>0</v>
      </c>
      <c r="I155" s="27"/>
      <c r="J155" s="27"/>
      <c r="K155" s="141"/>
    </row>
    <row r="156" spans="1:11" ht="330.75" customHeight="1">
      <c r="A156" s="25" t="s">
        <v>303</v>
      </c>
      <c r="B156" s="25" t="s">
        <v>304</v>
      </c>
      <c r="C156" s="25" t="s">
        <v>152</v>
      </c>
      <c r="D156" s="26" t="s">
        <v>305</v>
      </c>
      <c r="E156" s="26" t="str">
        <f>E323</f>
        <v>Програма Сумської міської територіальної громади «Милосердя» на 2022-2024 роки</v>
      </c>
      <c r="F156" s="26" t="str">
        <f>F323</f>
        <v>ріш СМР від 24.11.2021 року № 2272-МР (зі змінами)</v>
      </c>
      <c r="G156" s="94">
        <f t="shared" si="3"/>
        <v>14132600</v>
      </c>
      <c r="H156" s="27">
        <f>10232600+3900000</f>
        <v>14132600</v>
      </c>
      <c r="I156" s="27"/>
      <c r="J156" s="27"/>
      <c r="K156" s="141"/>
    </row>
    <row r="157" spans="1:11" ht="150.75" customHeight="1" hidden="1">
      <c r="A157" s="142" t="s">
        <v>306</v>
      </c>
      <c r="B157" s="142" t="s">
        <v>307</v>
      </c>
      <c r="C157" s="142" t="s">
        <v>308</v>
      </c>
      <c r="D157" s="146" t="s">
        <v>309</v>
      </c>
      <c r="E157" s="26" t="str">
        <f>E323</f>
        <v>Програма Сумської міської територіальної громади «Милосердя» на 2022-2024 роки</v>
      </c>
      <c r="F157" s="26" t="str">
        <f>F323</f>
        <v>ріш СМР від 24.11.2021 року № 2272-МР (зі змінами)</v>
      </c>
      <c r="G157" s="94">
        <f t="shared" si="3"/>
        <v>0</v>
      </c>
      <c r="H157" s="27"/>
      <c r="I157" s="27"/>
      <c r="J157" s="27"/>
      <c r="K157" s="45"/>
    </row>
    <row r="158" spans="1:11" ht="182.25" customHeight="1" hidden="1">
      <c r="A158" s="142"/>
      <c r="B158" s="142"/>
      <c r="C158" s="142"/>
      <c r="D158" s="146"/>
      <c r="E158" s="26" t="str">
        <f>E334</f>
        <v>Програма Сумської міської територіальної громади «Соціальна підтримка Захисників і Захисниць України та членів їх сімей» на 2022-2024 роки»</v>
      </c>
      <c r="F158" s="26" t="str">
        <f>F334</f>
        <v>ріш СМР від 24.11.2021 року № 2273-МР (зі змінами)</v>
      </c>
      <c r="G158" s="94">
        <f t="shared" si="3"/>
        <v>0</v>
      </c>
      <c r="H158" s="27"/>
      <c r="I158" s="27"/>
      <c r="J158" s="27"/>
      <c r="K158" s="45"/>
    </row>
    <row r="159" spans="1:11" ht="132.75">
      <c r="A159" s="142" t="s">
        <v>310</v>
      </c>
      <c r="B159" s="142" t="s">
        <v>311</v>
      </c>
      <c r="C159" s="142" t="s">
        <v>312</v>
      </c>
      <c r="D159" s="146" t="s">
        <v>313</v>
      </c>
      <c r="E159" s="26" t="str">
        <f>E323</f>
        <v>Програма Сумської міської територіальної громади «Милосердя» на 2022-2024 роки</v>
      </c>
      <c r="F159" s="26" t="str">
        <f>F323</f>
        <v>ріш СМР від 24.11.2021 року № 2272-МР (зі змінами)</v>
      </c>
      <c r="G159" s="94">
        <f t="shared" si="3"/>
        <v>928448</v>
      </c>
      <c r="H159" s="27">
        <f>1014467-37674-48345</f>
        <v>928448</v>
      </c>
      <c r="I159" s="27"/>
      <c r="J159" s="27"/>
      <c r="K159" s="141">
        <v>38</v>
      </c>
    </row>
    <row r="160" spans="1:11" ht="155.25" customHeight="1">
      <c r="A160" s="142"/>
      <c r="B160" s="142"/>
      <c r="C160" s="142"/>
      <c r="D160" s="146"/>
      <c r="E160" s="26" t="str">
        <f>E334</f>
        <v>Програма Сумської міської територіальної громади «Соціальна підтримка Захисників і Захисниць України та членів їх сімей» на 2022-2024 роки»</v>
      </c>
      <c r="F160" s="26" t="str">
        <f>F334</f>
        <v>ріш СМР від 24.11.2021 року № 2273-МР (зі змінами)</v>
      </c>
      <c r="G160" s="94">
        <f t="shared" si="3"/>
        <v>2698951</v>
      </c>
      <c r="H160" s="27">
        <f>2521333+541800-364182</f>
        <v>2698951</v>
      </c>
      <c r="I160" s="27"/>
      <c r="J160" s="27"/>
      <c r="K160" s="141"/>
    </row>
    <row r="161" spans="1:11" ht="192" customHeight="1">
      <c r="A161" s="25" t="s">
        <v>314</v>
      </c>
      <c r="B161" s="25" t="s">
        <v>315</v>
      </c>
      <c r="C161" s="25" t="s">
        <v>312</v>
      </c>
      <c r="D161" s="26" t="s">
        <v>316</v>
      </c>
      <c r="E161" s="26" t="str">
        <f>E323</f>
        <v>Програма Сумської міської територіальної громади «Милосердя» на 2022-2024 роки</v>
      </c>
      <c r="F161" s="26" t="str">
        <f>F323</f>
        <v>ріш СМР від 24.11.2021 року № 2272-МР (зі змінами)</v>
      </c>
      <c r="G161" s="94">
        <f t="shared" si="3"/>
        <v>1978130</v>
      </c>
      <c r="H161" s="27">
        <v>1978130</v>
      </c>
      <c r="I161" s="27"/>
      <c r="J161" s="27"/>
      <c r="K161" s="141"/>
    </row>
    <row r="162" spans="1:12" s="31" customFormat="1" ht="135.75" customHeight="1">
      <c r="A162" s="25" t="s">
        <v>317</v>
      </c>
      <c r="B162" s="25" t="s">
        <v>318</v>
      </c>
      <c r="C162" s="25" t="s">
        <v>49</v>
      </c>
      <c r="D162" s="26" t="s">
        <v>319</v>
      </c>
      <c r="E162" s="26" t="str">
        <f>E323</f>
        <v>Програма Сумської міської територіальної громади «Милосердя» на 2022-2024 роки</v>
      </c>
      <c r="F162" s="26" t="str">
        <f>F323</f>
        <v>ріш СМР від 24.11.2021 року № 2272-МР (зі змінами)</v>
      </c>
      <c r="G162" s="94">
        <f t="shared" si="3"/>
        <v>101900</v>
      </c>
      <c r="H162" s="27">
        <v>101900</v>
      </c>
      <c r="I162" s="27"/>
      <c r="J162" s="27"/>
      <c r="K162" s="141"/>
      <c r="L162" s="30"/>
    </row>
    <row r="163" spans="1:12" s="31" customFormat="1" ht="154.5" customHeight="1" hidden="1">
      <c r="A163" s="25" t="s">
        <v>320</v>
      </c>
      <c r="B163" s="25" t="s">
        <v>321</v>
      </c>
      <c r="C163" s="25" t="s">
        <v>322</v>
      </c>
      <c r="D163" s="26" t="s">
        <v>323</v>
      </c>
      <c r="E163" s="35" t="str">
        <f>E330</f>
        <v>Програма економічного і соціального розвитку Сумської міської територіальної громади на 2023 рік</v>
      </c>
      <c r="F163" s="35" t="str">
        <f>F330</f>
        <v>ріш СМР від 14.12.2022 року № 3310-МР (зі змінами)</v>
      </c>
      <c r="G163" s="94">
        <f t="shared" si="3"/>
        <v>0</v>
      </c>
      <c r="H163" s="27"/>
      <c r="I163" s="27"/>
      <c r="J163" s="27"/>
      <c r="K163" s="141"/>
      <c r="L163" s="30"/>
    </row>
    <row r="164" spans="1:12" s="53" customFormat="1" ht="137.25" customHeight="1">
      <c r="A164" s="142" t="s">
        <v>324</v>
      </c>
      <c r="B164" s="145" t="s">
        <v>52</v>
      </c>
      <c r="C164" s="145" t="s">
        <v>49</v>
      </c>
      <c r="D164" s="146" t="s">
        <v>53</v>
      </c>
      <c r="E164" s="26" t="str">
        <f>E323</f>
        <v>Програма Сумської міської територіальної громади «Милосердя» на 2022-2024 роки</v>
      </c>
      <c r="F164" s="26" t="str">
        <f>F323</f>
        <v>ріш СМР від 24.11.2021 року № 2272-МР (зі змінами)</v>
      </c>
      <c r="G164" s="94">
        <f t="shared" si="3"/>
        <v>31047632</v>
      </c>
      <c r="H164" s="27">
        <f>11744788+196000+300000+175720+100000+500000+150000+37674+600000+200000+150000+90000+44000+20000+300000+35000+9945000+50000+5000000+500000+100000+630000+1000000+15000+14494+516000-286920+50000-236114+300000-1193010</f>
        <v>31047632</v>
      </c>
      <c r="I164" s="27">
        <f>17735-17735</f>
        <v>0</v>
      </c>
      <c r="J164" s="27">
        <f>17735-17735</f>
        <v>0</v>
      </c>
      <c r="K164" s="141"/>
      <c r="L164" s="52"/>
    </row>
    <row r="165" spans="1:12" s="53" customFormat="1" ht="162" customHeight="1">
      <c r="A165" s="142"/>
      <c r="B165" s="145"/>
      <c r="C165" s="145"/>
      <c r="D165" s="146"/>
      <c r="E165" s="26" t="str">
        <f>E334</f>
        <v>Програма Сумської міської територіальної громади «Соціальна підтримка Захисників і Захисниць України та членів їх сімей» на 2022-2024 роки»</v>
      </c>
      <c r="F165" s="26" t="str">
        <f>F334</f>
        <v>ріш СМР від 24.11.2021 року № 2273-МР (зі змінами)</v>
      </c>
      <c r="G165" s="94">
        <f t="shared" si="3"/>
        <v>249278913</v>
      </c>
      <c r="H165" s="27">
        <f>237738512+850+69245+200000+1662100+60000+200000+2802000+160000+1275400+1250000-40400+1940400+720296+47500+1046500+146510</f>
        <v>249278913</v>
      </c>
      <c r="I165" s="27"/>
      <c r="J165" s="27"/>
      <c r="K165" s="141"/>
      <c r="L165" s="52"/>
    </row>
    <row r="166" spans="1:12" s="31" customFormat="1" ht="143.25" customHeight="1" hidden="1">
      <c r="A166" s="142"/>
      <c r="B166" s="145"/>
      <c r="C166" s="145"/>
      <c r="D166" s="146"/>
      <c r="E166" s="35" t="s">
        <v>325</v>
      </c>
      <c r="F166" s="26" t="s">
        <v>326</v>
      </c>
      <c r="G166" s="94">
        <f t="shared" si="3"/>
        <v>0</v>
      </c>
      <c r="H166" s="27"/>
      <c r="I166" s="27"/>
      <c r="J166" s="27"/>
      <c r="K166" s="141"/>
      <c r="L166" s="30"/>
    </row>
    <row r="167" spans="1:12" s="31" customFormat="1" ht="170.25" customHeight="1">
      <c r="A167" s="25" t="s">
        <v>327</v>
      </c>
      <c r="B167" s="29" t="s">
        <v>109</v>
      </c>
      <c r="C167" s="29" t="s">
        <v>110</v>
      </c>
      <c r="D167" s="26" t="s">
        <v>111</v>
      </c>
      <c r="E167" s="26" t="str">
        <f>E335</f>
        <v>Програма підвищення енергоефективності в бюджетній сфері Сумської міської територіальної громади на 2022-2024 роки</v>
      </c>
      <c r="F167" s="26" t="str">
        <f>F335</f>
        <v>ріш СМР від 26.01.2022 року № 2715-МР (зі змінами)</v>
      </c>
      <c r="G167" s="94">
        <f t="shared" si="3"/>
        <v>96000</v>
      </c>
      <c r="H167" s="27">
        <v>70000</v>
      </c>
      <c r="I167" s="27">
        <v>26000</v>
      </c>
      <c r="J167" s="27">
        <v>26000</v>
      </c>
      <c r="K167" s="141"/>
      <c r="L167" s="30"/>
    </row>
    <row r="168" spans="1:11" ht="115.5" customHeight="1" hidden="1">
      <c r="A168" s="142" t="s">
        <v>328</v>
      </c>
      <c r="B168" s="142" t="s">
        <v>144</v>
      </c>
      <c r="C168" s="142" t="s">
        <v>25</v>
      </c>
      <c r="D168" s="146" t="s">
        <v>145</v>
      </c>
      <c r="E168" s="26" t="str">
        <f>E323</f>
        <v>Програма Сумської міської територіальної громади «Милосердя» на 2022-2024 роки</v>
      </c>
      <c r="F168" s="26" t="str">
        <f>F323</f>
        <v>ріш СМР від 24.11.2021 року № 2272-МР (зі змінами)</v>
      </c>
      <c r="G168" s="94">
        <f t="shared" si="3"/>
        <v>0</v>
      </c>
      <c r="H168" s="27"/>
      <c r="I168" s="27"/>
      <c r="J168" s="27"/>
      <c r="K168" s="141"/>
    </row>
    <row r="169" spans="1:11" ht="152.25" customHeight="1" hidden="1">
      <c r="A169" s="142"/>
      <c r="B169" s="142"/>
      <c r="C169" s="142"/>
      <c r="D169" s="146"/>
      <c r="E169" s="26" t="str">
        <f>E334</f>
        <v>Програма Сумської міської територіальної громади «Соціальна підтримка Захисників і Захисниць України та членів їх сімей» на 2022-2024 роки»</v>
      </c>
      <c r="F169" s="26" t="str">
        <f>F334</f>
        <v>ріш СМР від 24.11.2021 року № 2273-МР (зі змінами)</v>
      </c>
      <c r="G169" s="94">
        <f t="shared" si="3"/>
        <v>0</v>
      </c>
      <c r="H169" s="27"/>
      <c r="I169" s="27"/>
      <c r="J169" s="27"/>
      <c r="K169" s="141"/>
    </row>
    <row r="170" spans="1:12" s="37" customFormat="1" ht="132" customHeight="1">
      <c r="A170" s="19"/>
      <c r="B170" s="19"/>
      <c r="C170" s="19"/>
      <c r="D170" s="20" t="s">
        <v>329</v>
      </c>
      <c r="E170" s="20"/>
      <c r="F170" s="20"/>
      <c r="G170" s="115">
        <f>G171+G172</f>
        <v>256823</v>
      </c>
      <c r="H170" s="22">
        <f>H171+H172</f>
        <v>256823</v>
      </c>
      <c r="I170" s="22">
        <f>I171+I172</f>
        <v>0</v>
      </c>
      <c r="J170" s="22">
        <f>J171+J172</f>
        <v>0</v>
      </c>
      <c r="K170" s="141"/>
      <c r="L170" s="36"/>
    </row>
    <row r="171" spans="1:12" s="37" customFormat="1" ht="281.25" customHeight="1">
      <c r="A171" s="25" t="s">
        <v>330</v>
      </c>
      <c r="B171" s="25" t="s">
        <v>331</v>
      </c>
      <c r="C171" s="25" t="s">
        <v>36</v>
      </c>
      <c r="D171" s="26" t="s">
        <v>332</v>
      </c>
      <c r="E171" s="26" t="str">
        <f>E326</f>
        <v>Програма з реалізації Конвенції ООН про права дитини Сумської міської територіальної громади на 2022-2024 роки </v>
      </c>
      <c r="F171" s="26" t="str">
        <f>F326</f>
        <v>ріш СМР від 29.09.2021 року № 1604-МР (зі змінами)</v>
      </c>
      <c r="G171" s="94">
        <f>H171+I171</f>
        <v>105000</v>
      </c>
      <c r="H171" s="27">
        <v>105000</v>
      </c>
      <c r="I171" s="27"/>
      <c r="J171" s="27"/>
      <c r="K171" s="141"/>
      <c r="L171" s="36"/>
    </row>
    <row r="172" spans="1:11" ht="150.75" customHeight="1">
      <c r="A172" s="25" t="s">
        <v>333</v>
      </c>
      <c r="B172" s="25" t="s">
        <v>334</v>
      </c>
      <c r="C172" s="25" t="s">
        <v>36</v>
      </c>
      <c r="D172" s="26" t="s">
        <v>335</v>
      </c>
      <c r="E172" s="26" t="str">
        <f>E326</f>
        <v>Програма з реалізації Конвенції ООН про права дитини Сумської міської територіальної громади на 2022-2024 роки </v>
      </c>
      <c r="F172" s="26" t="str">
        <f>F326</f>
        <v>ріш СМР від 29.09.2021 року № 1604-МР (зі змінами)</v>
      </c>
      <c r="G172" s="94">
        <f>H172+I172</f>
        <v>151823</v>
      </c>
      <c r="H172" s="27">
        <f>25525+123300+2998</f>
        <v>151823</v>
      </c>
      <c r="I172" s="27"/>
      <c r="J172" s="27"/>
      <c r="K172" s="141">
        <v>39</v>
      </c>
    </row>
    <row r="173" spans="1:14" ht="350.25" customHeight="1" hidden="1">
      <c r="A173" s="25" t="s">
        <v>336</v>
      </c>
      <c r="B173" s="25">
        <v>6083</v>
      </c>
      <c r="C173" s="25" t="s">
        <v>337</v>
      </c>
      <c r="D173" s="26" t="s">
        <v>338</v>
      </c>
      <c r="E173" s="26" t="str">
        <f>E326</f>
        <v>Програма з реалізації Конвенції ООН про права дитини Сумської міської територіальної громади на 2022-2024 роки </v>
      </c>
      <c r="F173" s="26" t="str">
        <f>F326</f>
        <v>ріш СМР від 29.09.2021 року № 1604-МР (зі змінами)</v>
      </c>
      <c r="G173" s="94">
        <f>H173+I173</f>
        <v>0</v>
      </c>
      <c r="H173" s="27"/>
      <c r="I173" s="27"/>
      <c r="J173" s="27"/>
      <c r="K173" s="141"/>
      <c r="N173" s="54"/>
    </row>
    <row r="174" spans="1:12" s="37" customFormat="1" ht="110.25" customHeight="1">
      <c r="A174" s="19"/>
      <c r="B174" s="19"/>
      <c r="C174" s="19"/>
      <c r="D174" s="20" t="s">
        <v>339</v>
      </c>
      <c r="E174" s="20"/>
      <c r="F174" s="20"/>
      <c r="G174" s="115">
        <f>G176+G177+G178+G179</f>
        <v>2744839</v>
      </c>
      <c r="H174" s="22">
        <f>H176+H177+H178+H179</f>
        <v>1562139</v>
      </c>
      <c r="I174" s="22">
        <f>I176+I177+I178+I179</f>
        <v>1182700</v>
      </c>
      <c r="J174" s="22">
        <f>J176+J177+J178+J179</f>
        <v>1182700</v>
      </c>
      <c r="K174" s="141"/>
      <c r="L174" s="36"/>
    </row>
    <row r="175" spans="1:11" ht="52.5" customHeight="1" hidden="1">
      <c r="A175" s="25" t="s">
        <v>340</v>
      </c>
      <c r="B175" s="25" t="s">
        <v>15</v>
      </c>
      <c r="C175" s="25" t="s">
        <v>16</v>
      </c>
      <c r="D175" s="26" t="s">
        <v>17</v>
      </c>
      <c r="E175" s="26" t="str">
        <f>E314</f>
        <v>Програма «Воєнний стан: інформування Сумської міської територіальної громади» на 2023 рік</v>
      </c>
      <c r="F175" s="26" t="str">
        <f>F314</f>
        <v>ріш СМР від 30.11.2022 року № 3241-МР (зі змінами)</v>
      </c>
      <c r="G175" s="94">
        <f aca="true" t="shared" si="4" ref="G175:G182">H175+I175</f>
        <v>0</v>
      </c>
      <c r="H175" s="27"/>
      <c r="I175" s="27"/>
      <c r="J175" s="27"/>
      <c r="K175" s="141"/>
    </row>
    <row r="176" spans="1:11" ht="147" customHeight="1">
      <c r="A176" s="25" t="s">
        <v>341</v>
      </c>
      <c r="B176" s="25">
        <v>1080</v>
      </c>
      <c r="C176" s="25" t="s">
        <v>168</v>
      </c>
      <c r="D176" s="26" t="s">
        <v>342</v>
      </c>
      <c r="E176" s="26" t="str">
        <f>E324</f>
        <v>Цільова комплексна Програма розвитку культури  Сумської міської територіальної громади на 2022 - 2024 роки</v>
      </c>
      <c r="F176" s="26" t="str">
        <f>F324</f>
        <v>ріш СМР від 26.01.2022 року № 2714 -МР</v>
      </c>
      <c r="G176" s="94">
        <f t="shared" si="4"/>
        <v>285660</v>
      </c>
      <c r="H176" s="27">
        <f>16000+19660</f>
        <v>35660</v>
      </c>
      <c r="I176" s="27">
        <v>250000</v>
      </c>
      <c r="J176" s="27">
        <v>250000</v>
      </c>
      <c r="K176" s="141"/>
    </row>
    <row r="177" spans="1:11" ht="150.75" customHeight="1">
      <c r="A177" s="25" t="s">
        <v>343</v>
      </c>
      <c r="B177" s="25" t="s">
        <v>344</v>
      </c>
      <c r="C177" s="25" t="s">
        <v>345</v>
      </c>
      <c r="D177" s="26" t="s">
        <v>346</v>
      </c>
      <c r="E177" s="26" t="str">
        <f>E324</f>
        <v>Цільова комплексна Програма розвитку культури  Сумської міської територіальної громади на 2022 - 2024 роки</v>
      </c>
      <c r="F177" s="26" t="str">
        <f>F324</f>
        <v>ріш СМР від 26.01.2022 року № 2714 -МР</v>
      </c>
      <c r="G177" s="94">
        <f t="shared" si="4"/>
        <v>562700</v>
      </c>
      <c r="H177" s="27">
        <f>230000</f>
        <v>230000</v>
      </c>
      <c r="I177" s="27">
        <f>298000+34700</f>
        <v>332700</v>
      </c>
      <c r="J177" s="27">
        <f>298000+34700</f>
        <v>332700</v>
      </c>
      <c r="K177" s="141"/>
    </row>
    <row r="178" spans="1:11" ht="153" customHeight="1">
      <c r="A178" s="25" t="s">
        <v>347</v>
      </c>
      <c r="B178" s="25">
        <v>4060</v>
      </c>
      <c r="C178" s="25" t="s">
        <v>56</v>
      </c>
      <c r="D178" s="26" t="s">
        <v>348</v>
      </c>
      <c r="E178" s="26" t="str">
        <f>E324</f>
        <v>Цільова комплексна Програма розвитку культури  Сумської міської територіальної громади на 2022 - 2024 роки</v>
      </c>
      <c r="F178" s="26" t="str">
        <f>F324</f>
        <v>ріш СМР від 26.01.2022 року № 2714 -МР</v>
      </c>
      <c r="G178" s="94">
        <f t="shared" si="4"/>
        <v>880479</v>
      </c>
      <c r="H178" s="27">
        <f>100000+100000+34980+25500+19999</f>
        <v>280479</v>
      </c>
      <c r="I178" s="27">
        <v>600000</v>
      </c>
      <c r="J178" s="27">
        <v>600000</v>
      </c>
      <c r="K178" s="141"/>
    </row>
    <row r="179" spans="1:11" ht="162.75" customHeight="1">
      <c r="A179" s="25" t="s">
        <v>349</v>
      </c>
      <c r="B179" s="25" t="s">
        <v>63</v>
      </c>
      <c r="C179" s="25" t="s">
        <v>60</v>
      </c>
      <c r="D179" s="26" t="s">
        <v>64</v>
      </c>
      <c r="E179" s="26" t="str">
        <f>E324</f>
        <v>Цільова комплексна Програма розвитку культури  Сумської міської територіальної громади на 2022 - 2024 роки</v>
      </c>
      <c r="F179" s="26" t="str">
        <f>F324</f>
        <v>ріш СМР від 26.01.2022 року № 2714 -МР</v>
      </c>
      <c r="G179" s="94">
        <f t="shared" si="4"/>
        <v>1016000</v>
      </c>
      <c r="H179" s="27">
        <f>1260000+6000-250000</f>
        <v>1016000</v>
      </c>
      <c r="I179" s="27"/>
      <c r="J179" s="27"/>
      <c r="K179" s="141"/>
    </row>
    <row r="180" spans="1:11" ht="148.5" customHeight="1" hidden="1">
      <c r="A180" s="25" t="s">
        <v>350</v>
      </c>
      <c r="B180" s="25">
        <v>7324</v>
      </c>
      <c r="C180" s="25" t="s">
        <v>204</v>
      </c>
      <c r="D180" s="26" t="s">
        <v>351</v>
      </c>
      <c r="E180" s="26" t="str">
        <f>E324</f>
        <v>Цільова комплексна Програма розвитку культури  Сумської міської територіальної громади на 2022 - 2024 роки</v>
      </c>
      <c r="F180" s="26" t="str">
        <f>F324</f>
        <v>ріш СМР від 26.01.2022 року № 2714 -МР</v>
      </c>
      <c r="G180" s="94">
        <f t="shared" si="4"/>
        <v>0</v>
      </c>
      <c r="H180" s="27"/>
      <c r="I180" s="27"/>
      <c r="J180" s="27"/>
      <c r="K180" s="141"/>
    </row>
    <row r="181" spans="1:11" ht="168" customHeight="1" hidden="1">
      <c r="A181" s="25" t="s">
        <v>352</v>
      </c>
      <c r="B181" s="25" t="s">
        <v>109</v>
      </c>
      <c r="C181" s="25" t="s">
        <v>110</v>
      </c>
      <c r="D181" s="26" t="s">
        <v>111</v>
      </c>
      <c r="E181" s="26" t="str">
        <f>E335</f>
        <v>Програма підвищення енергоефективності в бюджетній сфері Сумської міської територіальної громади на 2022-2024 роки</v>
      </c>
      <c r="F181" s="26" t="str">
        <f>F335</f>
        <v>ріш СМР від 26.01.2022 року № 2715-МР (зі змінами)</v>
      </c>
      <c r="G181" s="94">
        <f t="shared" si="4"/>
        <v>0</v>
      </c>
      <c r="H181" s="27"/>
      <c r="I181" s="27"/>
      <c r="J181" s="27"/>
      <c r="K181" s="141"/>
    </row>
    <row r="182" spans="1:11" ht="156.75" customHeight="1" hidden="1">
      <c r="A182" s="25" t="s">
        <v>353</v>
      </c>
      <c r="B182" s="25">
        <v>8340</v>
      </c>
      <c r="C182" s="25" t="s">
        <v>135</v>
      </c>
      <c r="D182" s="26" t="s">
        <v>136</v>
      </c>
      <c r="E182" s="35" t="str">
        <f>E333</f>
        <v>Програма охорони навколишнього природного середовища Сумської міської територіальної громади на 2022-2024 роки</v>
      </c>
      <c r="F182" s="35" t="str">
        <f>F333</f>
        <v>ріш ВК від 27.05.2022 № 162 (зі змінами)</v>
      </c>
      <c r="G182" s="94">
        <f t="shared" si="4"/>
        <v>0</v>
      </c>
      <c r="H182" s="27"/>
      <c r="I182" s="27"/>
      <c r="J182" s="27"/>
      <c r="K182" s="141"/>
    </row>
    <row r="183" spans="1:12" s="37" customFormat="1" ht="124.5" customHeight="1">
      <c r="A183" s="19"/>
      <c r="B183" s="19"/>
      <c r="C183" s="19"/>
      <c r="D183" s="20" t="s">
        <v>354</v>
      </c>
      <c r="E183" s="20"/>
      <c r="F183" s="20"/>
      <c r="G183" s="115">
        <f>SUM(G184:G235)</f>
        <v>984064685.61</v>
      </c>
      <c r="H183" s="115">
        <f>SUM(H184:H235)</f>
        <v>380966886.6</v>
      </c>
      <c r="I183" s="115">
        <f>SUM(I184:I235)</f>
        <v>603097799.01</v>
      </c>
      <c r="J183" s="115">
        <f>SUM(J184:J235)</f>
        <v>162506566.01</v>
      </c>
      <c r="K183" s="141"/>
      <c r="L183" s="36"/>
    </row>
    <row r="184" spans="1:11" ht="180.75" customHeight="1">
      <c r="A184" s="25" t="s">
        <v>355</v>
      </c>
      <c r="B184" s="25" t="s">
        <v>15</v>
      </c>
      <c r="C184" s="25" t="s">
        <v>16</v>
      </c>
      <c r="D184" s="26" t="s">
        <v>17</v>
      </c>
      <c r="E184" s="26" t="str">
        <f>E314</f>
        <v>Програма «Воєнний стан: інформування Сумської міської територіальної громади» на 2023 рік</v>
      </c>
      <c r="F184" s="26" t="str">
        <f>F314</f>
        <v>ріш СМР від 30.11.2022 року № 3241-МР (зі змінами)</v>
      </c>
      <c r="G184" s="94">
        <f aca="true" t="shared" si="5" ref="G184:G236">H184+I184</f>
        <v>90000</v>
      </c>
      <c r="H184" s="27">
        <v>90000</v>
      </c>
      <c r="I184" s="27"/>
      <c r="J184" s="27"/>
      <c r="K184" s="141"/>
    </row>
    <row r="185" spans="1:11" ht="186" customHeight="1" hidden="1">
      <c r="A185" s="25" t="s">
        <v>356</v>
      </c>
      <c r="B185" s="25" t="s">
        <v>321</v>
      </c>
      <c r="C185" s="25" t="s">
        <v>322</v>
      </c>
      <c r="D185" s="26" t="s">
        <v>323</v>
      </c>
      <c r="E185"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185" s="26" t="str">
        <f>F318</f>
        <v>ріш СМР від 26.01.2022 року № 2718- МР (зі змінами)</v>
      </c>
      <c r="G185" s="94">
        <f t="shared" si="5"/>
        <v>0</v>
      </c>
      <c r="H185" s="27">
        <f>100000-100000</f>
        <v>0</v>
      </c>
      <c r="I185" s="27"/>
      <c r="J185" s="27"/>
      <c r="K185" s="141"/>
    </row>
    <row r="186" spans="1:11" ht="186" customHeight="1">
      <c r="A186" s="25" t="s">
        <v>357</v>
      </c>
      <c r="B186" s="25" t="s">
        <v>358</v>
      </c>
      <c r="C186" s="25" t="s">
        <v>337</v>
      </c>
      <c r="D186" s="26" t="s">
        <v>359</v>
      </c>
      <c r="E186"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186" s="26" t="str">
        <f>F318</f>
        <v>ріш СМР від 26.01.2022 року № 2718- МР (зі змінами)</v>
      </c>
      <c r="G186" s="94">
        <f t="shared" si="5"/>
        <v>3068051</v>
      </c>
      <c r="H186" s="27"/>
      <c r="I186" s="27">
        <f>3000000+1868051-300000-2000000+2000000-1200000-300000</f>
        <v>3068051</v>
      </c>
      <c r="J186" s="27">
        <f>3000000+1868051-300000-2000000+2000000-1200000-300000</f>
        <v>3068051</v>
      </c>
      <c r="K186" s="141"/>
    </row>
    <row r="187" spans="1:11" ht="180.75" customHeight="1">
      <c r="A187" s="145" t="s">
        <v>360</v>
      </c>
      <c r="B187" s="145" t="s">
        <v>361</v>
      </c>
      <c r="C187" s="142" t="s">
        <v>362</v>
      </c>
      <c r="D187" s="146" t="s">
        <v>363</v>
      </c>
      <c r="E187"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187" s="26" t="str">
        <f>F318</f>
        <v>ріш СМР від 26.01.2022 року № 2718- МР (зі змінами)</v>
      </c>
      <c r="G187" s="94">
        <f t="shared" si="5"/>
        <v>54540800</v>
      </c>
      <c r="H187" s="27">
        <f>450000+140000+36000000+40000+500000+299000+3000000+4111800+5000000+5000000</f>
        <v>54540800</v>
      </c>
      <c r="I187" s="27"/>
      <c r="J187" s="27"/>
      <c r="K187" s="141"/>
    </row>
    <row r="188" spans="1:11" ht="182.25" customHeight="1" hidden="1">
      <c r="A188" s="145"/>
      <c r="B188" s="145"/>
      <c r="C188" s="142"/>
      <c r="D188" s="146"/>
      <c r="E188" s="35" t="s">
        <v>274</v>
      </c>
      <c r="F188" s="26" t="s">
        <v>275</v>
      </c>
      <c r="G188" s="94">
        <f t="shared" si="5"/>
        <v>0</v>
      </c>
      <c r="H188" s="27"/>
      <c r="I188" s="27"/>
      <c r="J188" s="27"/>
      <c r="K188" s="141"/>
    </row>
    <row r="189" spans="1:11" ht="158.25" customHeight="1" hidden="1">
      <c r="A189" s="29" t="s">
        <v>364</v>
      </c>
      <c r="B189" s="29" t="s">
        <v>365</v>
      </c>
      <c r="C189" s="25" t="s">
        <v>362</v>
      </c>
      <c r="D189" s="26" t="s">
        <v>366</v>
      </c>
      <c r="E189" s="35"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189" s="35" t="str">
        <f>F318</f>
        <v>ріш СМР від 26.01.2022 року № 2718- МР (зі змінами)</v>
      </c>
      <c r="G189" s="94">
        <f t="shared" si="5"/>
        <v>0</v>
      </c>
      <c r="H189" s="27"/>
      <c r="I189" s="27"/>
      <c r="J189" s="27"/>
      <c r="K189" s="141"/>
    </row>
    <row r="190" spans="1:11" ht="132" customHeight="1">
      <c r="A190" s="29" t="s">
        <v>367</v>
      </c>
      <c r="B190" s="29" t="s">
        <v>368</v>
      </c>
      <c r="C190" s="25" t="s">
        <v>362</v>
      </c>
      <c r="D190" s="26" t="s">
        <v>369</v>
      </c>
      <c r="E190" s="35" t="str">
        <f>E338</f>
        <v>Цільова програма капітального ремонту, модернізації, заміни та диспетчеризації ліфтів на 2022-2024 роки </v>
      </c>
      <c r="F190" s="35" t="str">
        <f>F338</f>
        <v>ріш СМР від 26.01.2022 року № 2717-МР </v>
      </c>
      <c r="G190" s="94">
        <f t="shared" si="5"/>
        <v>200000</v>
      </c>
      <c r="H190" s="27">
        <v>50000</v>
      </c>
      <c r="I190" s="27">
        <v>150000</v>
      </c>
      <c r="J190" s="27">
        <v>150000</v>
      </c>
      <c r="K190" s="141"/>
    </row>
    <row r="191" spans="1:11" ht="159" customHeight="1" hidden="1">
      <c r="A191" s="29" t="s">
        <v>370</v>
      </c>
      <c r="B191" s="29" t="s">
        <v>371</v>
      </c>
      <c r="C191" s="25" t="s">
        <v>362</v>
      </c>
      <c r="D191" s="26" t="s">
        <v>372</v>
      </c>
      <c r="E191" s="26" t="s">
        <v>373</v>
      </c>
      <c r="F191" s="26" t="s">
        <v>23</v>
      </c>
      <c r="G191" s="94">
        <f t="shared" si="5"/>
        <v>0</v>
      </c>
      <c r="H191" s="27"/>
      <c r="I191" s="27"/>
      <c r="J191" s="27"/>
      <c r="K191" s="141"/>
    </row>
    <row r="192" spans="1:11" ht="165" customHeight="1">
      <c r="A192" s="25" t="s">
        <v>374</v>
      </c>
      <c r="B192" s="25" t="s">
        <v>375</v>
      </c>
      <c r="C192" s="25" t="s">
        <v>362</v>
      </c>
      <c r="D192" s="26" t="s">
        <v>376</v>
      </c>
      <c r="E192"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192" s="26" t="str">
        <f>F318</f>
        <v>ріш СМР від 26.01.2022 року № 2718- МР (зі змінами)</v>
      </c>
      <c r="G192" s="94">
        <f t="shared" si="5"/>
        <v>450000</v>
      </c>
      <c r="H192" s="27">
        <f>50000+250000+150000</f>
        <v>450000</v>
      </c>
      <c r="I192" s="27"/>
      <c r="J192" s="27"/>
      <c r="K192" s="141"/>
    </row>
    <row r="193" spans="1:12" s="31" customFormat="1" ht="186" customHeight="1">
      <c r="A193" s="29" t="s">
        <v>377</v>
      </c>
      <c r="B193" s="29" t="s">
        <v>378</v>
      </c>
      <c r="C193" s="25" t="s">
        <v>362</v>
      </c>
      <c r="D193" s="32" t="s">
        <v>379</v>
      </c>
      <c r="E193"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193" s="26" t="str">
        <f>F318</f>
        <v>ріш СМР від 26.01.2022 року № 2718- МР (зі змінами)</v>
      </c>
      <c r="G193" s="94">
        <f t="shared" si="5"/>
        <v>881620</v>
      </c>
      <c r="H193" s="27">
        <f>380000+203000+298620</f>
        <v>881620</v>
      </c>
      <c r="I193" s="27"/>
      <c r="J193" s="27"/>
      <c r="K193" s="141"/>
      <c r="L193" s="30"/>
    </row>
    <row r="194" spans="1:11" ht="181.5" customHeight="1">
      <c r="A194" s="145" t="s">
        <v>380</v>
      </c>
      <c r="B194" s="145" t="s">
        <v>381</v>
      </c>
      <c r="C194" s="142" t="s">
        <v>362</v>
      </c>
      <c r="D194" s="144" t="s">
        <v>382</v>
      </c>
      <c r="E194"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194" s="26" t="str">
        <f>F318</f>
        <v>ріш СМР від 26.01.2022 року № 2718- МР (зі змінами)</v>
      </c>
      <c r="G194" s="94">
        <f t="shared" si="5"/>
        <v>268321688</v>
      </c>
      <c r="H194" s="27">
        <f>263985500+1250000-H196+5000000+1800000+4454550-95000+1000000+20000000-1000000-299000-8000000-707000-19550000+500000-2310000+4500000-2000000-5000000-99000-285000-1773839.4</f>
        <v>261271210.6</v>
      </c>
      <c r="I194" s="27">
        <f>2106700+2814593+1000000+1200000-70815.6</f>
        <v>7050477.4</v>
      </c>
      <c r="J194" s="27">
        <f>2106700+2814593+1000000+1200000-70815.6</f>
        <v>7050477.4</v>
      </c>
      <c r="K194" s="141"/>
    </row>
    <row r="195" spans="1:11" ht="153.75" customHeight="1" hidden="1">
      <c r="A195" s="145"/>
      <c r="B195" s="145"/>
      <c r="C195" s="142"/>
      <c r="D195" s="144"/>
      <c r="E195" s="35" t="str">
        <f>E333</f>
        <v>Програма охорони навколишнього природного середовища Сумської міської територіальної громади на 2022-2024 роки</v>
      </c>
      <c r="F195" s="35" t="str">
        <f>F333</f>
        <v>ріш ВК від 27.05.2022 № 162 (зі змінами)</v>
      </c>
      <c r="G195" s="94">
        <f t="shared" si="5"/>
        <v>0</v>
      </c>
      <c r="H195" s="27"/>
      <c r="I195" s="27"/>
      <c r="J195" s="27"/>
      <c r="K195" s="141"/>
    </row>
    <row r="196" spans="1:11" ht="241.5" customHeight="1">
      <c r="A196" s="145"/>
      <c r="B196" s="145"/>
      <c r="C196" s="142"/>
      <c r="D196" s="144"/>
      <c r="E196" s="35" t="str">
        <f>E343</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v>
      </c>
      <c r="F196" s="35" t="str">
        <f>F343</f>
        <v>ріш СМР від 29.09.2021 року № 1603 - МР</v>
      </c>
      <c r="G196" s="94">
        <f t="shared" si="5"/>
        <v>100000</v>
      </c>
      <c r="H196" s="27">
        <f>200000-100000</f>
        <v>100000</v>
      </c>
      <c r="I196" s="27"/>
      <c r="J196" s="27"/>
      <c r="K196" s="141"/>
    </row>
    <row r="197" spans="1:11" ht="400.5" customHeight="1" hidden="1">
      <c r="A197" s="29" t="s">
        <v>383</v>
      </c>
      <c r="B197" s="29">
        <v>6071</v>
      </c>
      <c r="C197" s="25" t="s">
        <v>384</v>
      </c>
      <c r="D197" s="32" t="s">
        <v>385</v>
      </c>
      <c r="E197" s="28" t="str">
        <f>E345</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7" s="28" t="str">
        <f>F345</f>
        <v>від 26.01.2022 року № 2712-МР (зі змінами)</v>
      </c>
      <c r="G197" s="94">
        <f t="shared" si="5"/>
        <v>0</v>
      </c>
      <c r="H197" s="27"/>
      <c r="I197" s="27"/>
      <c r="J197" s="27"/>
      <c r="K197" s="45"/>
    </row>
    <row r="198" spans="1:11" ht="398.25" customHeight="1" hidden="1">
      <c r="A198" s="29" t="s">
        <v>386</v>
      </c>
      <c r="B198" s="25">
        <v>6083</v>
      </c>
      <c r="C198" s="25" t="s">
        <v>337</v>
      </c>
      <c r="D198" s="26" t="s">
        <v>338</v>
      </c>
      <c r="E198" s="26" t="str">
        <f>E326</f>
        <v>Програма з реалізації Конвенції ООН про права дитини Сумської міської територіальної громади на 2022-2024 роки </v>
      </c>
      <c r="F198" s="26" t="str">
        <f>F326</f>
        <v>ріш СМР від 29.09.2021 року № 1604-МР (зі змінами)</v>
      </c>
      <c r="G198" s="94">
        <f t="shared" si="5"/>
        <v>0</v>
      </c>
      <c r="H198" s="27"/>
      <c r="I198" s="27"/>
      <c r="J198" s="27"/>
      <c r="K198" s="45"/>
    </row>
    <row r="199" spans="1:11" ht="398.25" customHeight="1">
      <c r="A199" s="29" t="s">
        <v>608</v>
      </c>
      <c r="B199" s="25" t="s">
        <v>609</v>
      </c>
      <c r="C199" s="25" t="s">
        <v>337</v>
      </c>
      <c r="D199" s="26" t="s">
        <v>610</v>
      </c>
      <c r="E199"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199" s="26" t="str">
        <f>F318</f>
        <v>ріш СМР від 26.01.2022 року № 2718- МР (зі змінами)</v>
      </c>
      <c r="G199" s="94">
        <f>H199+I199</f>
        <v>285000</v>
      </c>
      <c r="H199" s="27">
        <f>5500000-5500000</f>
        <v>0</v>
      </c>
      <c r="I199" s="27">
        <v>285000</v>
      </c>
      <c r="J199" s="27">
        <v>285000</v>
      </c>
      <c r="K199" s="45"/>
    </row>
    <row r="200" spans="1:11" ht="172.5" customHeight="1">
      <c r="A200" s="145" t="s">
        <v>387</v>
      </c>
      <c r="B200" s="145" t="s">
        <v>388</v>
      </c>
      <c r="C200" s="142" t="s">
        <v>384</v>
      </c>
      <c r="D200" s="144" t="s">
        <v>389</v>
      </c>
      <c r="E200"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00" s="26" t="str">
        <f>F318</f>
        <v>ріш СМР від 26.01.2022 року № 2718- МР (зі змінами)</v>
      </c>
      <c r="G200" s="94">
        <f t="shared" si="5"/>
        <v>18910124</v>
      </c>
      <c r="H200" s="27">
        <f>4817956+500000+470235+82578+500000+139581+71043+95000-121630+655544-500000+868058+400000-400000+1000000-1050000+99000+300000</f>
        <v>7927365</v>
      </c>
      <c r="I200" s="27">
        <f>4836259+6146500+840000-840000</f>
        <v>10982759</v>
      </c>
      <c r="J200" s="27">
        <f>6146500+840000-840000</f>
        <v>6146500</v>
      </c>
      <c r="K200" s="141">
        <v>40</v>
      </c>
    </row>
    <row r="201" spans="1:11" ht="177" customHeight="1" hidden="1">
      <c r="A201" s="145"/>
      <c r="B201" s="145"/>
      <c r="C201" s="142"/>
      <c r="D201" s="144"/>
      <c r="E201" s="35" t="str">
        <f>E330</f>
        <v>Програма економічного і соціального розвитку Сумської міської територіальної громади на 2023 рік</v>
      </c>
      <c r="F201" s="35" t="str">
        <f>F330</f>
        <v>ріш СМР від 14.12.2022 року № 3310-МР (зі змінами)</v>
      </c>
      <c r="G201" s="94">
        <f t="shared" si="5"/>
        <v>0</v>
      </c>
      <c r="H201" s="27"/>
      <c r="I201" s="27"/>
      <c r="J201" s="27"/>
      <c r="K201" s="141"/>
    </row>
    <row r="202" spans="1:11" ht="255" customHeight="1">
      <c r="A202" s="145"/>
      <c r="B202" s="145"/>
      <c r="C202" s="142"/>
      <c r="D202" s="144"/>
      <c r="E202" s="93" t="str">
        <f>E347</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v>
      </c>
      <c r="F202" s="93" t="str">
        <f>F347</f>
        <v>ріш СМР від 23.11.2022 року № 3206 - МР</v>
      </c>
      <c r="G202" s="94">
        <f>H202+I202</f>
        <v>100000</v>
      </c>
      <c r="H202" s="27">
        <f>500000-100000-300000</f>
        <v>100000</v>
      </c>
      <c r="I202" s="27"/>
      <c r="J202" s="27"/>
      <c r="K202" s="141"/>
    </row>
    <row r="203" spans="1:11" ht="169.5" customHeight="1">
      <c r="A203" s="145"/>
      <c r="B203" s="145"/>
      <c r="C203" s="142"/>
      <c r="D203" s="144"/>
      <c r="E203" s="26" t="str">
        <f>E332</f>
        <v>Програма організації діяльності голів квартальних комітетів кварталів приватного сектора  міста Суми та фінансове забезпечення їх роботи на 2022-2024 роки </v>
      </c>
      <c r="F203" s="26" t="str">
        <f>F332</f>
        <v>ріш ВК від 11.05.2022 № 139</v>
      </c>
      <c r="G203" s="94">
        <f t="shared" si="5"/>
        <v>722324</v>
      </c>
      <c r="H203" s="27">
        <f>698724+23600</f>
        <v>722324</v>
      </c>
      <c r="I203" s="27"/>
      <c r="J203" s="27"/>
      <c r="K203" s="141"/>
    </row>
    <row r="204" spans="1:11" ht="162.75" customHeight="1" hidden="1">
      <c r="A204" s="143" t="s">
        <v>390</v>
      </c>
      <c r="B204" s="142" t="s">
        <v>391</v>
      </c>
      <c r="C204" s="142" t="s">
        <v>204</v>
      </c>
      <c r="D204" s="144" t="s">
        <v>392</v>
      </c>
      <c r="E204" s="35" t="str">
        <f>E333</f>
        <v>Програма охорони навколишнього природного середовища Сумської міської територіальної громади на 2022-2024 роки</v>
      </c>
      <c r="F204" s="35" t="str">
        <f>F333</f>
        <v>ріш ВК від 27.05.2022 № 162 (зі змінами)</v>
      </c>
      <c r="G204" s="94">
        <f t="shared" si="5"/>
        <v>0</v>
      </c>
      <c r="H204" s="27"/>
      <c r="I204" s="27"/>
      <c r="J204" s="27"/>
      <c r="K204" s="141"/>
    </row>
    <row r="205" spans="1:12" s="92" customFormat="1" ht="182.25" customHeight="1">
      <c r="A205" s="143"/>
      <c r="B205" s="143"/>
      <c r="C205" s="143"/>
      <c r="D205" s="144"/>
      <c r="E205" s="93"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05" s="93" t="str">
        <f>F318</f>
        <v>ріш СМР від 26.01.2022 року № 2718- МР (зі змінами)</v>
      </c>
      <c r="G205" s="94">
        <f t="shared" si="5"/>
        <v>16043382</v>
      </c>
      <c r="H205" s="94"/>
      <c r="I205" s="94">
        <f>240241+3316301+360000+48840+5000000+400000+7100000-85000+100000+300000+300000+2700000-1500000-1000000-100000+4600000-183000-5554000</f>
        <v>16043382</v>
      </c>
      <c r="J205" s="94">
        <f>240241+3316301+360000+48840+5000000+400000+7100000-85000+100000+300000+300000+2700000-1500000-1000000-100000+4600000-183000-5554000</f>
        <v>16043382</v>
      </c>
      <c r="K205" s="141"/>
      <c r="L205" s="91"/>
    </row>
    <row r="206" spans="1:11" ht="186.75" customHeight="1">
      <c r="A206" s="143"/>
      <c r="B206" s="143"/>
      <c r="C206" s="143"/>
      <c r="D206" s="144"/>
      <c r="E206" s="35" t="str">
        <f>E333</f>
        <v>Програма охорони навколишнього природного середовища Сумської міської територіальної громади на 2022-2024 роки</v>
      </c>
      <c r="F206" s="35" t="str">
        <f>F333</f>
        <v>ріш ВК від 27.05.2022 № 162 (зі змінами)</v>
      </c>
      <c r="G206" s="94">
        <f t="shared" si="5"/>
        <v>40314752</v>
      </c>
      <c r="H206" s="27"/>
      <c r="I206" s="27">
        <f>5000000+1248666-240241+500000+50587+14000000+400000+7344000+683740+2506000+85000+3000000+183000+5554000</f>
        <v>40314752</v>
      </c>
      <c r="J206" s="27">
        <f>5000000+1248666-240241+500000+14000000+400000+50587+7344000+683740+2506000+85000+3000000+183000+5554000</f>
        <v>40314752</v>
      </c>
      <c r="K206" s="141"/>
    </row>
    <row r="207" spans="1:11" ht="168" customHeight="1">
      <c r="A207" s="142" t="s">
        <v>393</v>
      </c>
      <c r="B207" s="142" t="s">
        <v>394</v>
      </c>
      <c r="C207" s="142" t="s">
        <v>204</v>
      </c>
      <c r="D207" s="146" t="s">
        <v>395</v>
      </c>
      <c r="E207"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07" s="26" t="str">
        <f>F318</f>
        <v>ріш СМР від 26.01.2022 року № 2718- МР (зі змінами)</v>
      </c>
      <c r="G207" s="94">
        <f t="shared" si="5"/>
        <v>8129694</v>
      </c>
      <c r="H207" s="27"/>
      <c r="I207" s="27">
        <f>500000+146794+5000000-5000000+180000+76000+1499900+300000+707000+100000+300000+200000+4000000+120000</f>
        <v>8129694</v>
      </c>
      <c r="J207" s="27">
        <f>500000+146794+5000000-5000000+180000+76000+1499900+300000+707000+100000+300000+200000+4000000+120000</f>
        <v>8129694</v>
      </c>
      <c r="K207" s="141"/>
    </row>
    <row r="208" spans="1:11" ht="132.75" customHeight="1" hidden="1">
      <c r="A208" s="142"/>
      <c r="B208" s="142"/>
      <c r="C208" s="142"/>
      <c r="D208" s="146"/>
      <c r="E208" s="35" t="s">
        <v>274</v>
      </c>
      <c r="F208" s="26" t="s">
        <v>275</v>
      </c>
      <c r="G208" s="94">
        <f t="shared" si="5"/>
        <v>0</v>
      </c>
      <c r="H208" s="27"/>
      <c r="I208" s="27"/>
      <c r="J208" s="27"/>
      <c r="K208" s="141"/>
    </row>
    <row r="209" spans="1:11" ht="112.5" customHeight="1" hidden="1">
      <c r="A209" s="142"/>
      <c r="B209" s="142"/>
      <c r="C209" s="142"/>
      <c r="D209" s="146"/>
      <c r="E209" s="35"/>
      <c r="F209" s="26"/>
      <c r="G209" s="94">
        <f t="shared" si="5"/>
        <v>0</v>
      </c>
      <c r="H209" s="27"/>
      <c r="I209" s="27"/>
      <c r="J209" s="27"/>
      <c r="K209" s="141"/>
    </row>
    <row r="210" spans="1:11" ht="184.5" customHeight="1">
      <c r="A210" s="25" t="s">
        <v>396</v>
      </c>
      <c r="B210" s="25" t="s">
        <v>397</v>
      </c>
      <c r="C210" s="25" t="s">
        <v>204</v>
      </c>
      <c r="D210" s="26" t="s">
        <v>398</v>
      </c>
      <c r="E210"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10" s="26" t="str">
        <f>F318</f>
        <v>ріш СМР від 26.01.2022 року № 2718- МР (зі змінами)</v>
      </c>
      <c r="G210" s="94">
        <f t="shared" si="5"/>
        <v>9240110</v>
      </c>
      <c r="H210" s="27"/>
      <c r="I210" s="27">
        <f>5000000+4240110</f>
        <v>9240110</v>
      </c>
      <c r="J210" s="27">
        <f>5000000+4240110</f>
        <v>9240110</v>
      </c>
      <c r="K210" s="141"/>
    </row>
    <row r="211" spans="1:11" ht="177" customHeight="1" hidden="1">
      <c r="A211" s="25" t="s">
        <v>399</v>
      </c>
      <c r="B211" s="25" t="s">
        <v>400</v>
      </c>
      <c r="C211" s="25" t="s">
        <v>114</v>
      </c>
      <c r="D211" s="26" t="s">
        <v>267</v>
      </c>
      <c r="E211" s="35" t="s">
        <v>274</v>
      </c>
      <c r="F211" s="35" t="s">
        <v>274</v>
      </c>
      <c r="G211" s="94">
        <f t="shared" si="5"/>
        <v>0</v>
      </c>
      <c r="H211" s="27"/>
      <c r="I211" s="27"/>
      <c r="J211" s="27"/>
      <c r="K211" s="141"/>
    </row>
    <row r="212" spans="1:11" ht="409.5" customHeight="1" hidden="1">
      <c r="A212" s="25" t="s">
        <v>401</v>
      </c>
      <c r="B212" s="25">
        <v>7362</v>
      </c>
      <c r="C212" s="25" t="s">
        <v>114</v>
      </c>
      <c r="D212" s="32" t="s">
        <v>402</v>
      </c>
      <c r="E212" s="26" t="s">
        <v>373</v>
      </c>
      <c r="F212" s="26" t="s">
        <v>373</v>
      </c>
      <c r="G212" s="94">
        <f t="shared" si="5"/>
        <v>0</v>
      </c>
      <c r="H212" s="27"/>
      <c r="I212" s="27"/>
      <c r="J212" s="27"/>
      <c r="K212" s="141"/>
    </row>
    <row r="213" spans="1:11" ht="177" customHeight="1" hidden="1">
      <c r="A213" s="25" t="s">
        <v>403</v>
      </c>
      <c r="B213" s="25" t="s">
        <v>207</v>
      </c>
      <c r="C213" s="25" t="s">
        <v>114</v>
      </c>
      <c r="D213" s="26" t="s">
        <v>208</v>
      </c>
      <c r="E213"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13" s="26" t="str">
        <f>F318</f>
        <v>ріш СМР від 26.01.2022 року № 2718- МР (зі змінами)</v>
      </c>
      <c r="G213" s="94">
        <f t="shared" si="5"/>
        <v>0</v>
      </c>
      <c r="H213" s="27"/>
      <c r="I213" s="27"/>
      <c r="J213" s="27"/>
      <c r="K213" s="141"/>
    </row>
    <row r="214" spans="1:11" ht="239.25" customHeight="1">
      <c r="A214" s="90" t="s">
        <v>653</v>
      </c>
      <c r="B214" s="90" t="s">
        <v>654</v>
      </c>
      <c r="C214" s="90" t="s">
        <v>114</v>
      </c>
      <c r="D214" s="103" t="s">
        <v>655</v>
      </c>
      <c r="E214"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14" s="26" t="str">
        <f>F318</f>
        <v>ріш СМР від 26.01.2022 року № 2718- МР (зі змінами)</v>
      </c>
      <c r="G214" s="94">
        <f t="shared" si="5"/>
        <v>32000000</v>
      </c>
      <c r="H214" s="27">
        <v>5500000</v>
      </c>
      <c r="I214" s="27">
        <v>26500000</v>
      </c>
      <c r="J214" s="27">
        <v>26500000</v>
      </c>
      <c r="K214" s="141"/>
    </row>
    <row r="215" spans="1:11" ht="184.5" customHeight="1">
      <c r="A215" s="147" t="s">
        <v>626</v>
      </c>
      <c r="B215" s="147" t="s">
        <v>627</v>
      </c>
      <c r="C215" s="147" t="s">
        <v>114</v>
      </c>
      <c r="D215" s="148" t="s">
        <v>628</v>
      </c>
      <c r="E215" s="26" t="s">
        <v>543</v>
      </c>
      <c r="F215" s="26" t="s">
        <v>544</v>
      </c>
      <c r="G215" s="94">
        <f t="shared" si="5"/>
        <v>200000000</v>
      </c>
      <c r="H215" s="27"/>
      <c r="I215" s="27">
        <f>200000000</f>
        <v>200000000</v>
      </c>
      <c r="J215" s="27"/>
      <c r="K215" s="141"/>
    </row>
    <row r="216" spans="1:11" ht="184.5" customHeight="1">
      <c r="A216" s="143"/>
      <c r="B216" s="143"/>
      <c r="C216" s="143"/>
      <c r="D216" s="149"/>
      <c r="E216" s="35" t="str">
        <f>E333</f>
        <v>Програма охорони навколишнього природного середовища Сумської міської територіальної громади на 2022-2024 роки</v>
      </c>
      <c r="F216" s="35" t="str">
        <f>F333</f>
        <v>ріш ВК від 27.05.2022 № 162 (зі змінами)</v>
      </c>
      <c r="G216" s="94">
        <f t="shared" si="5"/>
        <v>200000000</v>
      </c>
      <c r="H216" s="27"/>
      <c r="I216" s="27">
        <v>200000000</v>
      </c>
      <c r="J216" s="27"/>
      <c r="K216" s="141"/>
    </row>
    <row r="217" spans="1:11" ht="277.5" customHeight="1">
      <c r="A217" s="89" t="s">
        <v>646</v>
      </c>
      <c r="B217" s="89" t="s">
        <v>644</v>
      </c>
      <c r="C217" s="89" t="s">
        <v>114</v>
      </c>
      <c r="D217" s="134" t="s">
        <v>645</v>
      </c>
      <c r="E217" s="35"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17" s="35" t="str">
        <f>F318</f>
        <v>ріш СМР від 26.01.2022 року № 2718- МР (зі змінами)</v>
      </c>
      <c r="G217" s="94">
        <f t="shared" si="5"/>
        <v>15622974</v>
      </c>
      <c r="H217" s="27"/>
      <c r="I217" s="27">
        <v>15622974</v>
      </c>
      <c r="J217" s="27"/>
      <c r="K217" s="141"/>
    </row>
    <row r="218" spans="1:11" ht="195" customHeight="1">
      <c r="A218" s="25" t="s">
        <v>640</v>
      </c>
      <c r="B218" s="25" t="s">
        <v>641</v>
      </c>
      <c r="C218" s="25" t="s">
        <v>98</v>
      </c>
      <c r="D218" s="130" t="s">
        <v>642</v>
      </c>
      <c r="E218"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18" s="26" t="str">
        <f>F318</f>
        <v>ріш СМР від 26.01.2022 року № 2718- МР (зі змінами)</v>
      </c>
      <c r="G218" s="94">
        <f t="shared" si="5"/>
        <v>3812355</v>
      </c>
      <c r="H218" s="27">
        <f>1967700+1844655</f>
        <v>3812355</v>
      </c>
      <c r="I218" s="27"/>
      <c r="J218" s="27"/>
      <c r="K218" s="141"/>
    </row>
    <row r="219" spans="1:12" s="111" customFormat="1" ht="185.25" customHeight="1">
      <c r="A219" s="109" t="s">
        <v>639</v>
      </c>
      <c r="B219" s="109" t="s">
        <v>476</v>
      </c>
      <c r="C219" s="109" t="s">
        <v>98</v>
      </c>
      <c r="D219" s="128" t="s">
        <v>477</v>
      </c>
      <c r="E219" s="128"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19" s="128" t="str">
        <f>F318</f>
        <v>ріш СМР від 26.01.2022 року № 2718- МР (зі змінами)</v>
      </c>
      <c r="G219" s="94">
        <f t="shared" si="5"/>
        <v>17709000</v>
      </c>
      <c r="H219" s="94"/>
      <c r="I219" s="94">
        <v>17709000</v>
      </c>
      <c r="J219" s="94"/>
      <c r="K219" s="141"/>
      <c r="L219" s="110"/>
    </row>
    <row r="220" spans="1:12" s="31" customFormat="1" ht="197.25" customHeight="1">
      <c r="A220" s="25" t="s">
        <v>404</v>
      </c>
      <c r="B220" s="25" t="s">
        <v>109</v>
      </c>
      <c r="C220" s="25" t="s">
        <v>110</v>
      </c>
      <c r="D220" s="26" t="s">
        <v>111</v>
      </c>
      <c r="E220"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20" s="26" t="str">
        <f>F318</f>
        <v>ріш СМР від 26.01.2022 року № 2718- МР (зі змінами)</v>
      </c>
      <c r="G220" s="94">
        <f t="shared" si="5"/>
        <v>1966786</v>
      </c>
      <c r="H220" s="27">
        <f>2800000+366786-1000000-200000</f>
        <v>1966786</v>
      </c>
      <c r="I220" s="27"/>
      <c r="J220" s="27"/>
      <c r="K220" s="141"/>
      <c r="L220" s="30"/>
    </row>
    <row r="221" spans="1:12" s="31" customFormat="1" ht="177" customHeight="1">
      <c r="A221" s="142" t="s">
        <v>405</v>
      </c>
      <c r="B221" s="142">
        <v>7670</v>
      </c>
      <c r="C221" s="142" t="s">
        <v>114</v>
      </c>
      <c r="D221" s="146" t="s">
        <v>115</v>
      </c>
      <c r="E221"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21" s="26" t="str">
        <f>F318</f>
        <v>ріш СМР від 26.01.2022 року № 2718- МР (зі змінами)</v>
      </c>
      <c r="G221" s="94">
        <f t="shared" si="5"/>
        <v>2160000</v>
      </c>
      <c r="H221" s="27"/>
      <c r="I221" s="27">
        <v>2160000</v>
      </c>
      <c r="J221" s="27">
        <v>2160000</v>
      </c>
      <c r="K221" s="141"/>
      <c r="L221" s="30"/>
    </row>
    <row r="222" spans="1:12" s="31" customFormat="1" ht="168" customHeight="1" hidden="1">
      <c r="A222" s="142"/>
      <c r="B222" s="142"/>
      <c r="C222" s="142"/>
      <c r="D222" s="146"/>
      <c r="E222" s="35" t="str">
        <f>E333</f>
        <v>Програма охорони навколишнього природного середовища Сумської міської територіальної громади на 2022-2024 роки</v>
      </c>
      <c r="F222" s="35" t="str">
        <f>F333</f>
        <v>ріш ВК від 27.05.2022 № 162 (зі змінами)</v>
      </c>
      <c r="G222" s="94">
        <f t="shared" si="5"/>
        <v>0</v>
      </c>
      <c r="H222" s="27"/>
      <c r="I222" s="27"/>
      <c r="J222" s="27"/>
      <c r="K222" s="141"/>
      <c r="L222" s="30"/>
    </row>
    <row r="223" spans="1:12" s="31" customFormat="1" ht="162" customHeight="1" hidden="1">
      <c r="A223" s="142"/>
      <c r="B223" s="142"/>
      <c r="C223" s="142"/>
      <c r="D223" s="146"/>
      <c r="E223" s="35"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23" s="35" t="str">
        <f>F318</f>
        <v>ріш СМР від 26.01.2022 року № 2718- МР (зі змінами)</v>
      </c>
      <c r="G223" s="94">
        <f t="shared" si="5"/>
        <v>0</v>
      </c>
      <c r="H223" s="27"/>
      <c r="I223" s="27"/>
      <c r="J223" s="27"/>
      <c r="K223" s="141"/>
      <c r="L223" s="30"/>
    </row>
    <row r="224" spans="1:11" ht="409.5" customHeight="1">
      <c r="A224" s="142" t="s">
        <v>406</v>
      </c>
      <c r="B224" s="142" t="s">
        <v>407</v>
      </c>
      <c r="C224" s="142" t="s">
        <v>114</v>
      </c>
      <c r="D224" s="146" t="s">
        <v>408</v>
      </c>
      <c r="E224"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24" s="26" t="str">
        <f>F318</f>
        <v>ріш СМР від 26.01.2022 року № 2718- МР (зі змінами)</v>
      </c>
      <c r="G224" s="94">
        <f t="shared" si="5"/>
        <v>100000</v>
      </c>
      <c r="H224" s="27"/>
      <c r="I224" s="27">
        <v>100000</v>
      </c>
      <c r="J224" s="27"/>
      <c r="K224" s="141"/>
    </row>
    <row r="225" spans="1:11" ht="131.25" customHeight="1" hidden="1">
      <c r="A225" s="142"/>
      <c r="B225" s="142"/>
      <c r="C225" s="142"/>
      <c r="D225" s="146"/>
      <c r="E225" s="35" t="str">
        <f>E338</f>
        <v>Цільова програма капітального ремонту, модернізації, заміни та диспетчеризації ліфтів на 2022-2024 роки </v>
      </c>
      <c r="F225" s="35" t="str">
        <f>F338</f>
        <v>ріш СМР від 26.01.2022 року № 2717-МР </v>
      </c>
      <c r="G225" s="94">
        <f t="shared" si="5"/>
        <v>0</v>
      </c>
      <c r="H225" s="27"/>
      <c r="I225" s="27"/>
      <c r="J225" s="27"/>
      <c r="K225" s="141"/>
    </row>
    <row r="226" spans="1:11" ht="245.25" customHeight="1">
      <c r="A226" s="25" t="s">
        <v>409</v>
      </c>
      <c r="B226" s="25">
        <v>8110</v>
      </c>
      <c r="C226" s="25" t="s">
        <v>124</v>
      </c>
      <c r="D226" s="26" t="s">
        <v>410</v>
      </c>
      <c r="E226" s="26" t="str">
        <f>E327</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26" s="26" t="str">
        <f>F327</f>
        <v>ріш СМР від 27.10.2021 року № 2001-МР (зі змінами)</v>
      </c>
      <c r="G226" s="94">
        <f t="shared" si="5"/>
        <v>61303584</v>
      </c>
      <c r="H226" s="94">
        <f>2630680+8500000+3200000+2000000+300000+300000+50000+1000000+2168000</f>
        <v>20148680</v>
      </c>
      <c r="I226" s="27">
        <f>20000000-2630680+16000000-2000000+700000+4975584+4110000</f>
        <v>41154904</v>
      </c>
      <c r="J226" s="27">
        <f>20000000-2630680+16000000-2000000+700000+4975584+4110000</f>
        <v>41154904</v>
      </c>
      <c r="K226" s="141"/>
    </row>
    <row r="227" spans="1:11" ht="221.25" customHeight="1" hidden="1">
      <c r="A227" s="25" t="s">
        <v>411</v>
      </c>
      <c r="B227" s="25">
        <v>8230</v>
      </c>
      <c r="C227" s="25" t="s">
        <v>128</v>
      </c>
      <c r="D227" s="26" t="s">
        <v>129</v>
      </c>
      <c r="E227" s="26" t="s">
        <v>373</v>
      </c>
      <c r="F227" s="26" t="s">
        <v>23</v>
      </c>
      <c r="G227" s="94">
        <f t="shared" si="5"/>
        <v>0</v>
      </c>
      <c r="H227" s="27"/>
      <c r="I227" s="27"/>
      <c r="J227" s="27"/>
      <c r="K227" s="141"/>
    </row>
    <row r="228" spans="1:11" ht="367.5" customHeight="1">
      <c r="A228" s="25" t="s">
        <v>604</v>
      </c>
      <c r="B228" s="25" t="s">
        <v>131</v>
      </c>
      <c r="C228" s="25" t="s">
        <v>128</v>
      </c>
      <c r="D228" s="26" t="s">
        <v>132</v>
      </c>
      <c r="E228" s="26" t="str">
        <f>E340</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228" s="26" t="str">
        <f>F340</f>
        <v>ріш СМР від 14.12.2022 року № 3325-МР (зі змінами)</v>
      </c>
      <c r="G228" s="94">
        <f t="shared" si="5"/>
        <v>19000000</v>
      </c>
      <c r="H228" s="27">
        <f>10000000+4000000+5000000</f>
        <v>19000000</v>
      </c>
      <c r="I228" s="27"/>
      <c r="J228" s="27"/>
      <c r="K228" s="141"/>
    </row>
    <row r="229" spans="1:11" ht="367.5" customHeight="1">
      <c r="A229" s="25" t="s">
        <v>611</v>
      </c>
      <c r="B229" s="25" t="s">
        <v>612</v>
      </c>
      <c r="C229" s="25" t="s">
        <v>618</v>
      </c>
      <c r="D229" s="26" t="s">
        <v>613</v>
      </c>
      <c r="E229" s="35" t="str">
        <f>E333</f>
        <v>Програма охорони навколишнього природного середовища Сумської міської територіальної громади на 2022-2024 роки</v>
      </c>
      <c r="F229" s="35" t="str">
        <f>F333</f>
        <v>ріш ВК від 27.05.2022 № 162 (зі змінами)</v>
      </c>
      <c r="G229" s="94">
        <f>H229+I229</f>
        <v>500000</v>
      </c>
      <c r="H229" s="27">
        <v>500000</v>
      </c>
      <c r="I229" s="27"/>
      <c r="J229" s="27"/>
      <c r="K229" s="141"/>
    </row>
    <row r="230" spans="1:11" ht="132.75">
      <c r="A230" s="25" t="s">
        <v>412</v>
      </c>
      <c r="B230" s="25" t="s">
        <v>134</v>
      </c>
      <c r="C230" s="25" t="s">
        <v>135</v>
      </c>
      <c r="D230" s="26" t="s">
        <v>136</v>
      </c>
      <c r="E230" s="35" t="str">
        <f>E333</f>
        <v>Програма охорони навколишнього природного середовища Сумської міської територіальної громади на 2022-2024 роки</v>
      </c>
      <c r="F230" s="35" t="str">
        <f>F333</f>
        <v>ріш ВК від 27.05.2022 № 162 (зі змінами)</v>
      </c>
      <c r="G230" s="94">
        <f t="shared" si="5"/>
        <v>2323000</v>
      </c>
      <c r="H230" s="27"/>
      <c r="I230" s="27">
        <v>2323000</v>
      </c>
      <c r="J230" s="27"/>
      <c r="K230" s="141"/>
    </row>
    <row r="231" spans="1:11" ht="177" customHeight="1" hidden="1">
      <c r="A231" s="25" t="s">
        <v>413</v>
      </c>
      <c r="B231" s="25">
        <v>8861</v>
      </c>
      <c r="C231" s="25" t="s">
        <v>114</v>
      </c>
      <c r="D231" s="26" t="s">
        <v>142</v>
      </c>
      <c r="E231"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31" s="26" t="str">
        <f>F318</f>
        <v>ріш СМР від 26.01.2022 року № 2718- МР (зі змінами)</v>
      </c>
      <c r="G231" s="94">
        <f t="shared" si="5"/>
        <v>0</v>
      </c>
      <c r="H231" s="27"/>
      <c r="I231" s="27"/>
      <c r="J231" s="27"/>
      <c r="K231" s="141"/>
    </row>
    <row r="232" spans="1:11" ht="309.75" customHeight="1" hidden="1">
      <c r="A232" s="25" t="s">
        <v>414</v>
      </c>
      <c r="B232" s="25" t="s">
        <v>415</v>
      </c>
      <c r="C232" s="25" t="s">
        <v>384</v>
      </c>
      <c r="D232" s="26" t="s">
        <v>416</v>
      </c>
      <c r="E232" s="35" t="str">
        <f>E327</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32" s="35" t="str">
        <f>F327</f>
        <v>ріш СМР від 27.10.2021 року № 2001-МР (зі змінами)</v>
      </c>
      <c r="G232" s="94">
        <f t="shared" si="5"/>
        <v>0</v>
      </c>
      <c r="H232" s="27"/>
      <c r="I232" s="27"/>
      <c r="J232" s="27"/>
      <c r="K232" s="141"/>
    </row>
    <row r="233" spans="1:11" ht="191.25" customHeight="1">
      <c r="A233" s="25" t="s">
        <v>417</v>
      </c>
      <c r="B233" s="25" t="s">
        <v>418</v>
      </c>
      <c r="C233" s="25" t="s">
        <v>114</v>
      </c>
      <c r="D233" s="26" t="s">
        <v>419</v>
      </c>
      <c r="E233"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33" s="26" t="str">
        <f>F318</f>
        <v>ріш СМР від 26.01.2022 року № 2718- МР (зі змінами)</v>
      </c>
      <c r="G233" s="94">
        <f t="shared" si="5"/>
        <v>-7654092</v>
      </c>
      <c r="H233" s="27"/>
      <c r="I233" s="27">
        <v>-7654092</v>
      </c>
      <c r="J233" s="27">
        <v>-7654092</v>
      </c>
      <c r="K233" s="141"/>
    </row>
    <row r="234" spans="1:11" ht="206.25" customHeight="1" hidden="1">
      <c r="A234" s="25" t="s">
        <v>420</v>
      </c>
      <c r="B234" s="25" t="s">
        <v>421</v>
      </c>
      <c r="C234" s="25" t="s">
        <v>25</v>
      </c>
      <c r="D234" s="26" t="s">
        <v>422</v>
      </c>
      <c r="E234" s="35" t="str">
        <f>E306</f>
        <v>Програма економічного і соціального розвитку Сумської міської територіальної громади на 2023 рік</v>
      </c>
      <c r="F234" s="35" t="str">
        <f>F306</f>
        <v>ріш СМР від 14.12.2022 року № 3310-МР (зі змінами)</v>
      </c>
      <c r="G234" s="94">
        <f t="shared" si="5"/>
        <v>0</v>
      </c>
      <c r="H234" s="27"/>
      <c r="I234" s="27"/>
      <c r="J234" s="27"/>
      <c r="K234" s="141"/>
    </row>
    <row r="235" spans="1:12" s="31" customFormat="1" ht="168" customHeight="1">
      <c r="A235" s="29" t="s">
        <v>423</v>
      </c>
      <c r="B235" s="29" t="s">
        <v>144</v>
      </c>
      <c r="C235" s="25" t="s">
        <v>25</v>
      </c>
      <c r="D235" s="26" t="s">
        <v>145</v>
      </c>
      <c r="E235"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35" s="26" t="str">
        <f>F318</f>
        <v>ріш СМР від 26.01.2022 року № 2718- МР (зі змінами)</v>
      </c>
      <c r="G235" s="94">
        <f t="shared" si="5"/>
        <v>13823533.61</v>
      </c>
      <c r="H235" s="27">
        <f>3192750+712996</f>
        <v>3905746</v>
      </c>
      <c r="I235" s="27">
        <f>9807250+110537.61</f>
        <v>9917787.61</v>
      </c>
      <c r="J235" s="27">
        <f>9807250+110537.61</f>
        <v>9917787.61</v>
      </c>
      <c r="K235" s="141"/>
      <c r="L235" s="30"/>
    </row>
    <row r="236" spans="1:12" s="31" customFormat="1" ht="398.25" customHeight="1" hidden="1">
      <c r="A236" s="29" t="s">
        <v>424</v>
      </c>
      <c r="B236" s="29" t="s">
        <v>147</v>
      </c>
      <c r="C236" s="25" t="s">
        <v>25</v>
      </c>
      <c r="D236" s="26" t="s">
        <v>148</v>
      </c>
      <c r="E236" s="28" t="str">
        <f>E345</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6" s="28" t="str">
        <f>F345</f>
        <v>від 26.01.2022 року № 2712-МР (зі змінами)</v>
      </c>
      <c r="G236" s="94">
        <f t="shared" si="5"/>
        <v>0</v>
      </c>
      <c r="H236" s="27"/>
      <c r="I236" s="27"/>
      <c r="J236" s="27"/>
      <c r="K236" s="141"/>
      <c r="L236" s="30"/>
    </row>
    <row r="237" spans="1:12" s="37" customFormat="1" ht="156.75" customHeight="1" hidden="1">
      <c r="A237" s="19"/>
      <c r="B237" s="19"/>
      <c r="C237" s="19"/>
      <c r="D237" s="20" t="s">
        <v>425</v>
      </c>
      <c r="E237" s="20"/>
      <c r="F237" s="20"/>
      <c r="G237" s="115">
        <f>SUM(G238)</f>
        <v>0</v>
      </c>
      <c r="H237" s="22">
        <f>SUM(H238)</f>
        <v>0</v>
      </c>
      <c r="I237" s="22">
        <f>SUM(I238)</f>
        <v>0</v>
      </c>
      <c r="J237" s="22">
        <f>SUM(J238)</f>
        <v>0</v>
      </c>
      <c r="K237" s="141"/>
      <c r="L237" s="36"/>
    </row>
    <row r="238" spans="1:11" ht="195" customHeight="1" hidden="1">
      <c r="A238" s="29" t="s">
        <v>426</v>
      </c>
      <c r="B238" s="29" t="s">
        <v>15</v>
      </c>
      <c r="C238" s="25" t="s">
        <v>16</v>
      </c>
      <c r="D238" s="26" t="s">
        <v>427</v>
      </c>
      <c r="E238" s="26" t="s">
        <v>428</v>
      </c>
      <c r="F238" s="26" t="s">
        <v>429</v>
      </c>
      <c r="G238" s="94">
        <f>H238+I238</f>
        <v>0</v>
      </c>
      <c r="H238" s="27"/>
      <c r="I238" s="27"/>
      <c r="J238" s="27"/>
      <c r="K238" s="141"/>
    </row>
    <row r="239" spans="1:12" s="37" customFormat="1" ht="165" customHeight="1" hidden="1">
      <c r="A239" s="55"/>
      <c r="B239" s="55"/>
      <c r="C239" s="19"/>
      <c r="D239" s="20" t="s">
        <v>430</v>
      </c>
      <c r="E239" s="20"/>
      <c r="F239" s="20"/>
      <c r="G239" s="115">
        <f>G240</f>
        <v>0</v>
      </c>
      <c r="H239" s="22">
        <f>H240</f>
        <v>0</v>
      </c>
      <c r="I239" s="22">
        <f>I240</f>
        <v>0</v>
      </c>
      <c r="J239" s="22">
        <f>J240</f>
        <v>0</v>
      </c>
      <c r="K239" s="141"/>
      <c r="L239" s="36"/>
    </row>
    <row r="240" spans="1:11" ht="162" customHeight="1" hidden="1">
      <c r="A240" s="29" t="s">
        <v>431</v>
      </c>
      <c r="B240" s="25" t="s">
        <v>105</v>
      </c>
      <c r="C240" s="25" t="s">
        <v>106</v>
      </c>
      <c r="D240" s="26" t="s">
        <v>107</v>
      </c>
      <c r="E240" s="26" t="str">
        <f>E339</f>
        <v>Цільова Програма підтримки малого і середнього підприємництва Сумської міської територіальної громади на 2022-2024 роки</v>
      </c>
      <c r="F240" s="26" t="str">
        <f>F339</f>
        <v>від 29.09.2021 року № 1601-МР</v>
      </c>
      <c r="G240" s="94">
        <f>H240+I240</f>
        <v>0</v>
      </c>
      <c r="H240" s="27"/>
      <c r="I240" s="27"/>
      <c r="J240" s="27"/>
      <c r="K240" s="141"/>
    </row>
    <row r="241" spans="1:12" s="37" customFormat="1" ht="156.75" customHeight="1">
      <c r="A241" s="19"/>
      <c r="B241" s="19"/>
      <c r="C241" s="19"/>
      <c r="D241" s="20" t="s">
        <v>432</v>
      </c>
      <c r="E241" s="20"/>
      <c r="F241" s="20"/>
      <c r="G241" s="115">
        <f>SUM(G243:G273)</f>
        <v>240047650.55</v>
      </c>
      <c r="H241" s="22">
        <f>SUM(H243:H273)</f>
        <v>1661080</v>
      </c>
      <c r="I241" s="22">
        <f>SUM(I243:I273)</f>
        <v>238386570.55</v>
      </c>
      <c r="J241" s="22">
        <f>SUM(J243:J273)</f>
        <v>236433660</v>
      </c>
      <c r="K241" s="141"/>
      <c r="L241" s="36"/>
    </row>
    <row r="242" spans="1:11" ht="174" customHeight="1" hidden="1">
      <c r="A242" s="29" t="s">
        <v>433</v>
      </c>
      <c r="B242" s="29" t="s">
        <v>15</v>
      </c>
      <c r="C242" s="25" t="s">
        <v>16</v>
      </c>
      <c r="D242" s="26" t="s">
        <v>427</v>
      </c>
      <c r="E242" s="26" t="s">
        <v>428</v>
      </c>
      <c r="F242" s="26" t="s">
        <v>429</v>
      </c>
      <c r="G242" s="94">
        <f aca="true" t="shared" si="6" ref="G242:G273">H242+I242</f>
        <v>0</v>
      </c>
      <c r="H242" s="27"/>
      <c r="I242" s="27"/>
      <c r="J242" s="27"/>
      <c r="K242" s="141"/>
    </row>
    <row r="243" spans="1:11" ht="127.5" customHeight="1">
      <c r="A243" s="29" t="s">
        <v>434</v>
      </c>
      <c r="B243" s="29" t="s">
        <v>152</v>
      </c>
      <c r="C243" s="25" t="s">
        <v>153</v>
      </c>
      <c r="D243" s="26" t="s">
        <v>154</v>
      </c>
      <c r="E243" s="26" t="str">
        <f>E316</f>
        <v>Комплексна програма Сумської міської територіальної громади «Освіта на 2022 - 2024 роки» </v>
      </c>
      <c r="F243" s="26" t="str">
        <f>F316</f>
        <v>ріш СМР від 24.11.2021 року № 2512 - МР (зі змінами)</v>
      </c>
      <c r="G243" s="94">
        <f>H243+I243</f>
        <v>48000000</v>
      </c>
      <c r="H243" s="27"/>
      <c r="I243" s="27">
        <f>25000000+23000000</f>
        <v>48000000</v>
      </c>
      <c r="J243" s="27">
        <f>25000000+23000000</f>
        <v>48000000</v>
      </c>
      <c r="K243" s="141"/>
    </row>
    <row r="244" spans="1:11" ht="174" customHeight="1" hidden="1">
      <c r="A244" s="29" t="s">
        <v>435</v>
      </c>
      <c r="B244" s="29" t="s">
        <v>436</v>
      </c>
      <c r="C244" s="25" t="s">
        <v>156</v>
      </c>
      <c r="D244" s="26" t="s">
        <v>157</v>
      </c>
      <c r="E244" s="26" t="str">
        <f>E316</f>
        <v>Комплексна програма Сумської міської територіальної громади «Освіта на 2022 - 2024 роки» </v>
      </c>
      <c r="F244" s="26" t="str">
        <f>F316</f>
        <v>ріш СМР від 24.11.2021 року № 2512 - МР (зі змінами)</v>
      </c>
      <c r="G244" s="94">
        <f aca="true" t="shared" si="7" ref="G244:G251">H244+I244</f>
        <v>0</v>
      </c>
      <c r="H244" s="27"/>
      <c r="I244" s="27"/>
      <c r="J244" s="27"/>
      <c r="K244" s="141"/>
    </row>
    <row r="245" spans="1:11" ht="233.25" customHeight="1" hidden="1">
      <c r="A245" s="29" t="s">
        <v>437</v>
      </c>
      <c r="B245" s="29" t="s">
        <v>438</v>
      </c>
      <c r="C245" s="25" t="s">
        <v>159</v>
      </c>
      <c r="D245" s="26" t="s">
        <v>160</v>
      </c>
      <c r="E245" s="26" t="str">
        <f aca="true" t="shared" si="8" ref="E245:F247">E316</f>
        <v>Комплексна програма Сумської міської територіальної громади «Освіта на 2022 - 2024 роки» </v>
      </c>
      <c r="F245" s="26" t="str">
        <f t="shared" si="8"/>
        <v>ріш СМР від 24.11.2021 року № 2512 - МР (зі змінами)</v>
      </c>
      <c r="G245" s="94">
        <f t="shared" si="7"/>
        <v>0</v>
      </c>
      <c r="H245" s="27"/>
      <c r="I245" s="27"/>
      <c r="J245" s="27"/>
      <c r="K245" s="141"/>
    </row>
    <row r="246" spans="1:11" ht="143.25" customHeight="1" hidden="1">
      <c r="A246" s="29" t="s">
        <v>439</v>
      </c>
      <c r="B246" s="29" t="s">
        <v>230</v>
      </c>
      <c r="C246" s="25"/>
      <c r="D246" s="26" t="s">
        <v>232</v>
      </c>
      <c r="E246" s="35" t="str">
        <f t="shared" si="8"/>
        <v>Комплексна Програма Сумської міської територіальної громади «Охорона здоров’я» на 2022-2024 роки»</v>
      </c>
      <c r="F246" s="35" t="str">
        <f t="shared" si="8"/>
        <v>ріш СМР від 26.01.2022 року № 2713- МР (зі змінами)</v>
      </c>
      <c r="G246" s="94">
        <f t="shared" si="7"/>
        <v>0</v>
      </c>
      <c r="H246" s="27"/>
      <c r="I246" s="27"/>
      <c r="J246" s="27"/>
      <c r="K246" s="141"/>
    </row>
    <row r="247" spans="1:11" ht="174" customHeight="1" hidden="1">
      <c r="A247" s="25" t="s">
        <v>440</v>
      </c>
      <c r="B247" s="25" t="s">
        <v>381</v>
      </c>
      <c r="C247" s="25" t="s">
        <v>362</v>
      </c>
      <c r="D247" s="26" t="s">
        <v>382</v>
      </c>
      <c r="E247" s="26" t="str">
        <f t="shared" si="8"/>
        <v>Комплексна цільова програма реформування і розвитку житлово-комунального господарства Сумської міської  територіальної громади на 2022-2024 роки </v>
      </c>
      <c r="F247" s="26" t="str">
        <f t="shared" si="8"/>
        <v>ріш СМР від 26.01.2022 року № 2718- МР (зі змінами)</v>
      </c>
      <c r="G247" s="94">
        <f t="shared" si="7"/>
        <v>0</v>
      </c>
      <c r="H247" s="27"/>
      <c r="I247" s="27"/>
      <c r="J247" s="27"/>
      <c r="K247" s="141"/>
    </row>
    <row r="248" spans="1:11" ht="221.25" customHeight="1" hidden="1">
      <c r="A248" s="25" t="s">
        <v>441</v>
      </c>
      <c r="B248" s="25" t="s">
        <v>442</v>
      </c>
      <c r="C248" s="25" t="s">
        <v>337</v>
      </c>
      <c r="D248" s="26" t="s">
        <v>443</v>
      </c>
      <c r="E248" s="35" t="s">
        <v>223</v>
      </c>
      <c r="F248" s="26" t="s">
        <v>23</v>
      </c>
      <c r="G248" s="94">
        <f t="shared" si="7"/>
        <v>0</v>
      </c>
      <c r="H248" s="27"/>
      <c r="I248" s="27"/>
      <c r="J248" s="27"/>
      <c r="K248" s="141"/>
    </row>
    <row r="249" spans="1:11" ht="158.25" customHeight="1" hidden="1">
      <c r="A249" s="25" t="s">
        <v>444</v>
      </c>
      <c r="B249" s="25" t="s">
        <v>445</v>
      </c>
      <c r="C249" s="25" t="s">
        <v>337</v>
      </c>
      <c r="D249" s="44" t="s">
        <v>446</v>
      </c>
      <c r="E249" s="26" t="s">
        <v>447</v>
      </c>
      <c r="F249" s="26" t="s">
        <v>448</v>
      </c>
      <c r="G249" s="94">
        <f t="shared" si="7"/>
        <v>0</v>
      </c>
      <c r="H249" s="27"/>
      <c r="I249" s="27"/>
      <c r="J249" s="27"/>
      <c r="K249" s="141"/>
    </row>
    <row r="250" spans="1:11" ht="255" customHeight="1">
      <c r="A250" s="29" t="s">
        <v>636</v>
      </c>
      <c r="B250" s="29">
        <v>1261</v>
      </c>
      <c r="C250" s="25" t="s">
        <v>178</v>
      </c>
      <c r="D250" s="44" t="s">
        <v>632</v>
      </c>
      <c r="E250" s="26" t="str">
        <f>E316</f>
        <v>Комплексна програма Сумської міської територіальної громади «Освіта на 2022 - 2024 роки» </v>
      </c>
      <c r="F250" s="26" t="str">
        <f>F316</f>
        <v>ріш СМР від 24.11.2021 року № 2512 - МР (зі змінами)</v>
      </c>
      <c r="G250" s="94">
        <f t="shared" si="7"/>
        <v>2924410</v>
      </c>
      <c r="H250" s="27"/>
      <c r="I250" s="27">
        <v>2924410</v>
      </c>
      <c r="J250" s="27">
        <v>2924410</v>
      </c>
      <c r="K250" s="141"/>
    </row>
    <row r="251" spans="1:11" ht="215.25" customHeight="1">
      <c r="A251" s="29" t="s">
        <v>637</v>
      </c>
      <c r="B251" s="29">
        <v>1262</v>
      </c>
      <c r="C251" s="25" t="s">
        <v>178</v>
      </c>
      <c r="D251" s="44" t="s">
        <v>635</v>
      </c>
      <c r="E251" s="26" t="str">
        <f>E316</f>
        <v>Комплексна програма Сумської міської територіальної громади «Освіта на 2022 - 2024 роки» </v>
      </c>
      <c r="F251" s="26" t="str">
        <f>F316</f>
        <v>ріш СМР від 24.11.2021 року № 2512 - МР (зі змінами)</v>
      </c>
      <c r="G251" s="94">
        <f t="shared" si="7"/>
        <v>6800000</v>
      </c>
      <c r="H251" s="27"/>
      <c r="I251" s="27">
        <v>6800000</v>
      </c>
      <c r="J251" s="27">
        <v>6800000</v>
      </c>
      <c r="K251" s="141"/>
    </row>
    <row r="252" spans="1:11" ht="281.25" customHeight="1">
      <c r="A252" s="25" t="s">
        <v>449</v>
      </c>
      <c r="B252" s="25" t="s">
        <v>450</v>
      </c>
      <c r="C252" s="25" t="s">
        <v>337</v>
      </c>
      <c r="D252" s="26" t="s">
        <v>451</v>
      </c>
      <c r="E252" s="35" t="str">
        <f>E331</f>
        <v>Програма молодіжного житлового кредитування Сумської міської територіальної громади на 2022-2024 роки</v>
      </c>
      <c r="F252" s="35" t="str">
        <f>F331</f>
        <v>ріш СМР від 29.09.2021 року № 1602-МР (зі змінами)</v>
      </c>
      <c r="G252" s="94">
        <f t="shared" si="6"/>
        <v>130712.55</v>
      </c>
      <c r="H252" s="27"/>
      <c r="I252" s="27">
        <f>104390+26322.55</f>
        <v>130712.55</v>
      </c>
      <c r="J252" s="27"/>
      <c r="K252" s="141"/>
    </row>
    <row r="253" spans="1:11" ht="175.5" customHeight="1" hidden="1">
      <c r="A253" s="25" t="s">
        <v>452</v>
      </c>
      <c r="B253" s="25">
        <v>6090</v>
      </c>
      <c r="C253" s="25" t="s">
        <v>384</v>
      </c>
      <c r="D253" s="26" t="s">
        <v>453</v>
      </c>
      <c r="E253" s="35" t="s">
        <v>223</v>
      </c>
      <c r="F253" s="26" t="s">
        <v>23</v>
      </c>
      <c r="G253" s="94">
        <f t="shared" si="6"/>
        <v>0</v>
      </c>
      <c r="H253" s="27"/>
      <c r="I253" s="27"/>
      <c r="J253" s="27"/>
      <c r="K253" s="45"/>
    </row>
    <row r="254" spans="1:11" ht="134.25" customHeight="1">
      <c r="A254" s="25" t="s">
        <v>454</v>
      </c>
      <c r="B254" s="25" t="s">
        <v>391</v>
      </c>
      <c r="C254" s="25" t="s">
        <v>204</v>
      </c>
      <c r="D254" s="32" t="s">
        <v>392</v>
      </c>
      <c r="E254" s="93" t="str">
        <f>E330</f>
        <v>Програма економічного і соціального розвитку Сумської міської територіальної громади на 2023 рік</v>
      </c>
      <c r="F254" s="35" t="str">
        <f>F330</f>
        <v>ріш СМР від 14.12.2022 року № 3310-МР (зі змінами)</v>
      </c>
      <c r="G254" s="94">
        <f t="shared" si="6"/>
        <v>6043714</v>
      </c>
      <c r="H254" s="27"/>
      <c r="I254" s="27">
        <f>4200000+43714+200000+200000+500000+900000</f>
        <v>6043714</v>
      </c>
      <c r="J254" s="27">
        <f>4200000+43714+200000+200000+500000+900000</f>
        <v>6043714</v>
      </c>
      <c r="K254" s="141">
        <v>41</v>
      </c>
    </row>
    <row r="255" spans="1:11" ht="221.25" customHeight="1" hidden="1">
      <c r="A255" s="147" t="s">
        <v>455</v>
      </c>
      <c r="B255" s="147" t="s">
        <v>456</v>
      </c>
      <c r="C255" s="147" t="s">
        <v>204</v>
      </c>
      <c r="D255" s="56" t="s">
        <v>457</v>
      </c>
      <c r="E255" s="93" t="s">
        <v>223</v>
      </c>
      <c r="F255" s="26" t="s">
        <v>23</v>
      </c>
      <c r="G255" s="94">
        <f t="shared" si="6"/>
        <v>0</v>
      </c>
      <c r="H255" s="27"/>
      <c r="I255" s="27"/>
      <c r="J255" s="27"/>
      <c r="K255" s="141"/>
    </row>
    <row r="256" spans="1:11" ht="131.25" customHeight="1">
      <c r="A256" s="162"/>
      <c r="B256" s="162"/>
      <c r="C256" s="162"/>
      <c r="D256" s="160" t="s">
        <v>205</v>
      </c>
      <c r="E256" s="93" t="s">
        <v>564</v>
      </c>
      <c r="F256" s="35" t="str">
        <f>F330</f>
        <v>ріш СМР від 14.12.2022 року № 3310-МР (зі змінами)</v>
      </c>
      <c r="G256" s="94">
        <f t="shared" si="6"/>
        <v>904392</v>
      </c>
      <c r="H256" s="27"/>
      <c r="I256" s="27">
        <f>3000000+904392+1000000+100000+150000+150000+850000+500000-250000-2500000-3000000</f>
        <v>904392</v>
      </c>
      <c r="J256" s="27">
        <f>3000000+904392+1000000+100000+150000+150000+850000+500000-250000-2500000-3000000</f>
        <v>904392</v>
      </c>
      <c r="K256" s="141"/>
    </row>
    <row r="257" spans="1:11" ht="128.25" customHeight="1">
      <c r="A257" s="143"/>
      <c r="B257" s="143"/>
      <c r="C257" s="143"/>
      <c r="D257" s="161"/>
      <c r="E257" s="93" t="str">
        <f>E316</f>
        <v>Комплексна програма Сумської міської територіальної громади «Освіта на 2022 - 2024 роки» </v>
      </c>
      <c r="F257" s="93" t="str">
        <f>F316</f>
        <v>ріш СМР від 24.11.2021 року № 2512 - МР (зі змінами)</v>
      </c>
      <c r="G257" s="94">
        <f t="shared" si="6"/>
        <v>3637015</v>
      </c>
      <c r="H257" s="27"/>
      <c r="I257" s="27">
        <f>2500000+100000+1500000+37015-500000</f>
        <v>3637015</v>
      </c>
      <c r="J257" s="27">
        <f>2500000+100000+1500000+37015-500000</f>
        <v>3637015</v>
      </c>
      <c r="K257" s="141"/>
    </row>
    <row r="258" spans="1:12" s="111" customFormat="1" ht="163.5" customHeight="1">
      <c r="A258" s="109" t="s">
        <v>458</v>
      </c>
      <c r="B258" s="109" t="s">
        <v>459</v>
      </c>
      <c r="C258" s="109" t="s">
        <v>204</v>
      </c>
      <c r="D258" s="131" t="s">
        <v>460</v>
      </c>
      <c r="E258" s="93" t="str">
        <f>E317</f>
        <v>Комплексна Програма Сумської міської територіальної громади «Охорона здоров’я» на 2022-2024 роки»</v>
      </c>
      <c r="F258" s="93" t="str">
        <f>F317</f>
        <v>ріш СМР від 26.01.2022 року № 2713- МР (зі змінами)</v>
      </c>
      <c r="G258" s="94">
        <f t="shared" si="6"/>
        <v>9071975</v>
      </c>
      <c r="H258" s="94"/>
      <c r="I258" s="94">
        <f>71975+6900000+400000+1691100+1200000+308900-1500000</f>
        <v>9071975</v>
      </c>
      <c r="J258" s="94">
        <f>71975+6900000+400000+1691100+1200000+308900-1500000</f>
        <v>9071975</v>
      </c>
      <c r="K258" s="141"/>
      <c r="L258" s="110"/>
    </row>
    <row r="259" spans="1:11" ht="185.25" customHeight="1" hidden="1">
      <c r="A259" s="25" t="s">
        <v>461</v>
      </c>
      <c r="B259" s="25">
        <v>7324</v>
      </c>
      <c r="C259" s="25">
        <v>443</v>
      </c>
      <c r="D259" s="32" t="s">
        <v>351</v>
      </c>
      <c r="E259" s="35" t="str">
        <f>E330</f>
        <v>Програма економічного і соціального розвитку Сумської міської територіальної громади на 2023 рік</v>
      </c>
      <c r="F259" s="35" t="str">
        <f>F330</f>
        <v>ріш СМР від 14.12.2022 року № 3310-МР (зі змінами)</v>
      </c>
      <c r="G259" s="94">
        <f t="shared" si="6"/>
        <v>0</v>
      </c>
      <c r="H259" s="27"/>
      <c r="I259" s="27"/>
      <c r="J259" s="27"/>
      <c r="K259" s="141"/>
    </row>
    <row r="260" spans="1:11" ht="178.5" customHeight="1">
      <c r="A260" s="90" t="s">
        <v>462</v>
      </c>
      <c r="B260" s="90" t="s">
        <v>463</v>
      </c>
      <c r="C260" s="90" t="s">
        <v>204</v>
      </c>
      <c r="D260" s="32" t="s">
        <v>464</v>
      </c>
      <c r="E260" s="35" t="str">
        <f>E330</f>
        <v>Програма економічного і соціального розвитку Сумської міської територіальної громади на 2023 рік</v>
      </c>
      <c r="F260" s="35" t="str">
        <f>F330</f>
        <v>ріш СМР від 14.12.2022 року № 3310-МР (зі змінами)</v>
      </c>
      <c r="G260" s="94">
        <f t="shared" si="6"/>
        <v>293385</v>
      </c>
      <c r="H260" s="27"/>
      <c r="I260" s="27">
        <v>293385</v>
      </c>
      <c r="J260" s="27">
        <v>293385</v>
      </c>
      <c r="K260" s="141"/>
    </row>
    <row r="261" spans="1:11" ht="135.75" customHeight="1">
      <c r="A261" s="163" t="s">
        <v>465</v>
      </c>
      <c r="B261" s="163" t="s">
        <v>394</v>
      </c>
      <c r="C261" s="163" t="s">
        <v>204</v>
      </c>
      <c r="D261" s="95" t="s">
        <v>466</v>
      </c>
      <c r="E261" s="35" t="str">
        <f>E330</f>
        <v>Програма економічного і соціального розвитку Сумської міської територіальної громади на 2023 рік</v>
      </c>
      <c r="F261" s="35" t="str">
        <f>F330</f>
        <v>ріш СМР від 14.12.2022 року № 3310-МР (зі змінами)</v>
      </c>
      <c r="G261" s="94">
        <f t="shared" si="6"/>
        <v>11811473</v>
      </c>
      <c r="H261" s="27"/>
      <c r="I261" s="27">
        <f>5000000+1951473+30000+3000000+2000000+3000000+200000+930000-200000+100000-7000000+2300000+500000</f>
        <v>11811473</v>
      </c>
      <c r="J261" s="27">
        <f>5000000+1951473+30000+3000000+2000000+3000000+200000+930000-200000+100000-7000000+2300000+500000</f>
        <v>11811473</v>
      </c>
      <c r="K261" s="141"/>
    </row>
    <row r="262" spans="1:11" ht="157.5" customHeight="1" hidden="1">
      <c r="A262" s="163"/>
      <c r="B262" s="163"/>
      <c r="C262" s="163"/>
      <c r="D262" s="95"/>
      <c r="E262" s="35" t="s">
        <v>274</v>
      </c>
      <c r="F262" s="26" t="s">
        <v>275</v>
      </c>
      <c r="G262" s="94">
        <f t="shared" si="6"/>
        <v>0</v>
      </c>
      <c r="H262" s="27"/>
      <c r="I262" s="27"/>
      <c r="J262" s="27"/>
      <c r="K262" s="141"/>
    </row>
    <row r="263" spans="1:12" s="111" customFormat="1" ht="186.75" customHeight="1">
      <c r="A263" s="126" t="s">
        <v>467</v>
      </c>
      <c r="B263" s="126" t="s">
        <v>397</v>
      </c>
      <c r="C263" s="126" t="s">
        <v>204</v>
      </c>
      <c r="D263" s="127" t="s">
        <v>398</v>
      </c>
      <c r="E263" s="93" t="str">
        <f>E316</f>
        <v>Комплексна програма Сумської міської територіальної громади «Освіта на 2022 - 2024 роки» </v>
      </c>
      <c r="F263" s="93" t="str">
        <f>F316</f>
        <v>ріш СМР від 24.11.2021 року № 2512 - МР (зі змінами)</v>
      </c>
      <c r="G263" s="94">
        <f t="shared" si="6"/>
        <v>8709812</v>
      </c>
      <c r="H263" s="94"/>
      <c r="I263" s="94">
        <f>100000+100000+100000+530266+6000000+1879546</f>
        <v>8709812</v>
      </c>
      <c r="J263" s="94">
        <f>100000+100000+100000+530266+6000000+1879546</f>
        <v>8709812</v>
      </c>
      <c r="K263" s="141"/>
      <c r="L263" s="110"/>
    </row>
    <row r="264" spans="1:12" s="99" customFormat="1" ht="185.25" customHeight="1" hidden="1">
      <c r="A264" s="163" t="s">
        <v>468</v>
      </c>
      <c r="B264" s="163" t="s">
        <v>400</v>
      </c>
      <c r="C264" s="163" t="s">
        <v>114</v>
      </c>
      <c r="D264" s="168" t="s">
        <v>267</v>
      </c>
      <c r="E264" s="96" t="str">
        <f>E330</f>
        <v>Програма економічного і соціального розвитку Сумської міської територіальної громади на 2023 рік</v>
      </c>
      <c r="F264" s="96" t="str">
        <f>F330</f>
        <v>ріш СМР від 14.12.2022 року № 3310-МР (зі змінами)</v>
      </c>
      <c r="G264" s="94">
        <f t="shared" si="6"/>
        <v>0</v>
      </c>
      <c r="H264" s="97"/>
      <c r="I264" s="97"/>
      <c r="J264" s="97"/>
      <c r="K264" s="141"/>
      <c r="L264" s="98"/>
    </row>
    <row r="265" spans="1:11" ht="189.75" customHeight="1">
      <c r="A265" s="163"/>
      <c r="B265" s="163"/>
      <c r="C265" s="163"/>
      <c r="D265" s="168"/>
      <c r="E265" s="35" t="str">
        <f>E333</f>
        <v>Програма охорони навколишнього природного середовища Сумської міської територіальної громади на 2022-2024 роки</v>
      </c>
      <c r="F265" s="35" t="str">
        <f>F333</f>
        <v>ріш ВК від 27.05.2022 № 162 (зі змінами)</v>
      </c>
      <c r="G265" s="94">
        <f t="shared" si="6"/>
        <v>16683471</v>
      </c>
      <c r="H265" s="27"/>
      <c r="I265" s="27">
        <f>4500000+183471+5000000+6000000+1000000</f>
        <v>16683471</v>
      </c>
      <c r="J265" s="27">
        <f>4500000+183471+5000000+6000000+1000000</f>
        <v>16683471</v>
      </c>
      <c r="K265" s="141"/>
    </row>
    <row r="266" spans="1:11" ht="195" customHeight="1" hidden="1">
      <c r="A266" s="89" t="s">
        <v>469</v>
      </c>
      <c r="B266" s="89" t="s">
        <v>207</v>
      </c>
      <c r="C266" s="89" t="s">
        <v>114</v>
      </c>
      <c r="D266" s="26" t="s">
        <v>208</v>
      </c>
      <c r="E266" s="35" t="str">
        <f>E330</f>
        <v>Програма економічного і соціального розвитку Сумської міської територіальної громади на 2023 рік</v>
      </c>
      <c r="F266" s="35" t="str">
        <f>F330</f>
        <v>ріш СМР від 14.12.2022 року № 3310-МР (зі змінами)</v>
      </c>
      <c r="G266" s="94">
        <f t="shared" si="6"/>
        <v>0</v>
      </c>
      <c r="H266" s="27"/>
      <c r="I266" s="27"/>
      <c r="J266" s="27"/>
      <c r="K266" s="141"/>
    </row>
    <row r="267" spans="1:11" ht="177" customHeight="1" hidden="1">
      <c r="A267" s="25" t="s">
        <v>470</v>
      </c>
      <c r="B267" s="25">
        <v>7370</v>
      </c>
      <c r="C267" s="25" t="s">
        <v>114</v>
      </c>
      <c r="D267" s="26" t="s">
        <v>471</v>
      </c>
      <c r="E267" s="35" t="str">
        <f>E330</f>
        <v>Програма економічного і соціального розвитку Сумської міської територіальної громади на 2023 рік</v>
      </c>
      <c r="F267" s="35" t="str">
        <f>F330</f>
        <v>ріш СМР від 14.12.2022 року № 3310-МР (зі змінами)</v>
      </c>
      <c r="G267" s="94">
        <f t="shared" si="6"/>
        <v>0</v>
      </c>
      <c r="H267" s="27"/>
      <c r="I267" s="27"/>
      <c r="J267" s="27"/>
      <c r="K267" s="141"/>
    </row>
    <row r="268" spans="1:11" ht="177" customHeight="1" hidden="1">
      <c r="A268" s="25" t="s">
        <v>472</v>
      </c>
      <c r="B268" s="25" t="s">
        <v>473</v>
      </c>
      <c r="C268" s="25" t="s">
        <v>98</v>
      </c>
      <c r="D268" s="26" t="s">
        <v>474</v>
      </c>
      <c r="E268" s="26" t="s">
        <v>373</v>
      </c>
      <c r="F268" s="26" t="s">
        <v>23</v>
      </c>
      <c r="G268" s="94">
        <f t="shared" si="6"/>
        <v>0</v>
      </c>
      <c r="H268" s="27"/>
      <c r="I268" s="27"/>
      <c r="J268" s="27"/>
      <c r="K268" s="141"/>
    </row>
    <row r="269" spans="1:11" ht="183" customHeight="1" hidden="1">
      <c r="A269" s="25" t="s">
        <v>475</v>
      </c>
      <c r="B269" s="25" t="s">
        <v>476</v>
      </c>
      <c r="C269" s="25" t="s">
        <v>98</v>
      </c>
      <c r="D269" s="57" t="s">
        <v>477</v>
      </c>
      <c r="E269" s="35" t="s">
        <v>223</v>
      </c>
      <c r="F269" s="26" t="s">
        <v>23</v>
      </c>
      <c r="G269" s="94">
        <f t="shared" si="6"/>
        <v>0</v>
      </c>
      <c r="H269" s="27"/>
      <c r="I269" s="27"/>
      <c r="J269" s="27"/>
      <c r="K269" s="141"/>
    </row>
    <row r="270" spans="1:11" ht="154.5" customHeight="1">
      <c r="A270" s="25" t="s">
        <v>478</v>
      </c>
      <c r="B270" s="25" t="s">
        <v>109</v>
      </c>
      <c r="C270" s="25" t="s">
        <v>110</v>
      </c>
      <c r="D270" s="26" t="s">
        <v>111</v>
      </c>
      <c r="E270" s="26" t="str">
        <f>E335</f>
        <v>Програма підвищення енергоефективності в бюджетній сфері Сумської міської територіальної громади на 2022-2024 роки</v>
      </c>
      <c r="F270" s="26" t="str">
        <f>F335</f>
        <v>ріш СМР від 26.01.2022 року № 2715-МР (зі змінами)</v>
      </c>
      <c r="G270" s="94">
        <f t="shared" si="6"/>
        <v>123215093</v>
      </c>
      <c r="H270" s="27">
        <f>461080+1200000</f>
        <v>1661080</v>
      </c>
      <c r="I270" s="27">
        <f>125657455+400000+273558+800000+650000-10000000+155000+3800000-182000</f>
        <v>121554013</v>
      </c>
      <c r="J270" s="27">
        <f>125657455+400000+273558+800000+650000-10000000+155000+3800000-182000</f>
        <v>121554013</v>
      </c>
      <c r="K270" s="141"/>
    </row>
    <row r="271" spans="1:11" ht="409.5" customHeight="1" hidden="1">
      <c r="A271" s="25" t="s">
        <v>479</v>
      </c>
      <c r="B271" s="25" t="s">
        <v>407</v>
      </c>
      <c r="C271" s="25" t="s">
        <v>114</v>
      </c>
      <c r="D271" s="26" t="s">
        <v>408</v>
      </c>
      <c r="E271" s="35" t="e">
        <f>#REF!</f>
        <v>#REF!</v>
      </c>
      <c r="F271" s="26"/>
      <c r="G271" s="94">
        <f t="shared" si="6"/>
        <v>0</v>
      </c>
      <c r="H271" s="27"/>
      <c r="I271" s="27"/>
      <c r="J271" s="27"/>
      <c r="K271" s="141"/>
    </row>
    <row r="272" spans="1:11" ht="234" customHeight="1">
      <c r="A272" s="25" t="s">
        <v>480</v>
      </c>
      <c r="B272" s="25" t="s">
        <v>481</v>
      </c>
      <c r="C272" s="25" t="s">
        <v>308</v>
      </c>
      <c r="D272" s="26" t="s">
        <v>482</v>
      </c>
      <c r="E272" s="35" t="str">
        <f>E331</f>
        <v>Програма молодіжного житлового кредитування Сумської міської територіальної громади на 2022-2024 роки</v>
      </c>
      <c r="F272" s="35" t="str">
        <f>F331</f>
        <v>ріш СМР від 29.09.2021 року № 1602-МР (зі змінами)</v>
      </c>
      <c r="G272" s="94">
        <f t="shared" si="6"/>
        <v>2662198</v>
      </c>
      <c r="H272" s="27"/>
      <c r="I272" s="27">
        <f>877410+1784788</f>
        <v>2662198</v>
      </c>
      <c r="J272" s="27"/>
      <c r="K272" s="141"/>
    </row>
    <row r="273" spans="1:11" ht="246" customHeight="1">
      <c r="A273" s="25" t="s">
        <v>483</v>
      </c>
      <c r="B273" s="25" t="s">
        <v>484</v>
      </c>
      <c r="C273" s="25" t="s">
        <v>308</v>
      </c>
      <c r="D273" s="26" t="s">
        <v>485</v>
      </c>
      <c r="E273" s="35" t="str">
        <f>E331</f>
        <v>Програма молодіжного житлового кредитування Сумської міської територіальної громади на 2022-2024 роки</v>
      </c>
      <c r="F273" s="35" t="str">
        <f>F331</f>
        <v>ріш СМР від 29.09.2021 року № 1602-МР (зі змінами)</v>
      </c>
      <c r="G273" s="94">
        <f t="shared" si="6"/>
        <v>-840000</v>
      </c>
      <c r="H273" s="27"/>
      <c r="I273" s="27">
        <v>-840000</v>
      </c>
      <c r="J273" s="27"/>
      <c r="K273" s="141"/>
    </row>
    <row r="274" spans="1:12" s="37" customFormat="1" ht="141.75" customHeight="1">
      <c r="A274" s="19"/>
      <c r="B274" s="19"/>
      <c r="C274" s="19"/>
      <c r="D274" s="20" t="s">
        <v>486</v>
      </c>
      <c r="E274" s="58"/>
      <c r="F274" s="58"/>
      <c r="G274" s="115">
        <f>G275</f>
        <v>8400</v>
      </c>
      <c r="H274" s="22">
        <f>H275</f>
        <v>8400</v>
      </c>
      <c r="I274" s="22">
        <f>I275</f>
        <v>0</v>
      </c>
      <c r="J274" s="22">
        <f>J275</f>
        <v>0</v>
      </c>
      <c r="K274" s="141"/>
      <c r="L274" s="36"/>
    </row>
    <row r="275" spans="1:11" ht="169.5" customHeight="1">
      <c r="A275" s="25" t="s">
        <v>487</v>
      </c>
      <c r="B275" s="25" t="s">
        <v>388</v>
      </c>
      <c r="C275" s="25" t="s">
        <v>384</v>
      </c>
      <c r="D275" s="26" t="s">
        <v>389</v>
      </c>
      <c r="E275"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75" s="26" t="str">
        <f>F318</f>
        <v>ріш СМР від 26.01.2022 року № 2718- МР (зі змінами)</v>
      </c>
      <c r="G275" s="94">
        <f>H275+I275</f>
        <v>8400</v>
      </c>
      <c r="H275" s="27">
        <f>24000-15600</f>
        <v>8400</v>
      </c>
      <c r="I275" s="27"/>
      <c r="J275" s="27"/>
      <c r="K275" s="141"/>
    </row>
    <row r="276" spans="1:11" ht="223.5" customHeight="1" hidden="1">
      <c r="A276" s="25" t="s">
        <v>488</v>
      </c>
      <c r="B276" s="25">
        <v>7340</v>
      </c>
      <c r="C276" s="25" t="s">
        <v>204</v>
      </c>
      <c r="D276" s="26" t="s">
        <v>398</v>
      </c>
      <c r="E276" s="26" t="str">
        <f>E336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6" s="26" t="str">
        <f>F336</f>
        <v>від 27.10.2021 року № 2002 - МР</v>
      </c>
      <c r="G276" s="94">
        <f>H276+I276</f>
        <v>0</v>
      </c>
      <c r="H276" s="27"/>
      <c r="I276" s="27"/>
      <c r="J276" s="27"/>
      <c r="K276" s="141"/>
    </row>
    <row r="277" spans="1:11" ht="229.5" customHeight="1" hidden="1">
      <c r="A277" s="25" t="s">
        <v>489</v>
      </c>
      <c r="B277" s="25">
        <v>7370</v>
      </c>
      <c r="C277" s="25" t="s">
        <v>114</v>
      </c>
      <c r="D277" s="26" t="s">
        <v>471</v>
      </c>
      <c r="E277" s="26" t="str">
        <f>E336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7" s="26" t="str">
        <f>F336</f>
        <v>від 27.10.2021 року № 2002 - МР</v>
      </c>
      <c r="G277" s="94">
        <f>H277+I277</f>
        <v>0</v>
      </c>
      <c r="H277" s="27"/>
      <c r="I277" s="27"/>
      <c r="J277" s="27"/>
      <c r="K277" s="141"/>
    </row>
    <row r="278" spans="1:11" ht="202.5" customHeight="1" hidden="1">
      <c r="A278" s="142" t="s">
        <v>490</v>
      </c>
      <c r="B278" s="142" t="s">
        <v>407</v>
      </c>
      <c r="C278" s="142" t="s">
        <v>114</v>
      </c>
      <c r="D278" s="146" t="s">
        <v>408</v>
      </c>
      <c r="E278" s="26"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78" s="26" t="str">
        <f>F318</f>
        <v>ріш СМР від 26.01.2022 року № 2718- МР (зі змінами)</v>
      </c>
      <c r="G278" s="94">
        <f>H278+I278</f>
        <v>0</v>
      </c>
      <c r="H278" s="27"/>
      <c r="I278" s="27"/>
      <c r="J278" s="27"/>
      <c r="K278" s="141"/>
    </row>
    <row r="279" spans="1:11" ht="252" customHeight="1" hidden="1">
      <c r="A279" s="142"/>
      <c r="B279" s="142"/>
      <c r="C279" s="142"/>
      <c r="D279" s="146"/>
      <c r="E279" s="26" t="str">
        <f>E336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9" s="26" t="str">
        <f>F336</f>
        <v>від 27.10.2021 року № 2002 - МР</v>
      </c>
      <c r="G279" s="94">
        <f>H279+I279</f>
        <v>0</v>
      </c>
      <c r="H279" s="27"/>
      <c r="I279" s="27"/>
      <c r="J279" s="27"/>
      <c r="K279" s="141"/>
    </row>
    <row r="280" spans="1:12" s="37" customFormat="1" ht="150.75" customHeight="1" hidden="1">
      <c r="A280" s="19"/>
      <c r="B280" s="19"/>
      <c r="C280" s="19"/>
      <c r="D280" s="20" t="s">
        <v>491</v>
      </c>
      <c r="E280" s="20"/>
      <c r="F280" s="20"/>
      <c r="G280" s="115">
        <f>SUM(G281:G287)</f>
        <v>0</v>
      </c>
      <c r="H280" s="22">
        <f>SUM(H281:H287)</f>
        <v>0</v>
      </c>
      <c r="I280" s="22">
        <f>SUM(I281:I287)</f>
        <v>0</v>
      </c>
      <c r="J280" s="22">
        <f>SUM(J281:J287)</f>
        <v>0</v>
      </c>
      <c r="K280" s="141"/>
      <c r="L280" s="36"/>
    </row>
    <row r="281" spans="1:12" s="37" customFormat="1" ht="177" customHeight="1" hidden="1">
      <c r="A281" s="25" t="s">
        <v>492</v>
      </c>
      <c r="B281" s="25" t="s">
        <v>15</v>
      </c>
      <c r="C281" s="25" t="s">
        <v>16</v>
      </c>
      <c r="D281" s="26" t="s">
        <v>427</v>
      </c>
      <c r="E281" s="26" t="s">
        <v>428</v>
      </c>
      <c r="F281" s="26" t="s">
        <v>493</v>
      </c>
      <c r="G281" s="94">
        <f aca="true" t="shared" si="9" ref="G281:G288">H281+I281</f>
        <v>0</v>
      </c>
      <c r="H281" s="27"/>
      <c r="I281" s="22"/>
      <c r="J281" s="22"/>
      <c r="K281" s="141"/>
      <c r="L281" s="36"/>
    </row>
    <row r="282" spans="1:11" ht="217.5" customHeight="1" hidden="1">
      <c r="A282" s="25" t="s">
        <v>494</v>
      </c>
      <c r="B282" s="25" t="s">
        <v>495</v>
      </c>
      <c r="C282" s="25" t="s">
        <v>496</v>
      </c>
      <c r="D282" s="26" t="s">
        <v>497</v>
      </c>
      <c r="E282" s="35" t="str">
        <f>E319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2" s="35" t="str">
        <f>F319</f>
        <v>ріш СМР від 29.09.2021 року № 1600-МР (зі змінами)</v>
      </c>
      <c r="G282" s="94">
        <f t="shared" si="9"/>
        <v>0</v>
      </c>
      <c r="H282" s="27"/>
      <c r="I282" s="27"/>
      <c r="J282" s="27"/>
      <c r="K282" s="141"/>
    </row>
    <row r="283" spans="1:11" ht="208.5" customHeight="1" hidden="1">
      <c r="A283" s="25" t="s">
        <v>498</v>
      </c>
      <c r="B283" s="25" t="s">
        <v>499</v>
      </c>
      <c r="C283" s="25" t="s">
        <v>114</v>
      </c>
      <c r="D283" s="26" t="s">
        <v>471</v>
      </c>
      <c r="E283" s="35" t="s">
        <v>223</v>
      </c>
      <c r="F283" s="26" t="s">
        <v>23</v>
      </c>
      <c r="G283" s="94">
        <f t="shared" si="9"/>
        <v>0</v>
      </c>
      <c r="H283" s="27"/>
      <c r="I283" s="27"/>
      <c r="J283" s="27"/>
      <c r="K283" s="141"/>
    </row>
    <row r="284" spans="1:11" ht="163.5" customHeight="1" hidden="1">
      <c r="A284" s="25" t="s">
        <v>500</v>
      </c>
      <c r="B284" s="25" t="s">
        <v>105</v>
      </c>
      <c r="C284" s="25" t="s">
        <v>106</v>
      </c>
      <c r="D284" s="26" t="s">
        <v>107</v>
      </c>
      <c r="E284" s="26" t="str">
        <f>E339</f>
        <v>Цільова Програма підтримки малого і середнього підприємництва Сумської міської територіальної громади на 2022-2024 роки</v>
      </c>
      <c r="F284" s="26" t="str">
        <f>F339</f>
        <v>від 29.09.2021 року № 1601-МР</v>
      </c>
      <c r="G284" s="94">
        <f t="shared" si="9"/>
        <v>0</v>
      </c>
      <c r="H284" s="27"/>
      <c r="I284" s="27"/>
      <c r="J284" s="27"/>
      <c r="K284" s="141"/>
    </row>
    <row r="285" spans="1:11" ht="213" customHeight="1" hidden="1">
      <c r="A285" s="25" t="s">
        <v>501</v>
      </c>
      <c r="B285" s="25" t="s">
        <v>502</v>
      </c>
      <c r="C285" s="25" t="s">
        <v>114</v>
      </c>
      <c r="D285" s="26" t="s">
        <v>503</v>
      </c>
      <c r="E285" s="35" t="str">
        <f>E319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5" s="35" t="str">
        <f>F319</f>
        <v>ріш СМР від 29.09.2021 року № 1600-МР (зі змінами)</v>
      </c>
      <c r="G285" s="94">
        <f t="shared" si="9"/>
        <v>0</v>
      </c>
      <c r="H285" s="27"/>
      <c r="I285" s="27"/>
      <c r="J285" s="27"/>
      <c r="K285" s="141"/>
    </row>
    <row r="286" spans="1:11" ht="230.25" customHeight="1" hidden="1">
      <c r="A286" s="25" t="s">
        <v>504</v>
      </c>
      <c r="B286" s="25" t="s">
        <v>505</v>
      </c>
      <c r="C286" s="25" t="s">
        <v>114</v>
      </c>
      <c r="D286" s="26" t="s">
        <v>506</v>
      </c>
      <c r="E286" s="35" t="str">
        <f>E319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6" s="35" t="str">
        <f>F319</f>
        <v>ріш СМР від 29.09.2021 року № 1600-МР (зі змінами)</v>
      </c>
      <c r="G286" s="94">
        <f t="shared" si="9"/>
        <v>0</v>
      </c>
      <c r="H286" s="27"/>
      <c r="I286" s="27"/>
      <c r="J286" s="27"/>
      <c r="K286" s="141"/>
    </row>
    <row r="287" spans="1:11" ht="223.5" customHeight="1" hidden="1">
      <c r="A287" s="25" t="s">
        <v>507</v>
      </c>
      <c r="B287" s="25" t="s">
        <v>120</v>
      </c>
      <c r="C287" s="25" t="s">
        <v>114</v>
      </c>
      <c r="D287" s="26" t="s">
        <v>121</v>
      </c>
      <c r="E287" s="35" t="str">
        <f>E319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7" s="35" t="str">
        <f>F319</f>
        <v>ріш СМР від 29.09.2021 року № 1600-МР (зі змінами)</v>
      </c>
      <c r="G287" s="94">
        <f t="shared" si="9"/>
        <v>0</v>
      </c>
      <c r="H287" s="27"/>
      <c r="I287" s="27"/>
      <c r="J287" s="27"/>
      <c r="K287" s="141"/>
    </row>
    <row r="288" spans="1:11" ht="187.5" customHeight="1" hidden="1">
      <c r="A288" s="25" t="s">
        <v>508</v>
      </c>
      <c r="B288" s="25" t="s">
        <v>147</v>
      </c>
      <c r="C288" s="25" t="s">
        <v>25</v>
      </c>
      <c r="D288" s="32" t="s">
        <v>148</v>
      </c>
      <c r="E288" s="26" t="s">
        <v>509</v>
      </c>
      <c r="F288" s="26" t="s">
        <v>510</v>
      </c>
      <c r="G288" s="94">
        <f t="shared" si="9"/>
        <v>0</v>
      </c>
      <c r="H288" s="27"/>
      <c r="I288" s="27"/>
      <c r="J288" s="27"/>
      <c r="K288" s="141"/>
    </row>
    <row r="289" spans="1:11" ht="187.5" customHeight="1">
      <c r="A289" s="25"/>
      <c r="B289" s="25"/>
      <c r="C289" s="25"/>
      <c r="D289" s="20" t="s">
        <v>620</v>
      </c>
      <c r="E289" s="26"/>
      <c r="F289" s="26"/>
      <c r="G289" s="115">
        <f>G290</f>
        <v>520000</v>
      </c>
      <c r="H289" s="22">
        <f>H290</f>
        <v>520000</v>
      </c>
      <c r="I289" s="22">
        <f>I290</f>
        <v>0</v>
      </c>
      <c r="J289" s="22">
        <f>J290</f>
        <v>0</v>
      </c>
      <c r="K289" s="141"/>
    </row>
    <row r="290" spans="1:11" ht="187.5" customHeight="1">
      <c r="A290" s="25" t="s">
        <v>621</v>
      </c>
      <c r="B290" s="25" t="s">
        <v>105</v>
      </c>
      <c r="C290" s="25" t="s">
        <v>106</v>
      </c>
      <c r="D290" s="32" t="s">
        <v>107</v>
      </c>
      <c r="E290" s="26" t="str">
        <f>E348</f>
        <v>Цільова програма підтримки малого та середнього підприємництва Сумської міської територіальної громади на 2022-2024 роки </v>
      </c>
      <c r="F290" s="26" t="str">
        <f>F348</f>
        <v>ріш СМР від 29.09.2021 року № 1601 - МР (зі змінами)</v>
      </c>
      <c r="G290" s="94">
        <f>H290+I290</f>
        <v>520000</v>
      </c>
      <c r="H290" s="27">
        <f>270000-50000-50000+250000+50000+50000</f>
        <v>520000</v>
      </c>
      <c r="I290" s="27"/>
      <c r="J290" s="27"/>
      <c r="K290" s="141"/>
    </row>
    <row r="291" spans="1:11" ht="112.5" customHeight="1">
      <c r="A291" s="25"/>
      <c r="B291" s="25"/>
      <c r="C291" s="25"/>
      <c r="D291" s="20" t="s">
        <v>511</v>
      </c>
      <c r="E291" s="26"/>
      <c r="F291" s="26"/>
      <c r="G291" s="115">
        <f>G292</f>
        <v>590200</v>
      </c>
      <c r="H291" s="22">
        <f>H292</f>
        <v>590200</v>
      </c>
      <c r="I291" s="22">
        <f>I292</f>
        <v>0</v>
      </c>
      <c r="J291" s="22">
        <f>J292</f>
        <v>0</v>
      </c>
      <c r="K291" s="141"/>
    </row>
    <row r="292" spans="1:11" ht="187.5" customHeight="1">
      <c r="A292" s="25" t="s">
        <v>507</v>
      </c>
      <c r="B292" s="25" t="s">
        <v>120</v>
      </c>
      <c r="C292" s="25" t="s">
        <v>114</v>
      </c>
      <c r="D292" s="26" t="s">
        <v>121</v>
      </c>
      <c r="E292" s="35" t="str">
        <f>E319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2" s="35" t="str">
        <f>F319</f>
        <v>ріш СМР від 29.09.2021 року № 1600-МР (зі змінами)</v>
      </c>
      <c r="G292" s="94">
        <f>H292+I292</f>
        <v>590200</v>
      </c>
      <c r="H292" s="94">
        <f>160000+200000+230200</f>
        <v>590200</v>
      </c>
      <c r="I292" s="27"/>
      <c r="J292" s="27"/>
      <c r="K292" s="141"/>
    </row>
    <row r="293" spans="1:11" ht="151.5" customHeight="1">
      <c r="A293" s="25"/>
      <c r="B293" s="25"/>
      <c r="C293" s="25"/>
      <c r="D293" s="20" t="s">
        <v>512</v>
      </c>
      <c r="E293" s="35"/>
      <c r="F293" s="35"/>
      <c r="G293" s="115">
        <f>G294+G295+G296+G297+G298+G300+G299</f>
        <v>2765200</v>
      </c>
      <c r="H293" s="115">
        <f>H294+H295+H296+H297+H298+H300+H299</f>
        <v>2445600</v>
      </c>
      <c r="I293" s="115">
        <f>I294+I295+I296+I297+I298+I300+I299</f>
        <v>319600</v>
      </c>
      <c r="J293" s="115">
        <f>J294+J295+J296+J297+J298+J300+J299</f>
        <v>175000</v>
      </c>
      <c r="K293" s="141"/>
    </row>
    <row r="294" spans="1:11" ht="220.5" customHeight="1" hidden="1">
      <c r="A294" s="25" t="s">
        <v>513</v>
      </c>
      <c r="B294" s="25" t="s">
        <v>15</v>
      </c>
      <c r="C294" s="25" t="s">
        <v>16</v>
      </c>
      <c r="D294" s="26" t="s">
        <v>17</v>
      </c>
      <c r="E294" s="35" t="str">
        <f>E336</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4" s="35" t="str">
        <f>F336</f>
        <v>від 27.10.2021 року № 2002 - МР</v>
      </c>
      <c r="G294" s="94">
        <f aca="true" t="shared" si="10" ref="G294:G300">H294+I294</f>
        <v>0</v>
      </c>
      <c r="H294" s="27"/>
      <c r="I294" s="27"/>
      <c r="J294" s="27"/>
      <c r="K294" s="141"/>
    </row>
    <row r="295" spans="1:11" ht="187.5" customHeight="1">
      <c r="A295" s="25" t="s">
        <v>514</v>
      </c>
      <c r="B295" s="25" t="s">
        <v>388</v>
      </c>
      <c r="C295" s="25" t="s">
        <v>384</v>
      </c>
      <c r="D295" s="26" t="s">
        <v>389</v>
      </c>
      <c r="E295" s="35"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95" s="35" t="str">
        <f>F318</f>
        <v>ріш СМР від 26.01.2022 року № 2718- МР (зі змінами)</v>
      </c>
      <c r="G295" s="94">
        <f t="shared" si="10"/>
        <v>35600</v>
      </c>
      <c r="H295" s="27">
        <f>70500-50500+15600</f>
        <v>35600</v>
      </c>
      <c r="I295" s="27"/>
      <c r="J295" s="27"/>
      <c r="K295" s="141"/>
    </row>
    <row r="296" spans="1:11" ht="187.5" customHeight="1">
      <c r="A296" s="25" t="s">
        <v>515</v>
      </c>
      <c r="B296" s="25" t="s">
        <v>495</v>
      </c>
      <c r="C296" s="25" t="s">
        <v>496</v>
      </c>
      <c r="D296" s="26" t="s">
        <v>497</v>
      </c>
      <c r="E296" s="35" t="str">
        <f>E319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6" s="35" t="str">
        <f>F319</f>
        <v>ріш СМР від 29.09.2021 року № 1600-МР (зі змінами)</v>
      </c>
      <c r="G296" s="94">
        <f t="shared" si="10"/>
        <v>1750000</v>
      </c>
      <c r="H296" s="27">
        <v>1750000</v>
      </c>
      <c r="I296" s="27"/>
      <c r="J296" s="27"/>
      <c r="K296" s="141"/>
    </row>
    <row r="297" spans="1:11" ht="187.5" customHeight="1">
      <c r="A297" s="25" t="s">
        <v>516</v>
      </c>
      <c r="B297" s="25" t="s">
        <v>502</v>
      </c>
      <c r="C297" s="25" t="s">
        <v>114</v>
      </c>
      <c r="D297" s="26" t="s">
        <v>503</v>
      </c>
      <c r="E297" s="35" t="str">
        <f>E319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7" s="35" t="str">
        <f>F319</f>
        <v>ріш СМР від 29.09.2021 року № 1600-МР (зі змінами)</v>
      </c>
      <c r="G297" s="94">
        <f t="shared" si="10"/>
        <v>30000</v>
      </c>
      <c r="H297" s="27"/>
      <c r="I297" s="27">
        <v>30000</v>
      </c>
      <c r="J297" s="27">
        <v>30000</v>
      </c>
      <c r="K297" s="141"/>
    </row>
    <row r="298" spans="1:11" ht="238.5" customHeight="1">
      <c r="A298" s="25" t="s">
        <v>517</v>
      </c>
      <c r="B298" s="25" t="s">
        <v>505</v>
      </c>
      <c r="C298" s="25" t="s">
        <v>114</v>
      </c>
      <c r="D298" s="26" t="s">
        <v>506</v>
      </c>
      <c r="E298" s="35" t="str">
        <f>E319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98" s="35" t="str">
        <f>F319</f>
        <v>ріш СМР від 29.09.2021 року № 1600-МР (зі змінами)</v>
      </c>
      <c r="G298" s="94">
        <f t="shared" si="10"/>
        <v>145000</v>
      </c>
      <c r="H298" s="27"/>
      <c r="I298" s="27">
        <v>145000</v>
      </c>
      <c r="J298" s="27">
        <v>145000</v>
      </c>
      <c r="K298" s="141"/>
    </row>
    <row r="299" spans="1:11" ht="409.5">
      <c r="A299" s="25" t="s">
        <v>657</v>
      </c>
      <c r="B299" s="25" t="s">
        <v>407</v>
      </c>
      <c r="C299" s="25" t="s">
        <v>114</v>
      </c>
      <c r="D299" s="26" t="s">
        <v>408</v>
      </c>
      <c r="E299" s="35" t="str">
        <f>E318</f>
        <v>Комплексна цільова програма реформування і розвитку житлово-комунального господарства Сумської міської  територіальної громади на 2022-2024 роки </v>
      </c>
      <c r="F299" s="35" t="str">
        <f>F318</f>
        <v>ріш СМР від 26.01.2022 року № 2718- МР (зі змінами)</v>
      </c>
      <c r="G299" s="94">
        <f t="shared" si="10"/>
        <v>144600</v>
      </c>
      <c r="H299" s="27"/>
      <c r="I299" s="27">
        <v>144600</v>
      </c>
      <c r="J299" s="27"/>
      <c r="K299" s="139"/>
    </row>
    <row r="300" spans="1:11" ht="187.5" customHeight="1">
      <c r="A300" s="25" t="s">
        <v>518</v>
      </c>
      <c r="B300" s="25" t="s">
        <v>120</v>
      </c>
      <c r="C300" s="25" t="s">
        <v>114</v>
      </c>
      <c r="D300" s="26" t="s">
        <v>121</v>
      </c>
      <c r="E300" s="35" t="str">
        <f>E319</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300" s="35" t="str">
        <f>F319</f>
        <v>ріш СМР від 29.09.2021 року № 1600-МР (зі змінами)</v>
      </c>
      <c r="G300" s="94">
        <f t="shared" si="10"/>
        <v>660000</v>
      </c>
      <c r="H300" s="27">
        <v>660000</v>
      </c>
      <c r="I300" s="27"/>
      <c r="J300" s="27"/>
      <c r="K300" s="141">
        <v>42</v>
      </c>
    </row>
    <row r="301" spans="1:12" s="37" customFormat="1" ht="154.5" customHeight="1">
      <c r="A301" s="19"/>
      <c r="B301" s="19"/>
      <c r="C301" s="19"/>
      <c r="D301" s="20" t="s">
        <v>519</v>
      </c>
      <c r="E301" s="58"/>
      <c r="F301" s="58"/>
      <c r="G301" s="115">
        <f>G303+G304+G305+G306+G307+G308+G309+G310</f>
        <v>2599309</v>
      </c>
      <c r="H301" s="22">
        <f>H303+H304+H305+H306+H307+H308+H309+H310</f>
        <v>2351309</v>
      </c>
      <c r="I301" s="22">
        <f>I303+I304+I305+I306+I307+I308+I309+I310</f>
        <v>248000</v>
      </c>
      <c r="J301" s="22">
        <f>J303+J304+J305+J306+J307+J308+J309+J310</f>
        <v>0</v>
      </c>
      <c r="K301" s="141"/>
      <c r="L301" s="36"/>
    </row>
    <row r="302" spans="1:12" s="37" customFormat="1" ht="177" customHeight="1" hidden="1">
      <c r="A302" s="25" t="s">
        <v>520</v>
      </c>
      <c r="B302" s="25" t="s">
        <v>15</v>
      </c>
      <c r="C302" s="25" t="s">
        <v>16</v>
      </c>
      <c r="D302" s="26" t="s">
        <v>427</v>
      </c>
      <c r="E302" s="26" t="s">
        <v>428</v>
      </c>
      <c r="F302" s="26" t="s">
        <v>493</v>
      </c>
      <c r="G302" s="94">
        <f aca="true" t="shared" si="11" ref="G302:G312">H302+I302</f>
        <v>0</v>
      </c>
      <c r="H302" s="27"/>
      <c r="I302" s="22"/>
      <c r="J302" s="22"/>
      <c r="K302" s="141"/>
      <c r="L302" s="36"/>
    </row>
    <row r="303" spans="1:12" s="37" customFormat="1" ht="156.75" customHeight="1">
      <c r="A303" s="25" t="s">
        <v>521</v>
      </c>
      <c r="B303" s="25" t="s">
        <v>109</v>
      </c>
      <c r="C303" s="25" t="s">
        <v>110</v>
      </c>
      <c r="D303" s="26" t="s">
        <v>111</v>
      </c>
      <c r="E303" s="26" t="str">
        <f>E335</f>
        <v>Програма підвищення енергоефективності в бюджетній сфері Сумської міської територіальної громади на 2022-2024 роки</v>
      </c>
      <c r="F303" s="26" t="str">
        <f>F335</f>
        <v>ріш СМР від 26.01.2022 року № 2715-МР (зі змінами)</v>
      </c>
      <c r="G303" s="94">
        <f t="shared" si="11"/>
        <v>666700</v>
      </c>
      <c r="H303" s="27">
        <f>596800+20000+49900</f>
        <v>666700</v>
      </c>
      <c r="I303" s="27"/>
      <c r="J303" s="27"/>
      <c r="K303" s="141"/>
      <c r="L303" s="36"/>
    </row>
    <row r="304" spans="1:12" s="37" customFormat="1" ht="121.5" customHeight="1">
      <c r="A304" s="25" t="s">
        <v>522</v>
      </c>
      <c r="B304" s="25" t="s">
        <v>120</v>
      </c>
      <c r="C304" s="25" t="s">
        <v>114</v>
      </c>
      <c r="D304" s="26" t="s">
        <v>121</v>
      </c>
      <c r="E304" s="35" t="str">
        <f>E330</f>
        <v>Програма економічного і соціального розвитку Сумської міської територіальної громади на 2023 рік</v>
      </c>
      <c r="F304" s="35" t="str">
        <f>F330</f>
        <v>ріш СМР від 14.12.2022 року № 3310-МР (зі змінами)</v>
      </c>
      <c r="G304" s="94">
        <f t="shared" si="11"/>
        <v>65800</v>
      </c>
      <c r="H304" s="27">
        <f>300000-234200</f>
        <v>65800</v>
      </c>
      <c r="I304" s="27"/>
      <c r="J304" s="27"/>
      <c r="K304" s="141"/>
      <c r="L304" s="36"/>
    </row>
    <row r="305" spans="1:12" s="37" customFormat="1" ht="188.25" customHeight="1">
      <c r="A305" s="25" t="s">
        <v>523</v>
      </c>
      <c r="B305" s="25" t="s">
        <v>272</v>
      </c>
      <c r="C305" s="25" t="s">
        <v>26</v>
      </c>
      <c r="D305" s="26" t="s">
        <v>214</v>
      </c>
      <c r="E305" s="26" t="str">
        <f>E335</f>
        <v>Програма підвищення енергоефективності в бюджетній сфері Сумської міської територіальної громади на 2022-2024 роки</v>
      </c>
      <c r="F305" s="26" t="str">
        <f>F335</f>
        <v>ріш СМР від 26.01.2022 року № 2715-МР (зі змінами)</v>
      </c>
      <c r="G305" s="94">
        <f t="shared" si="11"/>
        <v>10000</v>
      </c>
      <c r="H305" s="27">
        <v>10000</v>
      </c>
      <c r="I305" s="27"/>
      <c r="J305" s="27"/>
      <c r="K305" s="141"/>
      <c r="L305" s="36"/>
    </row>
    <row r="306" spans="1:12" s="37" customFormat="1" ht="198.75" customHeight="1">
      <c r="A306" s="25" t="s">
        <v>524</v>
      </c>
      <c r="B306" s="25">
        <v>8330</v>
      </c>
      <c r="C306" s="25" t="s">
        <v>135</v>
      </c>
      <c r="D306" s="26" t="s">
        <v>525</v>
      </c>
      <c r="E306" s="35" t="str">
        <f>E330</f>
        <v>Програма економічного і соціального розвитку Сумської міської територіальної громади на 2023 рік</v>
      </c>
      <c r="F306" s="35" t="str">
        <f>F330</f>
        <v>ріш СМР від 14.12.2022 року № 3310-МР (зі змінами)</v>
      </c>
      <c r="G306" s="94">
        <f t="shared" si="11"/>
        <v>108000</v>
      </c>
      <c r="H306" s="27">
        <f>80000+28000</f>
        <v>108000</v>
      </c>
      <c r="I306" s="27"/>
      <c r="J306" s="27"/>
      <c r="K306" s="141"/>
      <c r="L306" s="36"/>
    </row>
    <row r="307" spans="1:11" ht="187.5" customHeight="1">
      <c r="A307" s="25" t="s">
        <v>526</v>
      </c>
      <c r="B307" s="25" t="s">
        <v>134</v>
      </c>
      <c r="C307" s="25" t="s">
        <v>135</v>
      </c>
      <c r="D307" s="26" t="s">
        <v>136</v>
      </c>
      <c r="E307" s="35" t="str">
        <f>E333</f>
        <v>Програма охорони навколишнього природного середовища Сумської міської територіальної громади на 2022-2024 роки</v>
      </c>
      <c r="F307" s="35" t="str">
        <f>F333</f>
        <v>ріш ВК від 27.05.2022 № 162 (зі змінами)</v>
      </c>
      <c r="G307" s="94">
        <f t="shared" si="11"/>
        <v>248000</v>
      </c>
      <c r="H307" s="27"/>
      <c r="I307" s="27">
        <f>190000+58000</f>
        <v>248000</v>
      </c>
      <c r="J307" s="27"/>
      <c r="K307" s="141"/>
    </row>
    <row r="308" spans="1:11" ht="156.75" customHeight="1">
      <c r="A308" s="25" t="s">
        <v>527</v>
      </c>
      <c r="B308" s="25">
        <v>8600</v>
      </c>
      <c r="C308" s="25" t="s">
        <v>19</v>
      </c>
      <c r="D308" s="26" t="s">
        <v>528</v>
      </c>
      <c r="E308" s="35" t="str">
        <f>E330</f>
        <v>Програма економічного і соціального розвитку Сумської міської територіальної громади на 2023 рік</v>
      </c>
      <c r="F308" s="35" t="str">
        <f>F330</f>
        <v>ріш СМР від 14.12.2022 року № 3310-МР (зі змінами)</v>
      </c>
      <c r="G308" s="94">
        <f>H308+I308</f>
        <v>1500809</v>
      </c>
      <c r="H308" s="27">
        <v>1500809</v>
      </c>
      <c r="I308" s="27"/>
      <c r="J308" s="27"/>
      <c r="K308" s="141"/>
    </row>
    <row r="309" spans="1:11" ht="182.25" customHeight="1">
      <c r="A309" s="25" t="s">
        <v>529</v>
      </c>
      <c r="B309" s="25">
        <v>8881</v>
      </c>
      <c r="C309" s="25" t="s">
        <v>114</v>
      </c>
      <c r="D309" s="26" t="s">
        <v>530</v>
      </c>
      <c r="E309" s="35" t="str">
        <f>E330</f>
        <v>Програма економічного і соціального розвитку Сумської міської територіальної громади на 2023 рік</v>
      </c>
      <c r="F309" s="35" t="str">
        <f>F330</f>
        <v>ріш СМР від 14.12.2022 року № 3310-МР (зі змінами)</v>
      </c>
      <c r="G309" s="94">
        <f t="shared" si="11"/>
        <v>2322989</v>
      </c>
      <c r="H309" s="27"/>
      <c r="I309" s="27">
        <v>2322989</v>
      </c>
      <c r="J309" s="27">
        <v>2322989</v>
      </c>
      <c r="K309" s="141"/>
    </row>
    <row r="310" spans="1:11" ht="185.25" customHeight="1">
      <c r="A310" s="25" t="s">
        <v>531</v>
      </c>
      <c r="B310" s="25">
        <v>8882</v>
      </c>
      <c r="C310" s="25" t="s">
        <v>114</v>
      </c>
      <c r="D310" s="26" t="s">
        <v>532</v>
      </c>
      <c r="E310" s="35" t="str">
        <f>E330</f>
        <v>Програма економічного і соціального розвитку Сумської міської територіальної громади на 2023 рік</v>
      </c>
      <c r="F310" s="35" t="str">
        <f>F330</f>
        <v>ріш СМР від 14.12.2022 року № 3310-МР (зі змінами)</v>
      </c>
      <c r="G310" s="94">
        <f t="shared" si="11"/>
        <v>-2322989</v>
      </c>
      <c r="H310" s="27"/>
      <c r="I310" s="27">
        <v>-2322989</v>
      </c>
      <c r="J310" s="27">
        <v>-2322989</v>
      </c>
      <c r="K310" s="141"/>
    </row>
    <row r="311" spans="1:11" ht="409.5" customHeight="1" hidden="1">
      <c r="A311" s="25" t="s">
        <v>533</v>
      </c>
      <c r="B311" s="59" t="s">
        <v>534</v>
      </c>
      <c r="C311" s="59" t="s">
        <v>25</v>
      </c>
      <c r="D311" s="28" t="s">
        <v>535</v>
      </c>
      <c r="E311" s="35" t="s">
        <v>223</v>
      </c>
      <c r="F311" s="26" t="s">
        <v>23</v>
      </c>
      <c r="G311" s="94">
        <f t="shared" si="11"/>
        <v>0</v>
      </c>
      <c r="H311" s="27"/>
      <c r="I311" s="27"/>
      <c r="J311" s="27"/>
      <c r="K311" s="141"/>
    </row>
    <row r="312" spans="1:11" ht="177" customHeight="1" hidden="1">
      <c r="A312" s="25" t="s">
        <v>536</v>
      </c>
      <c r="B312" s="25" t="s">
        <v>144</v>
      </c>
      <c r="C312" s="25" t="s">
        <v>25</v>
      </c>
      <c r="D312" s="26" t="s">
        <v>145</v>
      </c>
      <c r="E312" s="35" t="s">
        <v>223</v>
      </c>
      <c r="F312" s="26" t="s">
        <v>23</v>
      </c>
      <c r="G312" s="94">
        <f t="shared" si="11"/>
        <v>0</v>
      </c>
      <c r="H312" s="27"/>
      <c r="I312" s="27"/>
      <c r="J312" s="27"/>
      <c r="K312" s="141"/>
    </row>
    <row r="313" spans="1:12" s="64" customFormat="1" ht="94.5" customHeight="1">
      <c r="A313" s="60"/>
      <c r="B313" s="164" t="s">
        <v>537</v>
      </c>
      <c r="C313" s="164"/>
      <c r="D313" s="164"/>
      <c r="E313" s="164"/>
      <c r="F313" s="61"/>
      <c r="G313" s="116">
        <f>G14+G66+G119+G146+G170+G174+G183+G241+G274+G293+G301+G291+G289</f>
        <v>4024009627.4900002</v>
      </c>
      <c r="H313" s="62">
        <f>H14+H66+H119+H146+H170+H174+H183+H241+H274+H293+H301+H291+H289</f>
        <v>2445273106.91</v>
      </c>
      <c r="I313" s="62">
        <f>I14+I66+I119+I146+I170+I174+I183+I241+I274+I293+I301+I291+I289</f>
        <v>1578736520.58</v>
      </c>
      <c r="J313" s="62">
        <f>J14+J66+J119+J146+J170+J174+J183+J241+J274+J293+J301+J291+J289</f>
        <v>983055695.03</v>
      </c>
      <c r="K313" s="141"/>
      <c r="L313" s="63"/>
    </row>
    <row r="314" spans="1:14" ht="138" customHeight="1">
      <c r="A314" s="65"/>
      <c r="B314" s="66"/>
      <c r="C314" s="66"/>
      <c r="D314" s="26"/>
      <c r="E314" s="26" t="s">
        <v>538</v>
      </c>
      <c r="F314" s="26" t="s">
        <v>623</v>
      </c>
      <c r="G314" s="117">
        <f>G15+G31+G32+G56+G67+G120+G147+G175+G184+G238+G242+G281+G302</f>
        <v>1360000</v>
      </c>
      <c r="H314" s="67">
        <f>H15+H31+H32+H56+H67+H120+H147+H175+H184+H238+H242+H281+H302</f>
        <v>1360000</v>
      </c>
      <c r="I314" s="67">
        <f>I15+I31+I32+I56+I67+I120+I147+I175+I184+I238+I242+I281+I302</f>
        <v>0</v>
      </c>
      <c r="J314" s="67">
        <f>J15+J31+J32+J56+J67+J120+J147+J175+J184+J238+J242+J281+J302</f>
        <v>0</v>
      </c>
      <c r="K314" s="141"/>
      <c r="L314" s="68">
        <f aca="true" t="shared" si="12" ref="L314:L346">H314+I314-G314</f>
        <v>0</v>
      </c>
      <c r="N314" s="69"/>
    </row>
    <row r="315" spans="1:14" ht="105.75" customHeight="1">
      <c r="A315" s="65"/>
      <c r="B315" s="66"/>
      <c r="C315" s="66"/>
      <c r="D315" s="26"/>
      <c r="E315" s="26" t="s">
        <v>539</v>
      </c>
      <c r="F315" s="26" t="s">
        <v>629</v>
      </c>
      <c r="G315" s="117">
        <f>G19</f>
        <v>1265500</v>
      </c>
      <c r="H315" s="67">
        <f>H19</f>
        <v>1265500</v>
      </c>
      <c r="I315" s="67">
        <f>I19</f>
        <v>0</v>
      </c>
      <c r="J315" s="67">
        <f>J19</f>
        <v>0</v>
      </c>
      <c r="K315" s="141"/>
      <c r="L315" s="68">
        <f t="shared" si="12"/>
        <v>0</v>
      </c>
      <c r="N315" s="69"/>
    </row>
    <row r="316" spans="1:12" ht="147.75" customHeight="1">
      <c r="A316" s="65"/>
      <c r="B316" s="66"/>
      <c r="C316" s="66"/>
      <c r="D316" s="70"/>
      <c r="E316" s="26" t="s">
        <v>540</v>
      </c>
      <c r="F316" s="26" t="s">
        <v>541</v>
      </c>
      <c r="G316" s="117">
        <f>G20+G22+G68+G71+G74+G76+G77+G81+G84+G85+G86+G87+G88+G93+G102+G113+G115+G79+G94+G80+G92+G91+G75+G78+G89+G90+G104+G114+G82+G83+G243+G244+G245+G96+G97+G250+G251+G257+G263+G99+G98</f>
        <v>1558765274.33</v>
      </c>
      <c r="H316" s="117">
        <f>H20+H22+H68+H71+H74+H76+H77+H81+H84+H85+H86+H87+H88+H93+H102+H113+H115+H79+H94+H80+H92+H91+H75+H78+H89+H90+H104+H114+H82+H83+H243+H244+H245+H96+H97+H250+H251+H257+H263+H99+H98</f>
        <v>1281505609.31</v>
      </c>
      <c r="I316" s="117">
        <f>I20+I22+I68+I71+I74+I76+I77+I81+I84+I85+I86+I87+I88+I93+I102+I113+I115+I79+I94+I80+I92+I91+I75+I78+I89+I90+I104+I114+I82+I83+I243+I244+I245+I96+I97+I250+I251+I257+I263+I99+I98</f>
        <v>277259665.02</v>
      </c>
      <c r="J316" s="117">
        <f>J20+J22+J68+J71+J74+J76+J77+J81+J84+J85+J86+J87+J88+J93+J102+J113+J115+J79+J94+J80+J92+J91+J75+J78+J89+J90+J104+J114+J82+J83+J243+J244+J245+J96+J97+J250+J251+J257+J263+J99+J98</f>
        <v>183271075.02</v>
      </c>
      <c r="K316" s="141"/>
      <c r="L316" s="68">
        <f t="shared" si="12"/>
        <v>0</v>
      </c>
    </row>
    <row r="317" spans="1:12" ht="144.75" customHeight="1">
      <c r="A317" s="65"/>
      <c r="B317" s="66"/>
      <c r="C317" s="66"/>
      <c r="D317" s="70"/>
      <c r="E317" s="35" t="s">
        <v>242</v>
      </c>
      <c r="F317" s="26" t="s">
        <v>542</v>
      </c>
      <c r="G317" s="117">
        <f>G121+G123+G124+G127+G129+G130+G132+G133+G135+G131+G136+G143+G144+G139+G246+G126+G258</f>
        <v>371776476</v>
      </c>
      <c r="H317" s="117">
        <f>H121+H123+H124+H127+H129+H130+H132+H133+H135+H131+H136+H143+H144+H139+H246+H126+H258</f>
        <v>116416056</v>
      </c>
      <c r="I317" s="117">
        <f>I121+I123+I124+I127+I129+I130+I132+I133+I135+I131+I136+I143+I144+I139+I246+I126+I258</f>
        <v>255360420</v>
      </c>
      <c r="J317" s="117">
        <f>J121+J123+J124+J127+J129+J130+J132+J133+J135+J131+J136+J143+J144+J139+J246+J126+J258</f>
        <v>255360420</v>
      </c>
      <c r="K317" s="141"/>
      <c r="L317" s="68">
        <f t="shared" si="12"/>
        <v>0</v>
      </c>
    </row>
    <row r="318" spans="1:12" ht="189" customHeight="1">
      <c r="A318" s="65"/>
      <c r="B318" s="66"/>
      <c r="C318" s="66"/>
      <c r="D318" s="70"/>
      <c r="E318" s="26" t="s">
        <v>543</v>
      </c>
      <c r="F318" s="26" t="s">
        <v>544</v>
      </c>
      <c r="G318" s="117">
        <f>G185+G186+G187+G191+G192+G193+G194+G200+G207+G210+G212+G220+G221+G224+G227+G233+G235+G247+G268+G275+G278+G231+G213+G189+G223+G295+G205+G199+G215+G219+G218+G214+G217+G299</f>
        <v>659599625.61</v>
      </c>
      <c r="H318" s="117">
        <f>H185+H186+H187+H191+H192+H193+H194+H200+H207+H210+H212+H220+H221+H224+H227+H233+H235+H247+H268+H275+H278+H231+H213+H189+H223+H295+H205+H199+H215+H219+H218+H214+H217+H299</f>
        <v>340299882.6</v>
      </c>
      <c r="I318" s="117">
        <f>I185+I186+I187+I191+I192+I193+I194+I200+I207+I210+I212+I220+I221+I224+I227+I233+I235+I247+I268+I275+I278+I231+I213+I189+I223+I295+I205+I199+I215+I219+I218+I214+I217+I299</f>
        <v>319299743.01</v>
      </c>
      <c r="J318" s="117">
        <f>J185+J186+J187+J191+J192+J193+J194+J200+J207+J210+J212+J220+J221+J224+J227+J233+J235+J247+J268+J275+J278+J231+J213+J189+J223+J295+J205+J199+J215+J219+J218+J214+J217+J299</f>
        <v>80886910.00999999</v>
      </c>
      <c r="K318" s="141"/>
      <c r="L318" s="68">
        <f t="shared" si="12"/>
        <v>0</v>
      </c>
    </row>
    <row r="319" spans="1:12" ht="201.75" customHeight="1">
      <c r="A319" s="65"/>
      <c r="B319" s="66"/>
      <c r="C319" s="66"/>
      <c r="D319" s="70"/>
      <c r="E319" s="35" t="s">
        <v>545</v>
      </c>
      <c r="F319" s="35" t="s">
        <v>546</v>
      </c>
      <c r="G319" s="117">
        <f>G282+G285+G286+G287+G292+G296+G300+G297+G298</f>
        <v>3175200</v>
      </c>
      <c r="H319" s="67">
        <f>H282+H285+H286+H287+H292+H296+H300+H297+H298</f>
        <v>3000200</v>
      </c>
      <c r="I319" s="67">
        <f>I282+I285+I286+I287+I292+I296+I300+I297+I298</f>
        <v>175000</v>
      </c>
      <c r="J319" s="67">
        <f>J282+J285+J286+J287+J292+J296+J300+J297+J298</f>
        <v>175000</v>
      </c>
      <c r="K319" s="141"/>
      <c r="L319" s="68">
        <f t="shared" si="12"/>
        <v>0</v>
      </c>
    </row>
    <row r="320" spans="1:12" ht="138" customHeight="1">
      <c r="A320" s="65"/>
      <c r="B320" s="66"/>
      <c r="C320" s="66"/>
      <c r="D320" s="70"/>
      <c r="E320" s="26" t="s">
        <v>547</v>
      </c>
      <c r="F320" s="26" t="s">
        <v>548</v>
      </c>
      <c r="G320" s="117">
        <f>G52+G63+G65</f>
        <v>23578339</v>
      </c>
      <c r="H320" s="67">
        <f>H52+H63+H65</f>
        <v>7045267</v>
      </c>
      <c r="I320" s="67">
        <f>I52+I63+I65</f>
        <v>16533072</v>
      </c>
      <c r="J320" s="67">
        <f>J52+J63+J65</f>
        <v>16533072</v>
      </c>
      <c r="K320" s="141">
        <v>43</v>
      </c>
      <c r="L320" s="68">
        <f t="shared" si="12"/>
        <v>0</v>
      </c>
    </row>
    <row r="321" spans="1:12" ht="150" customHeight="1">
      <c r="A321" s="65"/>
      <c r="B321" s="66"/>
      <c r="C321" s="66"/>
      <c r="D321" s="70"/>
      <c r="E321" s="26" t="s">
        <v>549</v>
      </c>
      <c r="F321" s="26" t="s">
        <v>550</v>
      </c>
      <c r="G321" s="117">
        <f>G39+G40+G42+G43+G47+G41</f>
        <v>81353233</v>
      </c>
      <c r="H321" s="67">
        <f>H39+H40+H42+H43+H47+H41</f>
        <v>79673443</v>
      </c>
      <c r="I321" s="67">
        <f>I39+I40+I42+I43+I47+I41</f>
        <v>1679790</v>
      </c>
      <c r="J321" s="67">
        <f>J39+J40+J42+J43+J47+J41</f>
        <v>1679790</v>
      </c>
      <c r="K321" s="141"/>
      <c r="L321" s="68">
        <f t="shared" si="12"/>
        <v>0</v>
      </c>
    </row>
    <row r="322" spans="1:12" ht="146.25" customHeight="1">
      <c r="A322" s="65"/>
      <c r="B322" s="66"/>
      <c r="C322" s="66"/>
      <c r="D322" s="70"/>
      <c r="E322" s="26" t="s">
        <v>551</v>
      </c>
      <c r="F322" s="26" t="s">
        <v>552</v>
      </c>
      <c r="G322" s="117">
        <f>G44</f>
        <v>10240202</v>
      </c>
      <c r="H322" s="67">
        <f>H44</f>
        <v>6446348</v>
      </c>
      <c r="I322" s="67">
        <f>I44</f>
        <v>3793854</v>
      </c>
      <c r="J322" s="67">
        <f>J44</f>
        <v>3793854</v>
      </c>
      <c r="K322" s="141"/>
      <c r="L322" s="68">
        <f t="shared" si="12"/>
        <v>0</v>
      </c>
    </row>
    <row r="323" spans="1:12" ht="153" customHeight="1">
      <c r="A323" s="65"/>
      <c r="B323" s="66"/>
      <c r="C323" s="66"/>
      <c r="D323" s="70"/>
      <c r="E323" s="26" t="s">
        <v>553</v>
      </c>
      <c r="F323" s="26" t="s">
        <v>554</v>
      </c>
      <c r="G323" s="117">
        <f>G28+G69+G72+G149+G150+G151+G152+G153+G154+G156+G157+G159+G161+G162+G164+G168</f>
        <v>112259010</v>
      </c>
      <c r="H323" s="67">
        <f>H28+H69+H72+H149+H150+H151+H152+H153+H154+H156+H157+H159+H161+H162+H164+H168</f>
        <v>112259010</v>
      </c>
      <c r="I323" s="67">
        <f>I28+I69+I72+I149+I150+I151+I152+I153+I154+I156+I157+I159+I161+I162+I164+I168</f>
        <v>0</v>
      </c>
      <c r="J323" s="67">
        <f>J28+J69+J72+J149+J150+J151+J152+J153+J154+J156+J157+J159+J161+J162+J164+J168</f>
        <v>0</v>
      </c>
      <c r="K323" s="141"/>
      <c r="L323" s="68">
        <f t="shared" si="12"/>
        <v>0</v>
      </c>
    </row>
    <row r="324" spans="1:12" ht="143.25" customHeight="1">
      <c r="A324" s="65"/>
      <c r="B324" s="66"/>
      <c r="C324" s="66"/>
      <c r="D324" s="70"/>
      <c r="E324" s="26" t="s">
        <v>555</v>
      </c>
      <c r="F324" s="26" t="s">
        <v>556</v>
      </c>
      <c r="G324" s="118">
        <f>G176+G177+G178+G179+G180</f>
        <v>2744839</v>
      </c>
      <c r="H324" s="71">
        <f>H176+H177+H178+H179+H180</f>
        <v>1562139</v>
      </c>
      <c r="I324" s="71">
        <f>I176+I177+I178+I179+I180</f>
        <v>1182700</v>
      </c>
      <c r="J324" s="71">
        <f>J176+J177+J178+J179+J180</f>
        <v>1182700</v>
      </c>
      <c r="K324" s="141"/>
      <c r="L324" s="68">
        <f t="shared" si="12"/>
        <v>0</v>
      </c>
    </row>
    <row r="325" spans="1:12" ht="141.75" customHeight="1">
      <c r="A325" s="65"/>
      <c r="B325" s="66"/>
      <c r="C325" s="66"/>
      <c r="D325" s="70"/>
      <c r="E325" s="26" t="s">
        <v>557</v>
      </c>
      <c r="F325" s="26" t="s">
        <v>558</v>
      </c>
      <c r="G325" s="117">
        <f>G23+G27</f>
        <v>1717700</v>
      </c>
      <c r="H325" s="67">
        <f>H23+H27</f>
        <v>1717700</v>
      </c>
      <c r="I325" s="67">
        <f>I23+I27</f>
        <v>0</v>
      </c>
      <c r="J325" s="67">
        <f>J23+J27</f>
        <v>0</v>
      </c>
      <c r="K325" s="141"/>
      <c r="L325" s="68">
        <f t="shared" si="12"/>
        <v>0</v>
      </c>
    </row>
    <row r="326" spans="1:12" s="74" customFormat="1" ht="147.75" customHeight="1">
      <c r="A326" s="65"/>
      <c r="B326" s="72"/>
      <c r="C326" s="66"/>
      <c r="D326" s="73"/>
      <c r="E326" s="26" t="s">
        <v>624</v>
      </c>
      <c r="F326" s="26" t="s">
        <v>625</v>
      </c>
      <c r="G326" s="117">
        <f>G100+G171+G172+G173+G249+G198</f>
        <v>334653</v>
      </c>
      <c r="H326" s="67">
        <f>H100+H171+H172+H173+H249+H198</f>
        <v>334653</v>
      </c>
      <c r="I326" s="67">
        <f>I100+I171+I172+I173+I249+I198</f>
        <v>0</v>
      </c>
      <c r="J326" s="67">
        <f>J100+J171+J172+J173+J249+J198</f>
        <v>0</v>
      </c>
      <c r="K326" s="141"/>
      <c r="L326" s="68">
        <f t="shared" si="12"/>
        <v>0</v>
      </c>
    </row>
    <row r="327" spans="1:12" ht="193.5" customHeight="1">
      <c r="A327" s="65"/>
      <c r="B327" s="66"/>
      <c r="C327" s="66"/>
      <c r="D327" s="70"/>
      <c r="E327" s="26" t="s">
        <v>559</v>
      </c>
      <c r="F327" s="26" t="s">
        <v>560</v>
      </c>
      <c r="G327" s="117">
        <f>G51+G226+G54+G232</f>
        <v>79324796</v>
      </c>
      <c r="H327" s="67">
        <f>H51+H226+H54+H232</f>
        <v>23486291</v>
      </c>
      <c r="I327" s="67">
        <f>I51+I226+I54+I232</f>
        <v>55838505</v>
      </c>
      <c r="J327" s="67">
        <f>J51+J226+J54+J232</f>
        <v>55838505</v>
      </c>
      <c r="K327" s="141"/>
      <c r="L327" s="68">
        <f t="shared" si="12"/>
        <v>0</v>
      </c>
    </row>
    <row r="328" spans="1:12" ht="134.25" customHeight="1">
      <c r="A328" s="65"/>
      <c r="B328" s="66"/>
      <c r="C328" s="66"/>
      <c r="D328" s="70"/>
      <c r="E328" s="26" t="s">
        <v>561</v>
      </c>
      <c r="F328" s="26" t="s">
        <v>597</v>
      </c>
      <c r="G328" s="117">
        <f>G21+G24+G30+G25</f>
        <v>6387300</v>
      </c>
      <c r="H328" s="67">
        <f>H21+H24+H30+H25</f>
        <v>6377300</v>
      </c>
      <c r="I328" s="67">
        <f>I21+I24+I30+I25</f>
        <v>10000</v>
      </c>
      <c r="J328" s="67">
        <f>J21+J24+J30+J25</f>
        <v>0</v>
      </c>
      <c r="K328" s="141"/>
      <c r="L328" s="68">
        <f t="shared" si="12"/>
        <v>0</v>
      </c>
    </row>
    <row r="329" spans="1:12" ht="199.5" customHeight="1">
      <c r="A329" s="65"/>
      <c r="B329" s="66"/>
      <c r="C329" s="66"/>
      <c r="D329" s="70"/>
      <c r="E329" s="26" t="s">
        <v>562</v>
      </c>
      <c r="F329" s="26" t="s">
        <v>563</v>
      </c>
      <c r="G329" s="117">
        <f>G18</f>
        <v>805600</v>
      </c>
      <c r="H329" s="67">
        <f>H18</f>
        <v>805600</v>
      </c>
      <c r="I329" s="67">
        <f>I18</f>
        <v>0</v>
      </c>
      <c r="J329" s="67">
        <f>J18</f>
        <v>0</v>
      </c>
      <c r="K329" s="141"/>
      <c r="L329" s="68">
        <f t="shared" si="12"/>
        <v>0</v>
      </c>
    </row>
    <row r="330" spans="1:12" ht="144.75" customHeight="1">
      <c r="A330" s="65"/>
      <c r="B330" s="66"/>
      <c r="C330" s="66"/>
      <c r="D330" s="70"/>
      <c r="E330" s="35" t="s">
        <v>564</v>
      </c>
      <c r="F330" s="26" t="s">
        <v>605</v>
      </c>
      <c r="G330" s="117">
        <f>G48+G116+G163+G201+G248+G253+G254+G255+G256+G260+G261+G264+G266+G267+G269+G283+G304+G306+G308+G309+G310+G311+G312+G57+G259+G60+G234+G105+G62+G109+G145+G117</f>
        <v>57413142</v>
      </c>
      <c r="H330" s="117">
        <f>H48+H116+H163+H201+H248+H253+H254+H255+H256+H260+H261+H264+H266+H267+H269+H283+H304+H306+H308+H309+H310+H311+H312+H57+H259+H60+H234+H105+H62+H109+H145+H117</f>
        <v>14935178</v>
      </c>
      <c r="I330" s="117">
        <f>I48+I116+I163+I201+I248+I253+I254+I255+I256+I260+I261+I264+I266+I267+I269+I283+I304+I306+I308+I309+I310+I311+I312+I57+I259+I60+I234+I105+I62+I109+I145+I117</f>
        <v>42477964</v>
      </c>
      <c r="J330" s="117">
        <f>J48+J116+J163+J201+J248+J253+J254+J255+J256+J260+J261+J264+J266+J267+J269+J283+J304+J306+J308+J309+J310+J311+J312+J57+J259+J60+J234+J105+J62+J109+J145+J117</f>
        <v>42477964</v>
      </c>
      <c r="K330" s="141"/>
      <c r="L330" s="68">
        <f t="shared" si="12"/>
        <v>0</v>
      </c>
    </row>
    <row r="331" spans="1:12" ht="136.5" customHeight="1">
      <c r="A331" s="65"/>
      <c r="B331" s="66"/>
      <c r="C331" s="66"/>
      <c r="D331" s="70"/>
      <c r="E331" s="35" t="s">
        <v>565</v>
      </c>
      <c r="F331" s="35" t="s">
        <v>566</v>
      </c>
      <c r="G331" s="117">
        <f>G252+G272+G273</f>
        <v>1952910.5499999998</v>
      </c>
      <c r="H331" s="67">
        <f>H252+H272+H273</f>
        <v>0</v>
      </c>
      <c r="I331" s="67">
        <f>I252+I272+I273</f>
        <v>1952910.5499999998</v>
      </c>
      <c r="J331" s="67">
        <f>J252+J272+J273</f>
        <v>0</v>
      </c>
      <c r="K331" s="141"/>
      <c r="L331" s="68">
        <f t="shared" si="12"/>
        <v>0</v>
      </c>
    </row>
    <row r="332" spans="1:12" ht="158.25" customHeight="1">
      <c r="A332" s="65"/>
      <c r="B332" s="66"/>
      <c r="C332" s="66"/>
      <c r="D332" s="70"/>
      <c r="E332" s="26" t="s">
        <v>567</v>
      </c>
      <c r="F332" s="75" t="s">
        <v>568</v>
      </c>
      <c r="G332" s="117">
        <f>G203</f>
        <v>722324</v>
      </c>
      <c r="H332" s="67">
        <f>H203</f>
        <v>722324</v>
      </c>
      <c r="I332" s="67">
        <f>I203</f>
        <v>0</v>
      </c>
      <c r="J332" s="67">
        <f>J203</f>
        <v>0</v>
      </c>
      <c r="K332" s="141"/>
      <c r="L332" s="68">
        <f t="shared" si="12"/>
        <v>0</v>
      </c>
    </row>
    <row r="333" spans="1:12" ht="141.75" customHeight="1">
      <c r="A333" s="65"/>
      <c r="B333" s="66"/>
      <c r="C333" s="66"/>
      <c r="D333" s="70"/>
      <c r="E333" s="35" t="s">
        <v>569</v>
      </c>
      <c r="F333" s="26" t="s">
        <v>570</v>
      </c>
      <c r="G333" s="117">
        <f>G55+G112+G142+G182+G188+G195+G204+G208+G211+G222+G230+G262+G307+G265+G206+G229+G110+G216</f>
        <v>261224323</v>
      </c>
      <c r="H333" s="117">
        <f>H55+H112+H142+H182+H188+H195+H204+H208+H211+H222+H230+H262+H307+H265+H206+H229+H110+H216</f>
        <v>500000</v>
      </c>
      <c r="I333" s="117">
        <f>I55+I112+I142+I182+I188+I195+I204+I208+I211+I222+I230+I262+I307+I265+I206+I229+I110+I216</f>
        <v>260724323</v>
      </c>
      <c r="J333" s="117">
        <f>J55+J112+J142+J182+J188+J195+J204+J208+J211+J222+J230+J262+J307+J265+J206+J229+J110+J216</f>
        <v>56998223</v>
      </c>
      <c r="K333" s="141"/>
      <c r="L333" s="68">
        <f t="shared" si="12"/>
        <v>0</v>
      </c>
    </row>
    <row r="334" spans="1:12" ht="151.5" customHeight="1">
      <c r="A334" s="65"/>
      <c r="B334" s="66"/>
      <c r="C334" s="66"/>
      <c r="D334" s="70"/>
      <c r="E334" s="26" t="s">
        <v>596</v>
      </c>
      <c r="F334" s="26" t="s">
        <v>571</v>
      </c>
      <c r="G334" s="117">
        <f>G29+G70+G122+G125+G128+G134+G158+G160+G165+G169+G73</f>
        <v>256953474</v>
      </c>
      <c r="H334" s="117">
        <f>H29+H70+H122+H125+H128+H134+H158+H160+H165+H169+H73</f>
        <v>256953474</v>
      </c>
      <c r="I334" s="117">
        <f>I29+I70+I122+I125+I128+I134+I158+I160+I165+I169+I73</f>
        <v>0</v>
      </c>
      <c r="J334" s="117">
        <f>J29+J70+J122+J125+J128+J134+J158+J160+J165+J169+J73</f>
        <v>0</v>
      </c>
      <c r="K334" s="141"/>
      <c r="L334" s="68">
        <f t="shared" si="12"/>
        <v>0</v>
      </c>
    </row>
    <row r="335" spans="1:12" ht="135.75" customHeight="1">
      <c r="A335" s="65"/>
      <c r="B335" s="66"/>
      <c r="C335" s="66"/>
      <c r="D335" s="70"/>
      <c r="E335" s="26" t="s">
        <v>572</v>
      </c>
      <c r="F335" s="26" t="s">
        <v>573</v>
      </c>
      <c r="G335" s="117">
        <f>G46+G49+G107+G140+G141+G181+G270+G303+G108+G103+G138+G137+G167+G305+G106</f>
        <v>291979928</v>
      </c>
      <c r="H335" s="117">
        <f>H46+H49+H107+H140+H141+H181+H270+H303+H108+H103+H138+H137+H167+H305+H106</f>
        <v>4080214</v>
      </c>
      <c r="I335" s="117">
        <f>I46+I49+I107+I140+I141+I181+I270+I303+I108+I103+I138+I137+I167+I305+I106</f>
        <v>287899714</v>
      </c>
      <c r="J335" s="117">
        <f>J46+J49+J107+J140+J141+J181+J270+J303+J108+J103+J138+J137+J167+J305+J106</f>
        <v>230787432</v>
      </c>
      <c r="K335" s="141"/>
      <c r="L335" s="68">
        <f t="shared" si="12"/>
        <v>0</v>
      </c>
    </row>
    <row r="336" spans="1:12" ht="187.5" customHeight="1" hidden="1">
      <c r="A336" s="65"/>
      <c r="B336" s="66"/>
      <c r="C336" s="66"/>
      <c r="D336" s="70"/>
      <c r="E336" s="26" t="s">
        <v>574</v>
      </c>
      <c r="F336" s="26" t="s">
        <v>575</v>
      </c>
      <c r="G336" s="117"/>
      <c r="H336" s="117"/>
      <c r="I336" s="117"/>
      <c r="J336" s="117"/>
      <c r="K336" s="141"/>
      <c r="L336" s="68">
        <f t="shared" si="12"/>
        <v>0</v>
      </c>
    </row>
    <row r="337" spans="1:12" ht="137.25" customHeight="1">
      <c r="A337" s="65"/>
      <c r="B337" s="66"/>
      <c r="C337" s="66"/>
      <c r="D337" s="70"/>
      <c r="E337" s="26" t="s">
        <v>576</v>
      </c>
      <c r="F337" s="26" t="s">
        <v>577</v>
      </c>
      <c r="G337" s="117">
        <f>G33+G34+G35+G36+G37+G38+G101+G61</f>
        <v>82328478</v>
      </c>
      <c r="H337" s="117">
        <f>H33+H34+H35+H36+H37+H38+H101+H61</f>
        <v>77165268</v>
      </c>
      <c r="I337" s="117">
        <f>I33+I34+I35+I36+I37+I38+I101+I61</f>
        <v>5163210</v>
      </c>
      <c r="J337" s="117">
        <f>J33+J34+J35+J36+J37+J38+J101+J61</f>
        <v>4685100</v>
      </c>
      <c r="K337" s="141"/>
      <c r="L337" s="68">
        <f t="shared" si="12"/>
        <v>0</v>
      </c>
    </row>
    <row r="338" spans="1:12" ht="120.75" customHeight="1">
      <c r="A338" s="65"/>
      <c r="B338" s="66"/>
      <c r="C338" s="66"/>
      <c r="D338" s="70"/>
      <c r="E338" s="35" t="s">
        <v>578</v>
      </c>
      <c r="F338" s="26" t="s">
        <v>579</v>
      </c>
      <c r="G338" s="117">
        <f>G190+G225</f>
        <v>200000</v>
      </c>
      <c r="H338" s="67">
        <f>H190+H225</f>
        <v>50000</v>
      </c>
      <c r="I338" s="67">
        <f>I190+I225</f>
        <v>150000</v>
      </c>
      <c r="J338" s="67">
        <f>J190+J225</f>
        <v>150000</v>
      </c>
      <c r="K338" s="141"/>
      <c r="L338" s="68">
        <f t="shared" si="12"/>
        <v>0</v>
      </c>
    </row>
    <row r="339" spans="1:12" ht="148.5" customHeight="1" hidden="1">
      <c r="A339" s="65"/>
      <c r="B339" s="66"/>
      <c r="C339" s="66"/>
      <c r="D339" s="70"/>
      <c r="E339" s="26" t="s">
        <v>580</v>
      </c>
      <c r="F339" s="26" t="s">
        <v>581</v>
      </c>
      <c r="G339" s="117">
        <f>G45+G284+G288+G240</f>
        <v>0</v>
      </c>
      <c r="H339" s="67">
        <f>H45+H284+H288+H240</f>
        <v>0</v>
      </c>
      <c r="I339" s="67">
        <f>I45+I284+I288+I240</f>
        <v>0</v>
      </c>
      <c r="J339" s="67">
        <f>J45+J284+J288+J240</f>
        <v>0</v>
      </c>
      <c r="K339" s="9"/>
      <c r="L339" s="68">
        <f t="shared" si="12"/>
        <v>0</v>
      </c>
    </row>
    <row r="340" spans="1:12" ht="377.25" customHeight="1">
      <c r="A340" s="66"/>
      <c r="B340" s="66"/>
      <c r="C340" s="66"/>
      <c r="D340" s="70"/>
      <c r="E340" s="26" t="s">
        <v>582</v>
      </c>
      <c r="F340" s="26" t="s">
        <v>606</v>
      </c>
      <c r="G340" s="117">
        <f>G53+G64+G228+G111</f>
        <v>154258470</v>
      </c>
      <c r="H340" s="67">
        <f>H53+H64+H228+H111</f>
        <v>105022820</v>
      </c>
      <c r="I340" s="67">
        <f>I53+I64+I228+I111</f>
        <v>49235650</v>
      </c>
      <c r="J340" s="67">
        <f>J53+J64+J228+J111</f>
        <v>49235650</v>
      </c>
      <c r="K340" s="165">
        <v>44</v>
      </c>
      <c r="L340" s="68">
        <f t="shared" si="12"/>
        <v>0</v>
      </c>
    </row>
    <row r="341" spans="1:12" ht="154.5" customHeight="1" hidden="1">
      <c r="A341" s="66"/>
      <c r="B341" s="66"/>
      <c r="C341" s="66"/>
      <c r="D341" s="70"/>
      <c r="E341" s="35" t="s">
        <v>583</v>
      </c>
      <c r="F341" s="26" t="s">
        <v>326</v>
      </c>
      <c r="G341" s="94">
        <f>G166</f>
        <v>0</v>
      </c>
      <c r="H341" s="27">
        <f>H166</f>
        <v>0</v>
      </c>
      <c r="I341" s="27">
        <f>I166</f>
        <v>0</v>
      </c>
      <c r="J341" s="27">
        <f>J166</f>
        <v>0</v>
      </c>
      <c r="K341" s="165"/>
      <c r="L341" s="68">
        <f t="shared" si="12"/>
        <v>0</v>
      </c>
    </row>
    <row r="342" spans="1:12" ht="186" customHeight="1" hidden="1">
      <c r="A342" s="66"/>
      <c r="B342" s="66"/>
      <c r="C342" s="66"/>
      <c r="D342" s="70"/>
      <c r="E342" s="26" t="s">
        <v>584</v>
      </c>
      <c r="F342" s="26" t="s">
        <v>585</v>
      </c>
      <c r="G342" s="117">
        <f>G148</f>
        <v>0</v>
      </c>
      <c r="H342" s="67">
        <f>H148</f>
        <v>0</v>
      </c>
      <c r="I342" s="67">
        <f>I148</f>
        <v>0</v>
      </c>
      <c r="J342" s="67">
        <f>J148</f>
        <v>0</v>
      </c>
      <c r="K342" s="165"/>
      <c r="L342" s="68">
        <f t="shared" si="12"/>
        <v>0</v>
      </c>
    </row>
    <row r="343" spans="1:12" ht="221.25" customHeight="1">
      <c r="A343" s="66"/>
      <c r="B343" s="66"/>
      <c r="C343" s="66"/>
      <c r="D343" s="70"/>
      <c r="E343" s="26" t="s">
        <v>586</v>
      </c>
      <c r="F343" s="26" t="s">
        <v>587</v>
      </c>
      <c r="G343" s="117">
        <f>G196</f>
        <v>100000</v>
      </c>
      <c r="H343" s="67">
        <f>H196</f>
        <v>100000</v>
      </c>
      <c r="I343" s="67">
        <f>I196</f>
        <v>0</v>
      </c>
      <c r="J343" s="67">
        <f>J196</f>
        <v>0</v>
      </c>
      <c r="K343" s="165"/>
      <c r="L343" s="68">
        <f t="shared" si="12"/>
        <v>0</v>
      </c>
    </row>
    <row r="344" spans="1:12" ht="148.5" customHeight="1" hidden="1">
      <c r="A344" s="66"/>
      <c r="B344" s="66"/>
      <c r="C344" s="66"/>
      <c r="D344" s="70"/>
      <c r="E344" s="26" t="s">
        <v>588</v>
      </c>
      <c r="F344" s="26" t="s">
        <v>595</v>
      </c>
      <c r="G344" s="117">
        <f>G26+G95+G155</f>
        <v>0</v>
      </c>
      <c r="H344" s="67">
        <f>H26+H95+H155</f>
        <v>0</v>
      </c>
      <c r="I344" s="67">
        <f>I26+I95+I155</f>
        <v>0</v>
      </c>
      <c r="J344" s="67">
        <f>J26+J95+J155</f>
        <v>0</v>
      </c>
      <c r="K344" s="165"/>
      <c r="L344" s="68">
        <f t="shared" si="12"/>
        <v>0</v>
      </c>
    </row>
    <row r="345" spans="1:12" s="77" customFormat="1" ht="381" customHeight="1" hidden="1">
      <c r="A345" s="76"/>
      <c r="B345" s="66"/>
      <c r="C345" s="66"/>
      <c r="D345" s="70"/>
      <c r="E345" s="44" t="s">
        <v>589</v>
      </c>
      <c r="F345" s="26" t="s">
        <v>590</v>
      </c>
      <c r="G345" s="117">
        <f>G197+G236</f>
        <v>0</v>
      </c>
      <c r="H345" s="67">
        <f>H197+H236</f>
        <v>0</v>
      </c>
      <c r="I345" s="67">
        <f>I197+I236</f>
        <v>0</v>
      </c>
      <c r="J345" s="67">
        <f>J197+J236</f>
        <v>0</v>
      </c>
      <c r="K345" s="165"/>
      <c r="L345" s="68">
        <f t="shared" si="12"/>
        <v>0</v>
      </c>
    </row>
    <row r="346" spans="1:12" s="77" customFormat="1" ht="172.5" customHeight="1">
      <c r="A346" s="100"/>
      <c r="B346" s="101"/>
      <c r="C346" s="101"/>
      <c r="D346" s="102"/>
      <c r="E346" s="103" t="s">
        <v>591</v>
      </c>
      <c r="F346" s="103" t="s">
        <v>592</v>
      </c>
      <c r="G346" s="119">
        <f>G50</f>
        <v>1568830</v>
      </c>
      <c r="H346" s="104">
        <f>H50</f>
        <v>1568830</v>
      </c>
      <c r="I346" s="104">
        <f>I50</f>
        <v>0</v>
      </c>
      <c r="J346" s="104">
        <f>J50</f>
        <v>0</v>
      </c>
      <c r="K346" s="165"/>
      <c r="L346" s="68">
        <f t="shared" si="12"/>
        <v>0</v>
      </c>
    </row>
    <row r="347" spans="1:12" s="77" customFormat="1" ht="241.5" customHeight="1">
      <c r="A347" s="105"/>
      <c r="B347" s="105"/>
      <c r="C347" s="105"/>
      <c r="D347" s="106"/>
      <c r="E347" s="107" t="s">
        <v>617</v>
      </c>
      <c r="F347" s="107" t="s">
        <v>619</v>
      </c>
      <c r="G347" s="120">
        <f>G202</f>
        <v>100000</v>
      </c>
      <c r="H347" s="108">
        <f>H202</f>
        <v>100000</v>
      </c>
      <c r="I347" s="108">
        <f>I202</f>
        <v>0</v>
      </c>
      <c r="J347" s="108">
        <f>J202</f>
        <v>0</v>
      </c>
      <c r="K347" s="165"/>
      <c r="L347" s="68"/>
    </row>
    <row r="348" spans="1:12" s="77" customFormat="1" ht="194.25" customHeight="1">
      <c r="A348" s="105"/>
      <c r="B348" s="105"/>
      <c r="C348" s="105"/>
      <c r="D348" s="106"/>
      <c r="E348" s="107" t="s">
        <v>622</v>
      </c>
      <c r="F348" s="107" t="s">
        <v>638</v>
      </c>
      <c r="G348" s="120">
        <f>G290</f>
        <v>520000</v>
      </c>
      <c r="H348" s="108">
        <f>H290</f>
        <v>520000</v>
      </c>
      <c r="I348" s="108">
        <f>I290</f>
        <v>0</v>
      </c>
      <c r="J348" s="108">
        <f>J290</f>
        <v>0</v>
      </c>
      <c r="K348" s="165"/>
      <c r="L348" s="68"/>
    </row>
    <row r="349" spans="1:12" s="77" customFormat="1" ht="43.5" customHeight="1">
      <c r="A349" s="78"/>
      <c r="B349" s="78"/>
      <c r="C349" s="78"/>
      <c r="D349" s="79"/>
      <c r="E349" s="80"/>
      <c r="F349" s="80"/>
      <c r="G349" s="121"/>
      <c r="H349" s="81"/>
      <c r="I349" s="81"/>
      <c r="J349" s="81"/>
      <c r="K349" s="165"/>
      <c r="L349" s="82"/>
    </row>
    <row r="350" spans="1:12" s="77" customFormat="1" ht="122.25" customHeight="1">
      <c r="A350" s="78"/>
      <c r="B350" s="78"/>
      <c r="C350" s="78"/>
      <c r="D350" s="79"/>
      <c r="E350" s="80"/>
      <c r="F350" s="80"/>
      <c r="G350" s="121"/>
      <c r="H350" s="81"/>
      <c r="I350" s="81"/>
      <c r="J350" s="81"/>
      <c r="K350" s="165"/>
      <c r="L350" s="82"/>
    </row>
    <row r="351" spans="1:12" s="77" customFormat="1" ht="78.75" customHeight="1">
      <c r="A351" s="78"/>
      <c r="B351" s="166" t="s">
        <v>659</v>
      </c>
      <c r="C351" s="166"/>
      <c r="D351" s="166"/>
      <c r="E351" s="166"/>
      <c r="F351" s="166"/>
      <c r="G351" s="84"/>
      <c r="H351" s="167" t="s">
        <v>661</v>
      </c>
      <c r="I351" s="167"/>
      <c r="J351" s="167"/>
      <c r="K351" s="165"/>
      <c r="L351" s="82"/>
    </row>
    <row r="352" spans="1:12" s="77" customFormat="1" ht="86.25" customHeight="1">
      <c r="A352" s="78"/>
      <c r="B352" s="169" t="s">
        <v>660</v>
      </c>
      <c r="C352" s="169"/>
      <c r="D352" s="169"/>
      <c r="E352" s="169"/>
      <c r="F352" s="83"/>
      <c r="G352" s="84"/>
      <c r="H352" s="122"/>
      <c r="I352" s="85"/>
      <c r="J352" s="85"/>
      <c r="K352" s="165"/>
      <c r="L352" s="82"/>
    </row>
    <row r="353" spans="1:11" s="86" customFormat="1" ht="88.5" customHeight="1">
      <c r="A353" s="83"/>
      <c r="B353" s="135"/>
      <c r="C353" s="135"/>
      <c r="D353" s="135"/>
      <c r="E353" s="136"/>
      <c r="F353" s="136"/>
      <c r="G353" s="136"/>
      <c r="H353" s="137"/>
      <c r="I353" s="138"/>
      <c r="J353" s="138"/>
      <c r="K353" s="165"/>
    </row>
    <row r="354" spans="1:11" s="86" customFormat="1" ht="91.5" customHeight="1">
      <c r="A354" s="83"/>
      <c r="B354" s="83"/>
      <c r="C354" s="83"/>
      <c r="D354" s="83"/>
      <c r="E354" s="83"/>
      <c r="F354" s="84"/>
      <c r="G354" s="122"/>
      <c r="H354" s="85"/>
      <c r="I354" s="85"/>
      <c r="J354" s="85"/>
      <c r="K354" s="165"/>
    </row>
    <row r="355" spans="6:10" ht="84.75" customHeight="1">
      <c r="F355" s="2" t="s">
        <v>593</v>
      </c>
      <c r="G355" s="123">
        <f>G313-G314-G315-G316-G317-G318-G319-G320-G321-G322-G323-G324-G325-G326-G327-G328-G329-G330-G331-G332-G333-G334-G335-G337-G338-G340-G343-G344-G346-G347-G348-G336</f>
        <v>2.384185791015625E-07</v>
      </c>
      <c r="H355" s="123">
        <f>H313-H314-H315-H316-H317-H318-H319-H320-H321-H322-H323-H324-H325-H326-H327-H328-H329-H330-H331-H332-H333-H334-H335-H337-H338-H340-H343-H344-H346-H347-H348-H336</f>
        <v>-1.1920928955078125E-07</v>
      </c>
      <c r="I355" s="123">
        <f>I313-I314-I315-I316-I317-I318-I319-I320-I321-I322-I323-I324-I325-I326-I327-I328-I329-I330-I331-I332-I333-I334-I335-I337-I338-I340-I343-I344-I346-I347-I348-I336</f>
        <v>0</v>
      </c>
      <c r="J355" s="123">
        <f>J313-J314-J315-J316-J317-J318-J319-J320-J321-J322-J323-J324-J325-J326-J327-J328-J329-J330-J331-J332-J333-J334-J335-J337-J338-J340-J343-J344-J346-J347-J348-J336</f>
        <v>0</v>
      </c>
    </row>
    <row r="356" spans="6:11" ht="83.25" customHeight="1">
      <c r="F356" s="2" t="s">
        <v>594</v>
      </c>
      <c r="G356" s="124">
        <f>G313-G15-G18-G19-G20-G21-G22-G23-G24-G25-G27-G28-G33-G34-G35-G36-G37-G38-G39-G40-G41-G42-G43-G44-G46-G47-G48-G49-G50-G51-G52-G53-G55-G62-G64-G65-G67-G68-G69-G70-G71-G72-G73-G74-G75-G76-G77-G78-G81-G82-G83-G84-G85-G86-G87-G88-G95-G100-G101-G107-G112-G120-G121-G124-G127-G128-G129-G132-G133-G134-G136-G140-G141-G147-G149-G150-G151-G152-G153-G155-G156-G159-G160-G161-G162-G164-G165-G167-G171-G172-G176-G177-G178-G179-G184-G185-G186-G187-G190-G192-G193-G194-G196-G200-G203-G205-G206-G207-G220-G224-G226-G228-G230-G233-G235-G252-G254-G256-G258-G260-G261-G265-G270-G272-G273-G275-G296-G297-G298-G300-G303-G304-G305-G306-G307-G308-G309-G310-G295-G199-G221-G229-G263-G109-G111-G93-G292-G210-G202-G110-G290-G60-G145-G243-G215-G96-G97-G250-G251-G257-G218-G219-G216-G61-G106-G217-G94-G99-G117-G214-G98-G299</f>
        <v>2.4586915969848633E-07</v>
      </c>
      <c r="H356" s="124">
        <f>H313-H15-H18-H19-H20-H21-H22-H23-H24-H25-H27-H28-H33-H34-H35-H36-H37-H38-H39-H40-H41-H42-H43-H44-H46-H47-H48-H49-H50-H51-H52-H53-H55-H62-H64-H65-H67-H68-H69-H70-H71-H72-H73-H74-H75-H76-H77-H78-H81-H82-H83-H84-H85-H86-H87-H88-H95-H100-H101-H107-H112-H120-H121-H124-H127-H128-H129-H132-H133-H134-H136-H140-H141-H147-H149-H150-H151-H152-H153-H155-H156-H159-H160-H161-H162-H164-H165-H167-H171-H172-H176-H177-H178-H179-H184-H185-H186-H187-H190-H192-H193-H194-H196-H200-H203-H205-H206-H207-H220-H224-H226-H228-H230-H233-H235-H252-H254-H256-H258-H260-H261-H265-H270-H272-H273-H275-H296-H297-H298-H300-H303-H304-H305-H306-H307-H308-H309-H310-H295-H199-H221-H229-H263-H109-H111-H93-H292-H210-H202-H110-H290-H60-H145-H243-H215-H96-H97-H250-H251-H257-H218-H219-H216-H61-H106-H217-H94-H99-H117-H214-H98-H299</f>
        <v>-2.039596438407898E-07</v>
      </c>
      <c r="I356" s="124">
        <f>I313-I15-I18-I19-I20-I21-I22-I23-I24-I25-I27-I28-I33-I34-I35-I36-I37-I38-I39-I40-I41-I42-I43-I44-I46-I47-I48-I49-I50-I51-I52-I53-I55-I62-I64-I65-I67-I68-I69-I70-I71-I72-I73-I74-I75-I76-I77-I78-I81-I82-I83-I84-I85-I86-I87-I88-I95-I100-I101-I107-I112-I120-I121-I124-I127-I128-I129-I132-I133-I134-I136-I140-I141-I147-I149-I150-I151-I152-I153-I155-I156-I159-I160-I161-I162-I164-I165-I167-I171-I172-I176-I177-I178-I179-I184-I185-I186-I187-I190-I192-I193-I194-I196-I200-I203-I205-I206-I207-I220-I224-I226-I228-I230-I233-I235-I252-I254-I256-I258-I260-I261-I265-I270-I272-I273-I275-I296-I297-I298-I300-I303-I304-I305-I306-I307-I308-I309-I310-I295-I199-I221-I229-I263-I109-I111-I93-I292-I210-I202-I110-I290-I60-I145-I243-I215-I96-I97-I250-I251-I257-I218-I219-I216-I61-I106-I217-I94-I99-I117-I214-I98-I299</f>
        <v>0</v>
      </c>
      <c r="J356" s="124">
        <f>J313-J15-J18-J19-J20-J21-J22-J23-J24-J25-J27-J28-J33-J34-J35-J36-J37-J38-J39-J40-J41-J42-J43-J44-J46-J47-J48-J49-J50-J51-J52-J53-J55-J62-J64-J65-J67-J68-J69-J70-J71-J72-J73-J74-J75-J76-J77-J78-J81-J82-J83-J84-J85-J86-J87-J88-J95-J100-J101-J107-J112-J120-J121-J124-J127-J128-J129-J132-J133-J134-J136-J140-J141-J147-J149-J150-J151-J152-J153-J155-J156-J159-J160-J161-J162-J164-J165-J167-J171-J172-J176-J177-J178-J179-J184-J185-J186-J187-J190-J192-J193-J194-J196-J200-J203-J205-J206-J207-J220-J224-J226-J228-J230-J233-J235-J252-J254-J256-J258-J260-J261-J265-J270-J272-J273-J275-J296-J297-J298-J300-J303-J304-J305-J306-J307-J308-J309-J310-J295-J199-J221-J229-J263-J109-J111-J93-J292-J210-J202-J110-J290-J60-J145-J243-J215-J96-J97-J250-J251-J257-J218-J219-J216-J61-J106-J217-J94-J99-J117-J214-J98-J299</f>
        <v>0</v>
      </c>
      <c r="K356" s="87"/>
    </row>
  </sheetData>
  <sheetProtection selectLockedCells="1" selectUnlockedCells="1"/>
  <mergeCells count="165">
    <mergeCell ref="B352:E352"/>
    <mergeCell ref="A58:A61"/>
    <mergeCell ref="B58:B61"/>
    <mergeCell ref="C58:C61"/>
    <mergeCell ref="A207:A209"/>
    <mergeCell ref="B207:B209"/>
    <mergeCell ref="C207:C209"/>
    <mergeCell ref="A168:A169"/>
    <mergeCell ref="C159:C160"/>
    <mergeCell ref="A133:A134"/>
    <mergeCell ref="H351:J351"/>
    <mergeCell ref="K320:K338"/>
    <mergeCell ref="K1:K25"/>
    <mergeCell ref="D264:D265"/>
    <mergeCell ref="C194:C196"/>
    <mergeCell ref="D194:D196"/>
    <mergeCell ref="D207:D209"/>
    <mergeCell ref="D221:D223"/>
    <mergeCell ref="C278:C279"/>
    <mergeCell ref="C261:C262"/>
    <mergeCell ref="A261:A262"/>
    <mergeCell ref="B168:B169"/>
    <mergeCell ref="C168:C169"/>
    <mergeCell ref="A221:A223"/>
    <mergeCell ref="C255:C257"/>
    <mergeCell ref="A224:A225"/>
    <mergeCell ref="B224:B225"/>
    <mergeCell ref="A194:A196"/>
    <mergeCell ref="B194:B196"/>
    <mergeCell ref="A215:A216"/>
    <mergeCell ref="B313:E313"/>
    <mergeCell ref="K340:K354"/>
    <mergeCell ref="A264:A265"/>
    <mergeCell ref="B264:B265"/>
    <mergeCell ref="C264:C265"/>
    <mergeCell ref="K300:K319"/>
    <mergeCell ref="B351:F351"/>
    <mergeCell ref="A278:A279"/>
    <mergeCell ref="B278:B279"/>
    <mergeCell ref="D278:D279"/>
    <mergeCell ref="K254:K298"/>
    <mergeCell ref="D224:D225"/>
    <mergeCell ref="D256:D257"/>
    <mergeCell ref="A200:A203"/>
    <mergeCell ref="B200:B203"/>
    <mergeCell ref="C221:C223"/>
    <mergeCell ref="A255:A257"/>
    <mergeCell ref="B255:B257"/>
    <mergeCell ref="C224:C225"/>
    <mergeCell ref="B261:B262"/>
    <mergeCell ref="D159:D160"/>
    <mergeCell ref="A164:A166"/>
    <mergeCell ref="C164:C166"/>
    <mergeCell ref="D164:D166"/>
    <mergeCell ref="B164:B166"/>
    <mergeCell ref="A159:A160"/>
    <mergeCell ref="B159:B160"/>
    <mergeCell ref="D168:D169"/>
    <mergeCell ref="A187:A188"/>
    <mergeCell ref="A138:A139"/>
    <mergeCell ref="B138:B139"/>
    <mergeCell ref="C138:C139"/>
    <mergeCell ref="D138:D139"/>
    <mergeCell ref="A157:A158"/>
    <mergeCell ref="B157:B158"/>
    <mergeCell ref="C157:C158"/>
    <mergeCell ref="D157:D158"/>
    <mergeCell ref="C133:C134"/>
    <mergeCell ref="D133:D134"/>
    <mergeCell ref="A136:A137"/>
    <mergeCell ref="B136:B137"/>
    <mergeCell ref="C136:C137"/>
    <mergeCell ref="D136:D137"/>
    <mergeCell ref="B133:B134"/>
    <mergeCell ref="A124:A125"/>
    <mergeCell ref="B124:B125"/>
    <mergeCell ref="C124:C125"/>
    <mergeCell ref="D124:D125"/>
    <mergeCell ref="A127:A128"/>
    <mergeCell ref="B127:B128"/>
    <mergeCell ref="C127:C128"/>
    <mergeCell ref="D127:D128"/>
    <mergeCell ref="A115:A116"/>
    <mergeCell ref="B115:B116"/>
    <mergeCell ref="C115:C116"/>
    <mergeCell ref="D115:D116"/>
    <mergeCell ref="A121:A122"/>
    <mergeCell ref="B121:B122"/>
    <mergeCell ref="C121:C122"/>
    <mergeCell ref="D121:D122"/>
    <mergeCell ref="A71:A73"/>
    <mergeCell ref="B71:B73"/>
    <mergeCell ref="C71:C73"/>
    <mergeCell ref="D71:D73"/>
    <mergeCell ref="A103:A104"/>
    <mergeCell ref="B103:B104"/>
    <mergeCell ref="C103:C104"/>
    <mergeCell ref="D103:D104"/>
    <mergeCell ref="A62:A65"/>
    <mergeCell ref="B62:B65"/>
    <mergeCell ref="C62:C65"/>
    <mergeCell ref="D62:D65"/>
    <mergeCell ref="A68:A70"/>
    <mergeCell ref="B68:B70"/>
    <mergeCell ref="C68:C70"/>
    <mergeCell ref="D68:D70"/>
    <mergeCell ref="A53:A54"/>
    <mergeCell ref="B53:B54"/>
    <mergeCell ref="C53:C54"/>
    <mergeCell ref="D53:D54"/>
    <mergeCell ref="D58:D61"/>
    <mergeCell ref="A28:A29"/>
    <mergeCell ref="B28:B29"/>
    <mergeCell ref="C28:C29"/>
    <mergeCell ref="D28:D29"/>
    <mergeCell ref="A48:A49"/>
    <mergeCell ref="B48:B49"/>
    <mergeCell ref="C48:C49"/>
    <mergeCell ref="D48:D49"/>
    <mergeCell ref="A18:A19"/>
    <mergeCell ref="B18:B19"/>
    <mergeCell ref="C18:C19"/>
    <mergeCell ref="D18:D19"/>
    <mergeCell ref="A21:A22"/>
    <mergeCell ref="B21:B22"/>
    <mergeCell ref="C21:C22"/>
    <mergeCell ref="D21:D22"/>
    <mergeCell ref="F12:F13"/>
    <mergeCell ref="G12:G13"/>
    <mergeCell ref="H12:H13"/>
    <mergeCell ref="I12:J12"/>
    <mergeCell ref="A15:A16"/>
    <mergeCell ref="B15:B16"/>
    <mergeCell ref="C15:C16"/>
    <mergeCell ref="D15:D16"/>
    <mergeCell ref="A8:J8"/>
    <mergeCell ref="A9:J9"/>
    <mergeCell ref="A10:J10"/>
    <mergeCell ref="A12:A13"/>
    <mergeCell ref="B12:B13"/>
    <mergeCell ref="C12:C13"/>
    <mergeCell ref="D12:D13"/>
    <mergeCell ref="E12:E13"/>
    <mergeCell ref="K27:K46"/>
    <mergeCell ref="K47:K70"/>
    <mergeCell ref="K71:K85"/>
    <mergeCell ref="K86:K132"/>
    <mergeCell ref="K133:K156"/>
    <mergeCell ref="K159:K171"/>
    <mergeCell ref="B215:B216"/>
    <mergeCell ref="C215:C216"/>
    <mergeCell ref="D215:D216"/>
    <mergeCell ref="C200:C203"/>
    <mergeCell ref="D200:D203"/>
    <mergeCell ref="A204:A206"/>
    <mergeCell ref="G5:I5"/>
    <mergeCell ref="K172:K196"/>
    <mergeCell ref="K200:K252"/>
    <mergeCell ref="B204:B206"/>
    <mergeCell ref="C204:C206"/>
    <mergeCell ref="D204:D206"/>
    <mergeCell ref="B221:B223"/>
    <mergeCell ref="B187:B188"/>
    <mergeCell ref="C187:C188"/>
    <mergeCell ref="D187:D188"/>
  </mergeCells>
  <printOptions horizontalCentered="1"/>
  <pageMargins left="0" right="0" top="0.8661417322834646" bottom="0.4724409448818898" header="0.31496062992125984" footer="0.2755905511811024"/>
  <pageSetup firstPageNumber="1" useFirstPageNumber="1" fitToHeight="10000" horizontalDpi="600" verticalDpi="600" orientation="landscape" paperSize="9" scale="18" r:id="rId1"/>
  <headerFooter alignWithMargins="0">
    <oddFooter>&amp;R&amp;48Сторінка &amp;P</oddFooter>
  </headerFooter>
  <rowBreaks count="2" manualBreakCount="2">
    <brk id="132" max="9" man="1"/>
    <brk id="29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Петренко Юлія Олександрівна</cp:lastModifiedBy>
  <cp:lastPrinted>2023-11-27T10:30:07Z</cp:lastPrinted>
  <dcterms:modified xsi:type="dcterms:W3CDTF">2023-12-08T11:09:47Z</dcterms:modified>
  <cp:category/>
  <cp:version/>
  <cp:contentType/>
  <cp:contentStatus/>
</cp:coreProperties>
</file>