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firstSheet="3" activeTab="3"/>
  </bookViews>
  <sheets>
    <sheet name="додаток 1 2019" sheetId="1" state="hidden" r:id="rId1"/>
    <sheet name="додаток 1 2020" sheetId="2" state="hidden" r:id="rId2"/>
    <sheet name="додаток 1 2021  " sheetId="3" state="hidden" r:id="rId3"/>
    <sheet name="зведений 2019-2021" sheetId="4" r:id="rId4"/>
    <sheet name="Лист1" sheetId="5" state="hidden" r:id="rId5"/>
  </sheets>
  <definedNames>
    <definedName name="_GoBack" localSheetId="0">'додаток 1 2019'!$P$102</definedName>
  </definedNames>
  <calcPr fullCalcOnLoad="1"/>
</workbook>
</file>

<file path=xl/sharedStrings.xml><?xml version="1.0" encoding="utf-8"?>
<sst xmlns="http://schemas.openxmlformats.org/spreadsheetml/2006/main" count="766" uniqueCount="215">
  <si>
    <t>Назва міської програми</t>
  </si>
  <si>
    <t xml:space="preserve">Плановий обсяг фінансування </t>
  </si>
  <si>
    <t xml:space="preserve">Фактичний обсяг фінансування  </t>
  </si>
  <si>
    <t>Стан виконання (показники ефективності ,%)</t>
  </si>
  <si>
    <t>Усього</t>
  </si>
  <si>
    <t>у тому числі</t>
  </si>
  <si>
    <t>міський бюджет</t>
  </si>
  <si>
    <t xml:space="preserve">обласний бюджет </t>
  </si>
  <si>
    <t>загальний фонд</t>
  </si>
  <si>
    <t>спеціальний фонд</t>
  </si>
  <si>
    <t>Місцевий бюджет</t>
  </si>
  <si>
    <t>Державний бюджет</t>
  </si>
  <si>
    <t>Всього на виконання підпрограми 1</t>
  </si>
  <si>
    <t>Всього на виконання підпрограми 2</t>
  </si>
  <si>
    <t>Завдання 1. Соціальний захист учасників навчально - виховного процесу</t>
  </si>
  <si>
    <t>Всього на виконання підпрограми 3</t>
  </si>
  <si>
    <t>1.2. Реалізація міського проекту «Мистецтво і діти»</t>
  </si>
  <si>
    <t>Всього на виконання підпрограми 4</t>
  </si>
  <si>
    <t>Всього на виконання підпрограми 5</t>
  </si>
  <si>
    <t>Всього на виконання підпрограми 6</t>
  </si>
  <si>
    <t>Всього на виконання підпрограми 7</t>
  </si>
  <si>
    <t>Всього на виконання підпрограми 8</t>
  </si>
  <si>
    <t>Всього на виконання підпрограми 9</t>
  </si>
  <si>
    <t>Всього на виконання підпрограми 10</t>
  </si>
  <si>
    <r>
      <t xml:space="preserve">Компенсаційні виплати на пільговий проїзд електротранспортом окремим категоріям громадян </t>
    </r>
    <r>
      <rPr>
        <sz val="12"/>
        <color indexed="8"/>
        <rFont val="Times New Roman"/>
        <family val="1"/>
      </rPr>
      <t>(підпрограма 11)</t>
    </r>
  </si>
  <si>
    <t>Завдання 1. Проведення розрахунків за пільговий проїзд у міському електротранспорті та на автобусних маршрутах загального користування дітей 1-11 класів, які навчаються в закладах загальної середньої освіти м. Суми</t>
  </si>
  <si>
    <r>
      <t>1.1.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Виплата компенсацій за пільговий проїзд у міському електротранспорті дітей 1-11 класів (50%)</t>
    </r>
  </si>
  <si>
    <r>
      <t>1.2.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Виплата компенсацій за пільговий проїзд на автобусних маршрутах загального користування дітей 1-11 класів (50%)</t>
    </r>
  </si>
  <si>
    <t>Всього на виконання підпрограми 11</t>
  </si>
  <si>
    <t xml:space="preserve">Завдання 1. Розвиток та модернізація матеріально-технічної бази закладів освіти </t>
  </si>
  <si>
    <t>1.2. Капітальний ремонт будівель</t>
  </si>
  <si>
    <t>Всього на виконання підпрограми 12</t>
  </si>
  <si>
    <t xml:space="preserve">Додаток 1 </t>
  </si>
  <si>
    <t>Інформація</t>
  </si>
  <si>
    <t>1.</t>
  </si>
  <si>
    <t>Управління освіти і науки Сумської міської ради</t>
  </si>
  <si>
    <t>КВКВ</t>
  </si>
  <si>
    <t>найменування головного розпорядника коштів програми</t>
  </si>
  <si>
    <t xml:space="preserve">2. </t>
  </si>
  <si>
    <t>найменування відповідального виконавця програми</t>
  </si>
  <si>
    <t>3.</t>
  </si>
  <si>
    <t>найменування програми, дата і номер рішення міської ради про її затвердження</t>
  </si>
  <si>
    <t>КПКВК</t>
  </si>
  <si>
    <t>Виконавець: Данильченко А.М.</t>
  </si>
  <si>
    <t>Сумський міський голова</t>
  </si>
  <si>
    <t>О.М.Лисенко</t>
  </si>
  <si>
    <t>Додаток 2</t>
  </si>
  <si>
    <t>2019 рік (тис. грн)</t>
  </si>
  <si>
    <t>Дошкільна освіта ( підпрограма 1)</t>
  </si>
  <si>
    <t>Завдання 1. Розвиток дошкільної освіти</t>
  </si>
  <si>
    <t xml:space="preserve">1.1. Забезпечення якісного виховання дітей у закладах дошкільної освіти </t>
  </si>
  <si>
    <t xml:space="preserve">1.2. Забезпечення харчуванням вихованців  у закладах дошкільної освіти     </t>
  </si>
  <si>
    <t>1.3. Підвищення рівня комфортних умов для вихованців закладів дошкільної освіти</t>
  </si>
  <si>
    <t>1.4. Реалізація заходів з протипожежної безпеки</t>
  </si>
  <si>
    <t>1.5. Придбання обладнання довгострокового користування</t>
  </si>
  <si>
    <t>1.6. Капітальний ремонт будівель, приміщень, інженерних мереж, території</t>
  </si>
  <si>
    <t>1.7. Оснащення закладів дошкільної освіти пожежною сигналізацією</t>
  </si>
  <si>
    <t>Завдання 2. Виконання міської програми «Місто Суми - територія добра та милосердя» на 2019-2021 роки</t>
  </si>
  <si>
    <t>Завдання 3. Виконання міської програми «Соціальна підтримка учасників антитерористичної операції та членів їх сімей» на 2017-2019 роки"</t>
  </si>
  <si>
    <t>3.1.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</t>
  </si>
  <si>
    <r>
      <t>Завдання 4. Охоплення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дітей дошкільною освітою</t>
    </r>
  </si>
  <si>
    <t xml:space="preserve">4.1. Проведення системонї роз’яснювальної роботи серед батьків, діти яких досягли 5-ти річного віку, щодо значення дошкільної освіти у підготовці дітей до школи </t>
  </si>
  <si>
    <t>4.2. Забезпечення 100% охоплення дітей п’ятирічного віку різними формами дошкільної освіти</t>
  </si>
  <si>
    <t xml:space="preserve">4.3. Функціонування груп короткотривалого перебування «Разом з мамою», консультативних пунктів при ЗДО та НВК </t>
  </si>
  <si>
    <t>4.4. Сприяння широкому висвітленню роботи по забезпеченню населення достатньою та якісною дошкільною освітою в засобах масової інформації, соціальних мережах, власних Інтернет-сайтах.</t>
  </si>
  <si>
    <t>2.1. Соціальна підтримка вихованців закладів дошкільної освіти, які потребують особливої соціальної уваги</t>
  </si>
  <si>
    <r>
      <t xml:space="preserve">Загальна середня освіта  у закладах загальної середньої освіти </t>
    </r>
    <r>
      <rPr>
        <sz val="12"/>
        <color indexed="8"/>
        <rFont val="Times New Roman"/>
        <family val="1"/>
      </rPr>
      <t>(підпрограма 2)</t>
    </r>
  </si>
  <si>
    <t>Завдання 1. Розвиток загальної середньої освіти</t>
  </si>
  <si>
    <t xml:space="preserve">1.1. Забезпечення рівного доступу до якісної освіти учнів закладів загальної середньої освіти </t>
  </si>
  <si>
    <r>
      <t xml:space="preserve">1.2. </t>
    </r>
    <r>
      <rPr>
        <sz val="10"/>
        <color indexed="8"/>
        <rFont val="Times New Roman"/>
        <family val="1"/>
      </rPr>
      <t>Надання можливості отримання загальної середньої освіти дітям з особливими освітніми потребами, які навчаються у спеціальних та інклюзивних класах</t>
    </r>
  </si>
  <si>
    <r>
      <t xml:space="preserve">1.3. </t>
    </r>
    <r>
      <rPr>
        <sz val="10"/>
        <color indexed="8"/>
        <rFont val="Times New Roman"/>
        <family val="1"/>
      </rPr>
      <t>Організація якісного харчування учнів закладів загальної середньої освіти, дошкільних та шкільних підрозділів НВК</t>
    </r>
  </si>
  <si>
    <t>1.4. Підвищення рівня комфортних умов для учнів закладів загальної середньої освіти та НВК</t>
  </si>
  <si>
    <t>1.5. Реалізація заходів з протипожежної безпеки</t>
  </si>
  <si>
    <t>1.6. Придбання обладнання довгострокового користування</t>
  </si>
  <si>
    <t>1.7. Капітальний ремонт будівель та приміщень</t>
  </si>
  <si>
    <t>1.8. Оснащення закладів загальної середньої освіти  пожежною сигналізацією</t>
  </si>
  <si>
    <t>2.1.Соціальна підтримка учнів закладів загальної середньої освіти, які потребують особливої соціальної уваги</t>
  </si>
  <si>
    <t>Завдання 3. Виконання міської програми «Соціальна підтримка учасників антитерористичної операції та членів їх сімей» на 2017-2019 роки»</t>
  </si>
  <si>
    <r>
      <t xml:space="preserve">4.1. </t>
    </r>
    <r>
      <rPr>
        <sz val="10"/>
        <color indexed="8"/>
        <rFont val="Times New Roman"/>
        <family val="1"/>
      </rPr>
      <t>Встановлення сучасних систем відеоспостереження в закладах освіти міста</t>
    </r>
  </si>
  <si>
    <r>
      <t>3.1.</t>
    </r>
    <r>
      <rPr>
        <b/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Соціальна підтримка учнів та вихованців закладів освіти, батьки яких є учасниками антитерористичної операції, добровольцями – учасниками антитерористичної операції або загиблими (померлими) учасниками антитерористичної операції.</t>
    </r>
  </si>
  <si>
    <r>
      <t xml:space="preserve">Завдання 4. Виконання </t>
    </r>
    <r>
      <rPr>
        <b/>
        <sz val="10"/>
        <rFont val="Times New Roman"/>
        <family val="1"/>
      </rPr>
      <t>міської програми «Автоматизація муніципальних телекомунікаційних систем на 2017-2019 роки в м. Суми»</t>
    </r>
  </si>
  <si>
    <t xml:space="preserve">Завдання 5. Обов’язкове здобуття громадянами повної загальної середньої освіти, урізноманіт-нення моделей організації освіти </t>
  </si>
  <si>
    <t>5.1. Проведення просвітницької роботи серед учнів та батьків, надання методичної допомоги вчителям -предметникам щодо якісної підготовки до ЗНО</t>
  </si>
  <si>
    <t>5.2. Функціонування класів з поглибленим вивченням предметів та курсів за вибором</t>
  </si>
  <si>
    <t>5.3.Забезпечення охоплення навчанням дітей та підлітків шкільного віку</t>
  </si>
  <si>
    <t>5.4. Організація індивідуальних занять, консультацій, факультативів, гуртків за інтересами</t>
  </si>
  <si>
    <r>
      <t xml:space="preserve">Загальна середня освіта у вечірній (змінній) школі  </t>
    </r>
    <r>
      <rPr>
        <sz val="11"/>
        <color indexed="8"/>
        <rFont val="Times New Roman"/>
        <family val="1"/>
      </rPr>
      <t>(підпрограма 3)</t>
    </r>
  </si>
  <si>
    <t xml:space="preserve">1.1. Забезпечення належного навчання учнів вечірньої (змінної) школи </t>
  </si>
  <si>
    <r>
      <t xml:space="preserve">1.2. </t>
    </r>
    <r>
      <rPr>
        <sz val="10"/>
        <color indexed="8"/>
        <rFont val="Times New Roman"/>
        <family val="1"/>
      </rPr>
      <t>Підвищення рівня комфортних умов для учнів вечірньої (змінної) школи</t>
    </r>
  </si>
  <si>
    <r>
      <t xml:space="preserve">Спеціальна освіта </t>
    </r>
    <r>
      <rPr>
        <sz val="12"/>
        <color indexed="8"/>
        <rFont val="Times New Roman"/>
        <family val="1"/>
      </rPr>
      <t>(підпрограма 4)</t>
    </r>
  </si>
  <si>
    <t xml:space="preserve">1.1. Забезпечення належного навчання учнів спеціальної загальноосвітньої школи </t>
  </si>
  <si>
    <r>
      <t xml:space="preserve">1.2. </t>
    </r>
    <r>
      <rPr>
        <sz val="10"/>
        <color indexed="8"/>
        <rFont val="Times New Roman"/>
        <family val="1"/>
      </rPr>
      <t xml:space="preserve">Організація якісного харчування учнів </t>
    </r>
    <r>
      <rPr>
        <sz val="9.5"/>
        <color indexed="8"/>
        <rFont val="Times New Roman"/>
        <family val="1"/>
      </rPr>
      <t>спеціальної загальноосвітньої школи</t>
    </r>
  </si>
  <si>
    <r>
      <t xml:space="preserve">1.3. </t>
    </r>
    <r>
      <rPr>
        <sz val="10"/>
        <color indexed="8"/>
        <rFont val="Times New Roman"/>
        <family val="1"/>
      </rPr>
      <t>Підвищення рівня комфортних умов для учнів спеціальної школи</t>
    </r>
  </si>
  <si>
    <t>1.6. Капітальний ремонт будівель та приміщень</t>
  </si>
  <si>
    <t>1.7. Оснащення пожежною сигналізацією</t>
  </si>
  <si>
    <t>Завдання 1. Розвиток загальної середньої освіти для дітей з особливими освітніми потребами</t>
  </si>
  <si>
    <r>
      <t xml:space="preserve">Позашкільна освіта </t>
    </r>
    <r>
      <rPr>
        <sz val="12"/>
        <color indexed="8"/>
        <rFont val="Times New Roman"/>
        <family val="1"/>
      </rPr>
      <t>(підпрограма 5)</t>
    </r>
  </si>
  <si>
    <t>Завдання 1. Розвиток позашкільної освіти</t>
  </si>
  <si>
    <t xml:space="preserve">1.1. Забезпечення належного навчання вихованців закладів позашкільної освіти </t>
  </si>
  <si>
    <r>
      <t xml:space="preserve">1.2. </t>
    </r>
    <r>
      <rPr>
        <sz val="10"/>
        <color indexed="8"/>
        <rFont val="Times New Roman"/>
        <family val="1"/>
      </rPr>
      <t>Підвищення рівня комфортних умов для вихованців закладів позашкільної освіти</t>
    </r>
  </si>
  <si>
    <t>1.3. Реалізація заходів з протипожежної безпеки</t>
  </si>
  <si>
    <t>1.4. Придбання обладнання довгострокового користування</t>
  </si>
  <si>
    <t xml:space="preserve">1.5. Капітальний ремонт будівель </t>
  </si>
  <si>
    <t>1.6. Оснащення закладів позашкільної освіти пожежною сигналізацією</t>
  </si>
  <si>
    <r>
      <t xml:space="preserve">Централізований бухгалтерський та фінансовий облік у сфері «Освіта» </t>
    </r>
    <r>
      <rPr>
        <sz val="12"/>
        <color indexed="8"/>
        <rFont val="Times New Roman"/>
        <family val="1"/>
      </rPr>
      <t>(підпрограма 6)</t>
    </r>
  </si>
  <si>
    <t>Завдання 1. Стабільне фінансування закладів освіти</t>
  </si>
  <si>
    <t>1.1. Забезпечення ведення бухгалтерського обліку закладів та установ освіти, складання та надання кошторисної, звітної, фінансової документації, фінансування установ згідно з затвердженими кошторисами</t>
  </si>
  <si>
    <r>
      <t xml:space="preserve">Централізоване господарське обслуговування закладів освіти </t>
    </r>
    <r>
      <rPr>
        <sz val="12"/>
        <color indexed="8"/>
        <rFont val="Times New Roman"/>
        <family val="1"/>
      </rPr>
      <t>(підпрограма 7)</t>
    </r>
  </si>
  <si>
    <t>Завдання 1. Стабільне функціонування закладів освіти</t>
  </si>
  <si>
    <t>1.1. Забезпечення раціонального використання енергоресурсів, створення безпечних та комфортних умов перебування здобувачів освіти у приміщеннях закладів</t>
  </si>
  <si>
    <r>
      <t xml:space="preserve">Методичне забезпечення закладів освіти </t>
    </r>
    <r>
      <rPr>
        <sz val="12"/>
        <color indexed="8"/>
        <rFont val="Times New Roman"/>
        <family val="1"/>
      </rPr>
      <t>(підпрограма 8)</t>
    </r>
  </si>
  <si>
    <t>1.1. Забезпечення належної методичної роботи у закладах освіти, забезпечення роботи Інформаційно – методичного центру</t>
  </si>
  <si>
    <r>
      <t xml:space="preserve">Інші програми та заходи у сфері освіти   </t>
    </r>
    <r>
      <rPr>
        <sz val="12"/>
        <color indexed="8"/>
        <rFont val="Times New Roman"/>
        <family val="1"/>
      </rPr>
      <t>(підпрограма 9)</t>
    </r>
  </si>
  <si>
    <t xml:space="preserve">Завдання 1. Забезпечення можливостей використання творчого потенціалу дітей, створення умов для розвитку і підтримки талантів, захист дітей </t>
  </si>
  <si>
    <t>1.1. Надання адресної підтримки обдарованій молоді шляхом призначення та виплати  стипендій</t>
  </si>
  <si>
    <r>
      <t xml:space="preserve">Забезпечення діяльності інших закладів у сфері освіти  </t>
    </r>
    <r>
      <rPr>
        <sz val="12"/>
        <color indexed="8"/>
        <rFont val="Times New Roman"/>
        <family val="1"/>
      </rPr>
      <t>(підпрограма 10)</t>
    </r>
  </si>
  <si>
    <t>Завдання 1. Підвищення рівня комфортних умов для здобувачів освіти в МНВК</t>
  </si>
  <si>
    <t>1.1. Забезпечення належних умов навчання учнів у МНВК</t>
  </si>
  <si>
    <r>
      <t xml:space="preserve">1.2. </t>
    </r>
    <r>
      <rPr>
        <sz val="10"/>
        <color indexed="8"/>
        <rFont val="Times New Roman"/>
        <family val="1"/>
      </rPr>
      <t>Підвищення рівня комфортних умов учнів у МНВК</t>
    </r>
  </si>
  <si>
    <t>1.3. Реалізація заходів з протипожежної безпеки у МНВК</t>
  </si>
  <si>
    <t>1.4. Придбання обладнання довгострокового користування для МНВК</t>
  </si>
  <si>
    <t>1.5. Капітальний ремонт будівель та приміщень МНВК</t>
  </si>
  <si>
    <t>1.6. Оснащення приміщення МНВК пожежною сигналізацією</t>
  </si>
  <si>
    <t>Завдання 2. Розвиток логопедичних пунктів</t>
  </si>
  <si>
    <t>2.1. Забезпечення належних умов надання лопопедичних послуг</t>
  </si>
  <si>
    <t>Завдання 1. Розвиток професійно – технічної освіти</t>
  </si>
  <si>
    <r>
      <t>Професійно – технічна освіта (</t>
    </r>
    <r>
      <rPr>
        <sz val="12"/>
        <color indexed="8"/>
        <rFont val="Times New Roman"/>
        <family val="1"/>
      </rPr>
      <t>підпрограма 12)</t>
    </r>
  </si>
  <si>
    <r>
      <t>Виконання інвестиційних проектів в рамках здійснення заходів щодо соціально – економічного розвитку окремих територій</t>
    </r>
    <r>
      <rPr>
        <sz val="12"/>
        <color indexed="8"/>
        <rFont val="Times New Roman"/>
        <family val="1"/>
      </rPr>
      <t xml:space="preserve"> (підпрограма 13)</t>
    </r>
  </si>
  <si>
    <t xml:space="preserve">1.1. Забезпечення належного виховання дітей у закладах професійно – технічної освіти </t>
  </si>
  <si>
    <t xml:space="preserve">1.2. Забезпечення харчуванням учнів у закладах професійно - технічної освіти     </t>
  </si>
  <si>
    <t>1.3 Підвищення рівня комфортних умов для учнів закладів професійно – технічної  освіти</t>
  </si>
  <si>
    <t>1.4. Стипендіальне забезпечення</t>
  </si>
  <si>
    <r>
      <t>Забезпечення діяльності інклюзивно - ресурсних центрів</t>
    </r>
    <r>
      <rPr>
        <sz val="12"/>
        <color indexed="8"/>
        <rFont val="Times New Roman"/>
        <family val="1"/>
      </rPr>
      <t xml:space="preserve"> (підпрограма 14)</t>
    </r>
  </si>
  <si>
    <t>Завдання 1. Розвиток інклюзивно – ресурсного центру</t>
  </si>
  <si>
    <t>1.1. Забезпечення належних умов надання послуг здобувачам освіти з особливими освітніми потребами</t>
  </si>
  <si>
    <t>1.2. Підвищення рівня комфортних умов в ІРЦ</t>
  </si>
  <si>
    <t>1.3. Придбання обладнання довгострокового користування для ІРЦ</t>
  </si>
  <si>
    <t>Всього на виконання підпрограми 13</t>
  </si>
  <si>
    <t>Всього на виконання підпрограми 14</t>
  </si>
  <si>
    <t>1.1. Придбання обладнання довгострокового користування</t>
  </si>
  <si>
    <t>Завдання 1. Розвиток та модернізація матеріально-технічної бази закладів освіти</t>
  </si>
  <si>
    <t>Всього на виконання підпрограми 15</t>
  </si>
  <si>
    <t>1.1.Будівництво освітніх закладів та об’єктів освітнього напрямку</t>
  </si>
  <si>
    <t xml:space="preserve">1.2. Реконструкція будівель, споруд та інших об’єктів закладів освіти </t>
  </si>
  <si>
    <r>
      <t>Будівництво освітніх установ та закладів (</t>
    </r>
    <r>
      <rPr>
        <sz val="12"/>
        <color indexed="8"/>
        <rFont val="Times New Roman"/>
        <family val="1"/>
      </rPr>
      <t>підпрограма 15</t>
    </r>
    <r>
      <rPr>
        <b/>
        <sz val="12"/>
        <color indexed="8"/>
        <rFont val="Times New Roman"/>
        <family val="1"/>
      </rPr>
      <t>)</t>
    </r>
  </si>
  <si>
    <t>Всього на виконання комплексної міської програми «Освіта м. Суми на 2019-2021 роки» за підсумками 2019 року</t>
  </si>
  <si>
    <t>1.6. Капітальний ремонт будівель</t>
  </si>
  <si>
    <t>Реалізація заходів, спрямованих на підвищення якості освіти (підпрограма 16)</t>
  </si>
  <si>
    <t>Розвиток та модернізація матеріально-технічної бази закладів освіти</t>
  </si>
  <si>
    <t>1.1. Придбання шкільного автобуса, у тому числі обладнаних місцями для дітей з особливими освітніми потребами</t>
  </si>
  <si>
    <t>Всього на виконання підпрограми 16</t>
  </si>
  <si>
    <t>2020 рік (тис. грн)</t>
  </si>
  <si>
    <t>бюджет ОТГ</t>
  </si>
  <si>
    <t>________________ __________.2020 р.</t>
  </si>
  <si>
    <t xml:space="preserve">до рішення Сумської міської ради "Про хід виконання комплексної міської програми "Освіта м. Суми на 2019 - 2021 роки " за підсумками 2019 року </t>
  </si>
  <si>
    <t>від ___________ 2020 № ___- МР</t>
  </si>
  <si>
    <t>про хід виконання комплексної міської програми «Освіта м. Суми на 2019-2020 роки», затвердженої рішенням Сумської міської ради від 19 грудня 2018 року № 4326-МР (зі змінами), за підсумками 2019 року</t>
  </si>
  <si>
    <t xml:space="preserve">Комплексна міська  програма «Освіта м. Суми на 2019-2020 роки», затверджена рішенням  </t>
  </si>
  <si>
    <t>Сумської міської ради від 19 грудня 2018 року № 4326-МР (зі змінами)</t>
  </si>
  <si>
    <t>1.3.  Капітальний ремонт будівель, приміщень, інженерних мереж, території закладів освіти</t>
  </si>
  <si>
    <t>1.4. Оснащення приміщень закладів освіти системою автоматичної пожежної сигналізації, оповіщення людей про пожежу та передавання тривожних сповіщень; системою протипоженого захисту у складі блискавкозахисту будівель закладів освіти</t>
  </si>
  <si>
    <t xml:space="preserve">1.2. Капітальний ремонт будівель, приміщень, інженерних мереж, території закладів освіти </t>
  </si>
  <si>
    <t>1.3. Оснащення приміщень закладів освіти  системою автоматичної пожежної сигналізації, оповіщення людей про пожежу та передавання тривожних сповіщень;</t>
  </si>
  <si>
    <t>1.7. Оплата послуг з підготовки кадрів на умовах регіонального замовлення у закладах професійної (професійно-технічної) освіти  учнів, місце реєстрації яких є Сумська міська об’єднана територіальна громада</t>
  </si>
  <si>
    <t>Спроможна школа для краших результатів (підпрограма 17)</t>
  </si>
  <si>
    <t xml:space="preserve">1.1. Капітальний ремонт будівель, приміщень, інженерних мереж, території закладів освіти </t>
  </si>
  <si>
    <t>Всього на виконання підпрограми 17</t>
  </si>
  <si>
    <t>Завдання 3. Професійний розвиток педагогічних працівників</t>
  </si>
  <si>
    <t xml:space="preserve">3.1.Забезпечення належної роботи Центру професійного розвитку педагогічних працівників </t>
  </si>
  <si>
    <t xml:space="preserve">1.5. Капітальний ремонт внутрішніх приміщень </t>
  </si>
  <si>
    <t>1.6. Капітальний ремонт харчоблоків</t>
  </si>
  <si>
    <t xml:space="preserve">1.7. Капітальний ремонт покрівлі </t>
  </si>
  <si>
    <t>1.8. Капітальний ремонт асфальтового покриття, улаштування тротуатної плитки</t>
  </si>
  <si>
    <t>1.9. Капітальний ремонт обладнання пристроїв захисту від прямих попадань блискавки і вторинних її проявів</t>
  </si>
  <si>
    <t>1.10. Оснащення закладів загальної середньої освіти  пожежною сигналізацією ЗДО №№ 7, 22, 25, ЗОШ № 12,  ЗЗСО № 21, Сумська гімназія № 1, ЦЕНТУМ</t>
  </si>
  <si>
    <t>2021 рік (тис. грн)</t>
  </si>
  <si>
    <t xml:space="preserve">до рішення Сумської міської ради "Про хід виконання комплексної  програми Сумської міської об'єднаної територіальної громади "Освіта на 2019 - 2021 роки ", затвердженої рішенням Сумської міської ради від 19 грудня 2018 року № 4326-МР (зі змінами),  за підсумками 2020 року </t>
  </si>
  <si>
    <t xml:space="preserve">про хід виконання комплексної  програми Сумської міської об'єднаної територіальної громади "Освіта на 2019 - 2021 роки ",  затвердженої рішенням Сумської міської ради від 19 грудня 2018 року № 4326-МР (зі змінами), за підсумками 2020 року </t>
  </si>
  <si>
    <t>________________ __________.2021 р.</t>
  </si>
  <si>
    <t>затверджена рішенням Сумської міської ради від 19 грудня 2018 року № 4326-МР (зі змінами)</t>
  </si>
  <si>
    <t>Комплексна програма  Сумської міської об'єднаної територіальної громади "Освіта на 2019 - 2021 роки ",</t>
  </si>
  <si>
    <t>від ___________ 2021 № ___- МР</t>
  </si>
  <si>
    <r>
      <t>Завдання 4. Охоплення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дітей дошкільною освітою</t>
    </r>
  </si>
  <si>
    <r>
      <t xml:space="preserve">1.2. </t>
    </r>
    <r>
      <rPr>
        <sz val="10"/>
        <color indexed="8"/>
        <rFont val="Times New Roman"/>
        <family val="1"/>
      </rPr>
      <t>Надання можливості отримання загальної середньої освіти дітям з особливими освітніми потребами, які навчаються у спеціальних та інклюзивних класах</t>
    </r>
  </si>
  <si>
    <r>
      <t xml:space="preserve">1.3. </t>
    </r>
    <r>
      <rPr>
        <sz val="10"/>
        <color indexed="8"/>
        <rFont val="Times New Roman"/>
        <family val="1"/>
      </rPr>
      <t>Організація якісного харчування учнів закладів загальної середньої освіти, дошкільних та шкільних підрозділів НВК</t>
    </r>
  </si>
  <si>
    <r>
      <t>3.1.</t>
    </r>
    <r>
      <rPr>
        <b/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Соціальна підтримка учнів та вихованців закладів освіти, батьки яких є учасниками антитерористичної операції, добровольцями – учасниками антитерористичної операції або загиблими (померлими) учасниками антитерористичної операції.</t>
    </r>
  </si>
  <si>
    <r>
      <t xml:space="preserve">4.1. </t>
    </r>
    <r>
      <rPr>
        <sz val="10"/>
        <color indexed="8"/>
        <rFont val="Times New Roman"/>
        <family val="1"/>
      </rPr>
      <t>Встановлення сучасних систем відеоспостереження в закладах освіти міста</t>
    </r>
  </si>
  <si>
    <r>
      <t xml:space="preserve">1.2. </t>
    </r>
    <r>
      <rPr>
        <sz val="10"/>
        <color indexed="8"/>
        <rFont val="Times New Roman"/>
        <family val="1"/>
      </rPr>
      <t>Підвищення рівня комфортних умов для учнів вечірньої (змінної) школи</t>
    </r>
  </si>
  <si>
    <r>
      <t xml:space="preserve">1.2. </t>
    </r>
    <r>
      <rPr>
        <sz val="10"/>
        <color indexed="8"/>
        <rFont val="Times New Roman"/>
        <family val="1"/>
      </rPr>
      <t xml:space="preserve">Організація якісного харчування учнів </t>
    </r>
    <r>
      <rPr>
        <sz val="9.5"/>
        <color indexed="8"/>
        <rFont val="Times New Roman"/>
        <family val="1"/>
      </rPr>
      <t>спеціальної загальноосвітньої школи</t>
    </r>
  </si>
  <si>
    <r>
      <t xml:space="preserve">1.3. </t>
    </r>
    <r>
      <rPr>
        <sz val="10"/>
        <color indexed="8"/>
        <rFont val="Times New Roman"/>
        <family val="1"/>
      </rPr>
      <t>Підвищення рівня комфортних умов для учнів спеціальної школи</t>
    </r>
  </si>
  <si>
    <r>
      <t xml:space="preserve">1.2. </t>
    </r>
    <r>
      <rPr>
        <sz val="10"/>
        <color indexed="8"/>
        <rFont val="Times New Roman"/>
        <family val="1"/>
      </rPr>
      <t>Підвищення рівня комфортних умов для вихованців закладів позашкільної освіти</t>
    </r>
  </si>
  <si>
    <r>
      <t xml:space="preserve">1.2. </t>
    </r>
    <r>
      <rPr>
        <sz val="10"/>
        <color indexed="8"/>
        <rFont val="Times New Roman"/>
        <family val="1"/>
      </rPr>
      <t>Підвищення рівня комфортних умов учнів у МНВК</t>
    </r>
  </si>
  <si>
    <r>
      <t>Будівництво освітніх установ та закладів (</t>
    </r>
    <r>
      <rPr>
        <sz val="12"/>
        <color indexed="8"/>
        <rFont val="Times New Roman"/>
        <family val="1"/>
      </rPr>
      <t>підпрограма 15</t>
    </r>
    <r>
      <rPr>
        <b/>
        <sz val="12"/>
        <color indexed="8"/>
        <rFont val="Times New Roman"/>
        <family val="1"/>
      </rPr>
      <t>)</t>
    </r>
  </si>
  <si>
    <t>2019-2021 рік (тис. грн)</t>
  </si>
  <si>
    <t>Всього на виконання комплексної програми Сумської міської об'єднаної територіальної громади "Освіта на 2019 - 2021 роки " за підсумками 2020 року</t>
  </si>
  <si>
    <t>Всього на виконання комплексної програми Сумської міської територіальної громади "Освіта на 2019 - 2021 роки " за підсумками 2021 року</t>
  </si>
  <si>
    <t xml:space="preserve">про хід виконання комплексної  програми Сумської міської територіальної громади "Освіта на 2019 - 2021 роки ",  затвердженої рішенням Сумської міської ради від 19 грудня 2018 року № 4326-МР (зі змінами), за підсумками 2021 року </t>
  </si>
  <si>
    <t>1.2. 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</t>
  </si>
  <si>
    <t>1.3. Створення навчально - практичного центру з професії "Оператор верстатів з програмним керуванням. Верстатник широкого профілю" на базі ДПТНЗ "Сумський центр професійно - технічної освіти"</t>
  </si>
  <si>
    <t>1.4. Осучаснення та модернізація закладів професійної (професійно – технічної) освіти, ураховуючи сучасні потреби на регіональному ринку праці</t>
  </si>
  <si>
    <t>1.2. Капітальний ремонт харчоблоку ЗОШ № 4</t>
  </si>
  <si>
    <t>1.3.Оснащення закладів загальної середньої освіти  пожежною сигналізацією (ССШ №№ 1, 9, ЗОШ № 5)</t>
  </si>
  <si>
    <t>1.4. Придбання обладнання для харчоблоку ССШ № 30</t>
  </si>
  <si>
    <t>1.10. Оснащення закладів загальної середньої освіти  пожежною сигналізацією ЗДО №№ 6, 7, 19, 22, 25, ССШ № 10, 29, 30, ЗОШ № 12, 19,  ЗЗСО № 21, Сумська гімназія № 1, ЦЕНТУМ</t>
  </si>
  <si>
    <t>про хід виконання комплексної міської програми «Освіта м. Суми на 2019-2020 роки», затвердженої рішенням Сумської міської ради від 19 грудня 2018 року № 4326-МР (зі змінами), за підсумками 2019-2021 років</t>
  </si>
  <si>
    <t>Комплексна програма  Сумської міської територіальної громади "Освіта на 2019 - 2021 роки ",</t>
  </si>
  <si>
    <t>Додаток 3</t>
  </si>
  <si>
    <t xml:space="preserve">до наказу Сумвської міської військової адміністрації </t>
  </si>
  <si>
    <t>Начальник управління освіти і науки Сумської міської ради</t>
  </si>
  <si>
    <t>Неля ВЕРБИЦЬКА</t>
  </si>
  <si>
    <r>
      <t>1.1.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Виплата компенсацій за пільговий проїзд у міському електротранспорті дітей 1-11 класів (100%)</t>
    </r>
  </si>
  <si>
    <r>
      <t>1.2.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Виплата компенсацій за пільговий проїзд на автобусних маршрутах загального користування дітей 1-11 класів (100%)</t>
    </r>
  </si>
  <si>
    <t>Стан виконання (показники ефективності , %)</t>
  </si>
  <si>
    <t>від 26.12.2023  № 120 - СМР</t>
  </si>
  <si>
    <t>від 26.12.2023 № 120 - СМР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</si>
</sst>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NewRomanPS-BoldMT"/>
      <family val="0"/>
    </font>
    <font>
      <b/>
      <sz val="9.5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TimesNewRomanPS-BoldMT"/>
      <family val="0"/>
    </font>
    <font>
      <b/>
      <sz val="9.5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1"/>
      <color theme="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u val="single"/>
      <sz val="12"/>
      <color theme="1"/>
      <name val="Times New Roman"/>
      <family val="1"/>
    </font>
    <font>
      <u val="single"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/>
    </xf>
    <xf numFmtId="0" fontId="62" fillId="0" borderId="0" xfId="0" applyFont="1" applyAlignment="1">
      <alignment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wrapText="1"/>
    </xf>
    <xf numFmtId="0" fontId="63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wrapText="1"/>
    </xf>
    <xf numFmtId="184" fontId="62" fillId="0" borderId="10" xfId="0" applyNumberFormat="1" applyFont="1" applyBorder="1" applyAlignment="1">
      <alignment horizontal="center" vertical="center"/>
    </xf>
    <xf numFmtId="184" fontId="62" fillId="33" borderId="10" xfId="0" applyNumberFormat="1" applyFont="1" applyFill="1" applyBorder="1" applyAlignment="1">
      <alignment horizontal="center" vertical="center"/>
    </xf>
    <xf numFmtId="184" fontId="62" fillId="33" borderId="10" xfId="0" applyNumberFormat="1" applyFont="1" applyFill="1" applyBorder="1" applyAlignment="1">
      <alignment/>
    </xf>
    <xf numFmtId="184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wrapText="1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/>
    </xf>
    <xf numFmtId="0" fontId="65" fillId="33" borderId="10" xfId="0" applyFont="1" applyFill="1" applyBorder="1" applyAlignment="1">
      <alignment vertical="center" wrapText="1"/>
    </xf>
    <xf numFmtId="0" fontId="65" fillId="33" borderId="10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/>
    </xf>
    <xf numFmtId="0" fontId="66" fillId="33" borderId="10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wrapText="1"/>
    </xf>
    <xf numFmtId="0" fontId="63" fillId="0" borderId="10" xfId="0" applyFont="1" applyBorder="1" applyAlignment="1">
      <alignment horizontal="left" vertical="center" wrapText="1"/>
    </xf>
    <xf numFmtId="0" fontId="68" fillId="34" borderId="10" xfId="0" applyFont="1" applyFill="1" applyBorder="1" applyAlignment="1">
      <alignment wrapText="1"/>
    </xf>
    <xf numFmtId="0" fontId="61" fillId="35" borderId="10" xfId="0" applyFont="1" applyFill="1" applyBorder="1" applyAlignment="1">
      <alignment/>
    </xf>
    <xf numFmtId="0" fontId="61" fillId="35" borderId="10" xfId="0" applyFont="1" applyFill="1" applyBorder="1" applyAlignment="1">
      <alignment horizontal="center" vertical="center"/>
    </xf>
    <xf numFmtId="184" fontId="61" fillId="3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2" fontId="61" fillId="35" borderId="10" xfId="0" applyNumberFormat="1" applyFont="1" applyFill="1" applyBorder="1" applyAlignment="1">
      <alignment horizontal="center" vertical="center"/>
    </xf>
    <xf numFmtId="184" fontId="61" fillId="34" borderId="10" xfId="0" applyNumberFormat="1" applyFont="1" applyFill="1" applyBorder="1" applyAlignment="1">
      <alignment horizontal="center" vertical="center"/>
    </xf>
    <xf numFmtId="2" fontId="61" fillId="34" borderId="10" xfId="0" applyNumberFormat="1" applyFont="1" applyFill="1" applyBorder="1" applyAlignment="1">
      <alignment horizontal="center" vertical="center"/>
    </xf>
    <xf numFmtId="184" fontId="62" fillId="36" borderId="10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4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3" fillId="36" borderId="10" xfId="0" applyFont="1" applyFill="1" applyBorder="1" applyAlignment="1">
      <alignment wrapText="1"/>
    </xf>
    <xf numFmtId="0" fontId="63" fillId="0" borderId="10" xfId="0" applyFont="1" applyBorder="1" applyAlignment="1">
      <alignment vertical="center"/>
    </xf>
    <xf numFmtId="0" fontId="70" fillId="0" borderId="0" xfId="0" applyFont="1" applyAlignment="1">
      <alignment/>
    </xf>
    <xf numFmtId="0" fontId="70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2" fillId="0" borderId="0" xfId="0" applyFont="1" applyAlignment="1">
      <alignment/>
    </xf>
    <xf numFmtId="0" fontId="43" fillId="0" borderId="0" xfId="0" applyFont="1" applyAlignment="1">
      <alignment/>
    </xf>
    <xf numFmtId="0" fontId="63" fillId="0" borderId="10" xfId="0" applyFont="1" applyBorder="1" applyAlignment="1">
      <alignment horizontal="justify" vertical="center" wrapText="1"/>
    </xf>
    <xf numFmtId="0" fontId="64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63" fillId="33" borderId="10" xfId="0" applyFont="1" applyFill="1" applyBorder="1" applyAlignment="1">
      <alignment wrapText="1"/>
    </xf>
    <xf numFmtId="0" fontId="64" fillId="0" borderId="10" xfId="0" applyFont="1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5" fillId="33" borderId="0" xfId="0" applyFont="1" applyFill="1" applyAlignment="1">
      <alignment wrapText="1"/>
    </xf>
    <xf numFmtId="0" fontId="63" fillId="33" borderId="10" xfId="0" applyFont="1" applyFill="1" applyBorder="1" applyAlignment="1">
      <alignment horizontal="left" wrapText="1"/>
    </xf>
    <xf numFmtId="0" fontId="62" fillId="0" borderId="10" xfId="0" applyFont="1" applyBorder="1" applyAlignment="1">
      <alignment wrapText="1"/>
    </xf>
    <xf numFmtId="0" fontId="63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vertical="center" wrapText="1"/>
    </xf>
    <xf numFmtId="0" fontId="68" fillId="33" borderId="10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left" wrapText="1"/>
    </xf>
    <xf numFmtId="184" fontId="37" fillId="0" borderId="10" xfId="0" applyNumberFormat="1" applyFont="1" applyBorder="1" applyAlignment="1">
      <alignment/>
    </xf>
    <xf numFmtId="2" fontId="61" fillId="36" borderId="10" xfId="0" applyNumberFormat="1" applyFont="1" applyFill="1" applyBorder="1" applyAlignment="1">
      <alignment horizontal="center" vertical="center"/>
    </xf>
    <xf numFmtId="184" fontId="61" fillId="33" borderId="10" xfId="0" applyNumberFormat="1" applyFont="1" applyFill="1" applyBorder="1" applyAlignment="1">
      <alignment horizontal="center" vertical="center"/>
    </xf>
    <xf numFmtId="2" fontId="61" fillId="33" borderId="10" xfId="0" applyNumberFormat="1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wrapText="1"/>
    </xf>
    <xf numFmtId="0" fontId="64" fillId="36" borderId="10" xfId="0" applyFont="1" applyFill="1" applyBorder="1" applyAlignment="1">
      <alignment wrapText="1"/>
    </xf>
    <xf numFmtId="0" fontId="64" fillId="36" borderId="10" xfId="0" applyFont="1" applyFill="1" applyBorder="1" applyAlignment="1">
      <alignment/>
    </xf>
    <xf numFmtId="0" fontId="63" fillId="36" borderId="10" xfId="0" applyFont="1" applyFill="1" applyBorder="1" applyAlignment="1">
      <alignment/>
    </xf>
    <xf numFmtId="184" fontId="6" fillId="0" borderId="0" xfId="0" applyNumberFormat="1" applyFont="1" applyAlignment="1">
      <alignment/>
    </xf>
    <xf numFmtId="0" fontId="6" fillId="0" borderId="0" xfId="0" applyFont="1" applyAlignment="1">
      <alignment/>
    </xf>
    <xf numFmtId="184" fontId="62" fillId="0" borderId="0" xfId="0" applyNumberFormat="1" applyFont="1" applyAlignment="1">
      <alignment/>
    </xf>
    <xf numFmtId="184" fontId="61" fillId="36" borderId="10" xfId="0" applyNumberFormat="1" applyFont="1" applyFill="1" applyBorder="1" applyAlignment="1">
      <alignment horizontal="center" vertical="center"/>
    </xf>
    <xf numFmtId="184" fontId="61" fillId="33" borderId="11" xfId="0" applyNumberFormat="1" applyFont="1" applyFill="1" applyBorder="1" applyAlignment="1">
      <alignment horizontal="center" vertical="center"/>
    </xf>
    <xf numFmtId="2" fontId="61" fillId="33" borderId="11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vertical="center" wrapText="1"/>
    </xf>
    <xf numFmtId="184" fontId="74" fillId="36" borderId="10" xfId="0" applyNumberFormat="1" applyFont="1" applyFill="1" applyBorder="1" applyAlignment="1">
      <alignment horizontal="center" vertical="center"/>
    </xf>
    <xf numFmtId="2" fontId="74" fillId="36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vertical="center" wrapText="1"/>
    </xf>
    <xf numFmtId="184" fontId="0" fillId="0" borderId="0" xfId="0" applyNumberFormat="1" applyAlignment="1">
      <alignment/>
    </xf>
    <xf numFmtId="2" fontId="63" fillId="0" borderId="10" xfId="0" applyNumberFormat="1" applyFont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/>
    </xf>
    <xf numFmtId="184" fontId="12" fillId="36" borderId="10" xfId="0" applyNumberFormat="1" applyFont="1" applyFill="1" applyBorder="1" applyAlignment="1">
      <alignment horizontal="center" vertical="center"/>
    </xf>
    <xf numFmtId="184" fontId="72" fillId="0" borderId="0" xfId="0" applyNumberFormat="1" applyFont="1" applyAlignment="1">
      <alignment/>
    </xf>
    <xf numFmtId="0" fontId="6" fillId="3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184" fontId="75" fillId="0" borderId="10" xfId="0" applyNumberFormat="1" applyFont="1" applyFill="1" applyBorder="1" applyAlignment="1">
      <alignment horizontal="center" vertical="center"/>
    </xf>
    <xf numFmtId="184" fontId="75" fillId="36" borderId="10" xfId="0" applyNumberFormat="1" applyFont="1" applyFill="1" applyBorder="1" applyAlignment="1">
      <alignment horizontal="center" vertical="center"/>
    </xf>
    <xf numFmtId="0" fontId="63" fillId="0" borderId="12" xfId="0" applyFont="1" applyBorder="1" applyAlignment="1">
      <alignment vertical="center" wrapText="1"/>
    </xf>
    <xf numFmtId="0" fontId="7" fillId="36" borderId="10" xfId="0" applyFont="1" applyFill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184" fontId="62" fillId="0" borderId="11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vertical="center" wrapText="1"/>
    </xf>
    <xf numFmtId="0" fontId="69" fillId="0" borderId="0" xfId="0" applyFont="1" applyAlignment="1">
      <alignment wrapText="1"/>
    </xf>
    <xf numFmtId="0" fontId="61" fillId="0" borderId="10" xfId="0" applyFont="1" applyBorder="1" applyAlignment="1">
      <alignment horizontal="center" vertical="center" wrapText="1"/>
    </xf>
    <xf numFmtId="0" fontId="69" fillId="0" borderId="13" xfId="0" applyFont="1" applyBorder="1" applyAlignment="1">
      <alignment vertical="center" wrapText="1"/>
    </xf>
    <xf numFmtId="0" fontId="69" fillId="0" borderId="14" xfId="0" applyFont="1" applyBorder="1" applyAlignment="1">
      <alignment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vertical="center" wrapText="1"/>
    </xf>
    <xf numFmtId="0" fontId="69" fillId="0" borderId="16" xfId="0" applyFont="1" applyBorder="1" applyAlignment="1">
      <alignment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184" fontId="69" fillId="0" borderId="16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62" fillId="36" borderId="10" xfId="0" applyFont="1" applyFill="1" applyBorder="1" applyAlignment="1">
      <alignment/>
    </xf>
    <xf numFmtId="0" fontId="76" fillId="33" borderId="10" xfId="0" applyFont="1" applyFill="1" applyBorder="1" applyAlignment="1">
      <alignment wrapText="1"/>
    </xf>
    <xf numFmtId="0" fontId="76" fillId="33" borderId="10" xfId="0" applyFont="1" applyFill="1" applyBorder="1" applyAlignment="1">
      <alignment horizontal="center"/>
    </xf>
    <xf numFmtId="2" fontId="62" fillId="36" borderId="1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68" fillId="36" borderId="17" xfId="0" applyFont="1" applyFill="1" applyBorder="1" applyAlignment="1">
      <alignment horizontal="center"/>
    </xf>
    <xf numFmtId="0" fontId="68" fillId="36" borderId="18" xfId="0" applyFont="1" applyFill="1" applyBorder="1" applyAlignment="1">
      <alignment horizontal="center"/>
    </xf>
    <xf numFmtId="0" fontId="68" fillId="36" borderId="12" xfId="0" applyFont="1" applyFill="1" applyBorder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1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61" fillId="36" borderId="17" xfId="0" applyFont="1" applyFill="1" applyBorder="1" applyAlignment="1">
      <alignment horizontal="center"/>
    </xf>
    <xf numFmtId="0" fontId="61" fillId="36" borderId="18" xfId="0" applyFont="1" applyFill="1" applyBorder="1" applyAlignment="1">
      <alignment horizontal="center"/>
    </xf>
    <xf numFmtId="0" fontId="61" fillId="36" borderId="12" xfId="0" applyFont="1" applyFill="1" applyBorder="1" applyAlignment="1">
      <alignment horizontal="center"/>
    </xf>
    <xf numFmtId="0" fontId="78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left" wrapText="1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0" fillId="0" borderId="0" xfId="0" applyFont="1" applyAlignment="1">
      <alignment horizontal="left" wrapText="1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horizontal="right"/>
    </xf>
    <xf numFmtId="0" fontId="69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0"/>
  <sheetViews>
    <sheetView zoomScale="73" zoomScaleNormal="73" zoomScalePageLayoutView="0" workbookViewId="0" topLeftCell="A130">
      <selection activeCell="A178" sqref="A178:P181"/>
    </sheetView>
  </sheetViews>
  <sheetFormatPr defaultColWidth="9.140625" defaultRowHeight="15"/>
  <cols>
    <col min="1" max="1" width="47.00390625" style="0" customWidth="1"/>
    <col min="2" max="2" width="11.8515625" style="0" customWidth="1"/>
    <col min="3" max="3" width="9.7109375" style="0" customWidth="1"/>
    <col min="7" max="7" width="10.421875" style="0" customWidth="1"/>
    <col min="9" max="9" width="10.140625" style="0" customWidth="1"/>
    <col min="10" max="10" width="11.140625" style="0" customWidth="1"/>
    <col min="14" max="15" width="11.140625" style="0" customWidth="1"/>
    <col min="16" max="16" width="25.28125" style="0" customWidth="1"/>
    <col min="17" max="17" width="15.8515625" style="0" customWidth="1"/>
  </cols>
  <sheetData>
    <row r="1" spans="14:16" ht="15.75">
      <c r="N1" s="136" t="s">
        <v>46</v>
      </c>
      <c r="O1" s="136"/>
      <c r="P1" s="136"/>
    </row>
    <row r="2" spans="14:16" ht="60" customHeight="1">
      <c r="N2" s="137" t="s">
        <v>154</v>
      </c>
      <c r="O2" s="137"/>
      <c r="P2" s="137"/>
    </row>
    <row r="3" spans="14:16" ht="15.75">
      <c r="N3" s="29" t="s">
        <v>155</v>
      </c>
      <c r="O3" s="29"/>
      <c r="P3" s="29"/>
    </row>
    <row r="4" spans="14:16" ht="15.75">
      <c r="N4" s="29"/>
      <c r="O4" s="29"/>
      <c r="P4" s="29"/>
    </row>
    <row r="5" spans="1:16" ht="18.75">
      <c r="A5" s="138" t="s">
        <v>33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6" ht="37.5" customHeight="1">
      <c r="A6" s="139" t="s">
        <v>156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1:16" ht="18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8.75">
      <c r="A8" s="30" t="s">
        <v>34</v>
      </c>
      <c r="B8" s="30">
        <v>10</v>
      </c>
      <c r="C8" s="30"/>
      <c r="D8" s="134" t="s">
        <v>35</v>
      </c>
      <c r="E8" s="134"/>
      <c r="F8" s="134"/>
      <c r="G8" s="134"/>
      <c r="H8" s="134"/>
      <c r="I8" s="134"/>
      <c r="J8" s="134"/>
      <c r="K8" s="30"/>
      <c r="L8" s="30"/>
      <c r="M8" s="30"/>
      <c r="N8" s="30"/>
      <c r="O8" s="30"/>
      <c r="P8" s="30"/>
    </row>
    <row r="9" spans="1:16" ht="18.75">
      <c r="A9" s="30"/>
      <c r="B9" s="30" t="s">
        <v>36</v>
      </c>
      <c r="C9" s="30"/>
      <c r="D9" s="140" t="s">
        <v>37</v>
      </c>
      <c r="E9" s="140"/>
      <c r="F9" s="140"/>
      <c r="G9" s="140"/>
      <c r="H9" s="140"/>
      <c r="I9" s="140"/>
      <c r="J9" s="140"/>
      <c r="K9" s="30"/>
      <c r="L9" s="30"/>
      <c r="M9" s="30"/>
      <c r="N9" s="30"/>
      <c r="O9" s="30"/>
      <c r="P9" s="30"/>
    </row>
    <row r="10" spans="1:16" ht="18.75">
      <c r="A10" s="30" t="s">
        <v>38</v>
      </c>
      <c r="B10" s="30"/>
      <c r="C10" s="30"/>
      <c r="D10" s="134" t="s">
        <v>35</v>
      </c>
      <c r="E10" s="134"/>
      <c r="F10" s="134"/>
      <c r="G10" s="134"/>
      <c r="H10" s="134"/>
      <c r="I10" s="134"/>
      <c r="J10" s="134"/>
      <c r="K10" s="30"/>
      <c r="L10" s="30"/>
      <c r="M10" s="30"/>
      <c r="N10" s="30"/>
      <c r="O10" s="30"/>
      <c r="P10" s="30"/>
    </row>
    <row r="11" spans="4:10" ht="15">
      <c r="D11" s="126" t="s">
        <v>39</v>
      </c>
      <c r="E11" s="126"/>
      <c r="F11" s="126"/>
      <c r="G11" s="126"/>
      <c r="H11" s="126"/>
      <c r="I11" s="126"/>
      <c r="J11" s="126"/>
    </row>
    <row r="12" spans="1:13" ht="18.75">
      <c r="A12" s="32" t="s">
        <v>40</v>
      </c>
      <c r="B12" s="34">
        <v>611010</v>
      </c>
      <c r="D12" s="125" t="s">
        <v>157</v>
      </c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 ht="15.75">
      <c r="A13" s="28"/>
      <c r="B13" s="34">
        <v>611020</v>
      </c>
      <c r="D13" s="135" t="s">
        <v>158</v>
      </c>
      <c r="E13" s="135"/>
      <c r="F13" s="135"/>
      <c r="G13" s="135"/>
      <c r="H13" s="135"/>
      <c r="I13" s="135"/>
      <c r="J13" s="135"/>
      <c r="K13" s="135"/>
      <c r="L13" s="135"/>
      <c r="M13" s="135"/>
    </row>
    <row r="14" spans="1:13" ht="15">
      <c r="A14" s="28"/>
      <c r="B14" s="34">
        <v>611030</v>
      </c>
      <c r="D14" s="126" t="s">
        <v>41</v>
      </c>
      <c r="E14" s="126"/>
      <c r="F14" s="126"/>
      <c r="G14" s="126"/>
      <c r="H14" s="126"/>
      <c r="I14" s="126"/>
      <c r="J14" s="126"/>
      <c r="K14" s="126"/>
      <c r="L14" s="126"/>
      <c r="M14" s="126"/>
    </row>
    <row r="15" spans="1:2" ht="15">
      <c r="A15" s="28"/>
      <c r="B15" s="34">
        <v>611070</v>
      </c>
    </row>
    <row r="16" spans="1:2" ht="15">
      <c r="A16" s="28"/>
      <c r="B16" s="34">
        <v>611090</v>
      </c>
    </row>
    <row r="17" spans="1:2" ht="15">
      <c r="A17" s="28"/>
      <c r="B17" s="34">
        <v>611150</v>
      </c>
    </row>
    <row r="18" spans="1:2" ht="15">
      <c r="A18" s="28"/>
      <c r="B18" s="34">
        <v>611161</v>
      </c>
    </row>
    <row r="19" spans="1:2" ht="15">
      <c r="A19" s="28"/>
      <c r="B19" s="34">
        <v>611162</v>
      </c>
    </row>
    <row r="20" spans="1:2" ht="15">
      <c r="A20" s="28"/>
      <c r="B20" s="34">
        <v>611110</v>
      </c>
    </row>
    <row r="21" spans="1:2" ht="15">
      <c r="A21" s="28"/>
      <c r="B21" s="34">
        <v>611170</v>
      </c>
    </row>
    <row r="22" spans="1:2" ht="15">
      <c r="A22" s="28"/>
      <c r="B22" s="35">
        <v>617363</v>
      </c>
    </row>
    <row r="23" ht="15">
      <c r="B23" s="33" t="s">
        <v>42</v>
      </c>
    </row>
    <row r="24" ht="15">
      <c r="B24" s="33"/>
    </row>
    <row r="25" ht="15">
      <c r="B25" s="33"/>
    </row>
    <row r="26" ht="15">
      <c r="B26" s="33"/>
    </row>
    <row r="27" ht="15">
      <c r="B27" s="33"/>
    </row>
    <row r="28" ht="15">
      <c r="B28" s="33"/>
    </row>
    <row r="29" ht="15">
      <c r="B29" s="33"/>
    </row>
    <row r="30" ht="15">
      <c r="B30" s="33"/>
    </row>
    <row r="32" spans="1:16" ht="22.5" customHeight="1">
      <c r="A32" s="124" t="s">
        <v>0</v>
      </c>
      <c r="B32" s="124" t="s">
        <v>1</v>
      </c>
      <c r="C32" s="124"/>
      <c r="D32" s="124"/>
      <c r="E32" s="124"/>
      <c r="F32" s="124"/>
      <c r="G32" s="124"/>
      <c r="H32" s="124"/>
      <c r="I32" s="124" t="s">
        <v>2</v>
      </c>
      <c r="J32" s="124"/>
      <c r="K32" s="124"/>
      <c r="L32" s="124"/>
      <c r="M32" s="124"/>
      <c r="N32" s="124"/>
      <c r="O32" s="124"/>
      <c r="P32" s="124" t="s">
        <v>3</v>
      </c>
    </row>
    <row r="33" spans="1:16" ht="24.75" customHeight="1">
      <c r="A33" s="124"/>
      <c r="B33" s="124" t="s">
        <v>47</v>
      </c>
      <c r="C33" s="124"/>
      <c r="D33" s="124"/>
      <c r="E33" s="124"/>
      <c r="F33" s="124"/>
      <c r="G33" s="124"/>
      <c r="H33" s="124"/>
      <c r="I33" s="124" t="s">
        <v>47</v>
      </c>
      <c r="J33" s="124"/>
      <c r="K33" s="124"/>
      <c r="L33" s="124"/>
      <c r="M33" s="124"/>
      <c r="N33" s="124"/>
      <c r="O33" s="124"/>
      <c r="P33" s="124"/>
    </row>
    <row r="34" spans="1:16" ht="15.75" customHeight="1">
      <c r="A34" s="124"/>
      <c r="B34" s="127" t="s">
        <v>4</v>
      </c>
      <c r="C34" s="124" t="s">
        <v>5</v>
      </c>
      <c r="D34" s="124"/>
      <c r="E34" s="124"/>
      <c r="F34" s="124"/>
      <c r="G34" s="124"/>
      <c r="H34" s="124"/>
      <c r="I34" s="124" t="s">
        <v>4</v>
      </c>
      <c r="J34" s="124" t="s">
        <v>5</v>
      </c>
      <c r="K34" s="124"/>
      <c r="L34" s="124"/>
      <c r="M34" s="124"/>
      <c r="N34" s="124"/>
      <c r="O34" s="124"/>
      <c r="P34" s="124"/>
    </row>
    <row r="35" spans="1:16" ht="22.5" customHeight="1">
      <c r="A35" s="124"/>
      <c r="B35" s="127"/>
      <c r="C35" s="124" t="s">
        <v>10</v>
      </c>
      <c r="D35" s="124"/>
      <c r="E35" s="124"/>
      <c r="F35" s="124"/>
      <c r="G35" s="124" t="s">
        <v>11</v>
      </c>
      <c r="H35" s="124"/>
      <c r="I35" s="124"/>
      <c r="J35" s="124" t="s">
        <v>10</v>
      </c>
      <c r="K35" s="124"/>
      <c r="L35" s="124"/>
      <c r="M35" s="124"/>
      <c r="N35" s="124" t="s">
        <v>11</v>
      </c>
      <c r="O35" s="124"/>
      <c r="P35" s="124"/>
    </row>
    <row r="36" spans="1:16" ht="15">
      <c r="A36" s="124"/>
      <c r="B36" s="127"/>
      <c r="C36" s="124" t="s">
        <v>6</v>
      </c>
      <c r="D36" s="124"/>
      <c r="E36" s="124" t="s">
        <v>7</v>
      </c>
      <c r="F36" s="124"/>
      <c r="G36" s="124"/>
      <c r="H36" s="124"/>
      <c r="I36" s="124"/>
      <c r="J36" s="124" t="s">
        <v>6</v>
      </c>
      <c r="K36" s="124"/>
      <c r="L36" s="124" t="s">
        <v>7</v>
      </c>
      <c r="M36" s="124"/>
      <c r="N36" s="124"/>
      <c r="O36" s="124"/>
      <c r="P36" s="124"/>
    </row>
    <row r="37" spans="1:16" ht="45.75" customHeight="1">
      <c r="A37" s="124"/>
      <c r="B37" s="127"/>
      <c r="C37" s="1" t="s">
        <v>8</v>
      </c>
      <c r="D37" s="1" t="s">
        <v>9</v>
      </c>
      <c r="E37" s="1" t="s">
        <v>8</v>
      </c>
      <c r="F37" s="1" t="s">
        <v>9</v>
      </c>
      <c r="G37" s="1" t="s">
        <v>8</v>
      </c>
      <c r="H37" s="1" t="s">
        <v>9</v>
      </c>
      <c r="I37" s="124"/>
      <c r="J37" s="1" t="s">
        <v>8</v>
      </c>
      <c r="K37" s="1" t="s">
        <v>9</v>
      </c>
      <c r="L37" s="1" t="s">
        <v>8</v>
      </c>
      <c r="M37" s="1" t="s">
        <v>9</v>
      </c>
      <c r="N37" s="1" t="s">
        <v>8</v>
      </c>
      <c r="O37" s="1" t="s">
        <v>9</v>
      </c>
      <c r="P37" s="124"/>
    </row>
    <row r="38" spans="1:16" ht="15">
      <c r="A38" s="2">
        <v>1</v>
      </c>
      <c r="B38" s="2">
        <v>2</v>
      </c>
      <c r="C38" s="2">
        <v>3</v>
      </c>
      <c r="D38" s="2">
        <v>4</v>
      </c>
      <c r="E38" s="2">
        <v>5</v>
      </c>
      <c r="F38" s="2">
        <v>6</v>
      </c>
      <c r="G38" s="2">
        <v>7</v>
      </c>
      <c r="H38" s="2">
        <v>8</v>
      </c>
      <c r="I38" s="2">
        <v>9</v>
      </c>
      <c r="J38" s="2">
        <v>10</v>
      </c>
      <c r="K38" s="2">
        <v>11</v>
      </c>
      <c r="L38" s="2">
        <v>12</v>
      </c>
      <c r="M38" s="2">
        <v>13</v>
      </c>
      <c r="N38" s="2">
        <v>14</v>
      </c>
      <c r="O38" s="2">
        <v>15</v>
      </c>
      <c r="P38" s="2">
        <v>16</v>
      </c>
    </row>
    <row r="39" spans="1:16" ht="15">
      <c r="A39" s="129" t="s">
        <v>48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</row>
    <row r="40" spans="1:16" ht="17.25" customHeight="1">
      <c r="A40" s="15" t="s">
        <v>49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7"/>
    </row>
    <row r="41" spans="1:16" ht="30.75" customHeight="1">
      <c r="A41" s="6" t="s">
        <v>50</v>
      </c>
      <c r="B41" s="10">
        <f aca="true" t="shared" si="0" ref="B41:B57">C41+D41+E41+F41+G41+H41</f>
        <v>165033</v>
      </c>
      <c r="C41" s="10">
        <f>177905-12905</f>
        <v>165000</v>
      </c>
      <c r="D41" s="10"/>
      <c r="E41" s="10"/>
      <c r="F41" s="10"/>
      <c r="G41" s="10">
        <v>33</v>
      </c>
      <c r="H41" s="10"/>
      <c r="I41" s="10">
        <f>J41+K41+L41+M41+N41+O41</f>
        <v>164323</v>
      </c>
      <c r="J41" s="10">
        <v>164296</v>
      </c>
      <c r="K41" s="10"/>
      <c r="L41" s="10"/>
      <c r="M41" s="10"/>
      <c r="N41" s="10">
        <v>27</v>
      </c>
      <c r="O41" s="10"/>
      <c r="P41" s="87">
        <f>I41/B41*100</f>
        <v>99.56978301309435</v>
      </c>
    </row>
    <row r="42" spans="1:16" ht="30.75" customHeight="1">
      <c r="A42" s="6" t="s">
        <v>51</v>
      </c>
      <c r="B42" s="10">
        <f t="shared" si="0"/>
        <v>31175</v>
      </c>
      <c r="C42" s="10">
        <v>14926</v>
      </c>
      <c r="D42" s="10">
        <v>16249</v>
      </c>
      <c r="E42" s="10"/>
      <c r="F42" s="10"/>
      <c r="G42" s="10"/>
      <c r="H42" s="10"/>
      <c r="I42" s="10">
        <f>J42+K42+L42+M42+N42+O42</f>
        <v>27115.4</v>
      </c>
      <c r="J42" s="88">
        <v>13848.8</v>
      </c>
      <c r="K42" s="88">
        <v>13266.6</v>
      </c>
      <c r="L42" s="10"/>
      <c r="M42" s="10"/>
      <c r="N42" s="10"/>
      <c r="O42" s="10"/>
      <c r="P42" s="87">
        <f aca="true" t="shared" si="1" ref="P42:P47">I42/B42*100</f>
        <v>86.97802726543705</v>
      </c>
    </row>
    <row r="43" spans="1:16" ht="30.75" customHeight="1">
      <c r="A43" s="6" t="s">
        <v>52</v>
      </c>
      <c r="B43" s="10">
        <f t="shared" si="0"/>
        <v>33173</v>
      </c>
      <c r="C43" s="10">
        <f>34123-1000</f>
        <v>33123</v>
      </c>
      <c r="D43" s="10"/>
      <c r="E43" s="10">
        <f>156-106</f>
        <v>50</v>
      </c>
      <c r="F43" s="10"/>
      <c r="G43" s="10"/>
      <c r="H43" s="10"/>
      <c r="I43" s="10">
        <f>J43+K43+L43+M43+N43+O43</f>
        <v>30104.800000000003</v>
      </c>
      <c r="J43" s="10">
        <f>30594.4-J44-61.3</f>
        <v>30059.100000000002</v>
      </c>
      <c r="K43" s="10"/>
      <c r="L43" s="10">
        <v>45.7</v>
      </c>
      <c r="M43" s="10"/>
      <c r="N43" s="10"/>
      <c r="O43" s="10"/>
      <c r="P43" s="87">
        <f t="shared" si="1"/>
        <v>90.7509118861725</v>
      </c>
    </row>
    <row r="44" spans="1:16" ht="24.75" customHeight="1">
      <c r="A44" s="5" t="s">
        <v>53</v>
      </c>
      <c r="B44" s="10">
        <f t="shared" si="0"/>
        <v>474</v>
      </c>
      <c r="C44" s="10">
        <v>474</v>
      </c>
      <c r="D44" s="10"/>
      <c r="E44" s="10"/>
      <c r="F44" s="10"/>
      <c r="G44" s="10"/>
      <c r="H44" s="10"/>
      <c r="I44" s="10">
        <f>J44+K44+L44+M44+N44+O44</f>
        <v>474</v>
      </c>
      <c r="J44" s="10">
        <v>474</v>
      </c>
      <c r="K44" s="10"/>
      <c r="L44" s="10"/>
      <c r="M44" s="10"/>
      <c r="N44" s="10"/>
      <c r="O44" s="10"/>
      <c r="P44" s="87">
        <f t="shared" si="1"/>
        <v>100</v>
      </c>
    </row>
    <row r="45" spans="1:16" ht="30.75" customHeight="1">
      <c r="A45" s="6" t="s">
        <v>54</v>
      </c>
      <c r="B45" s="10">
        <f t="shared" si="0"/>
        <v>1254</v>
      </c>
      <c r="C45" s="10"/>
      <c r="D45" s="10">
        <f>1500-400</f>
        <v>1100</v>
      </c>
      <c r="E45" s="10"/>
      <c r="F45" s="10">
        <f>45+81+10</f>
        <v>136</v>
      </c>
      <c r="G45" s="10"/>
      <c r="H45" s="10">
        <v>18</v>
      </c>
      <c r="I45" s="10">
        <f>J45+K45+L45+M45+N45+O45</f>
        <v>1197.5</v>
      </c>
      <c r="J45" s="10"/>
      <c r="K45" s="10">
        <f>1044</f>
        <v>1044</v>
      </c>
      <c r="L45" s="10"/>
      <c r="M45" s="10">
        <v>136</v>
      </c>
      <c r="N45" s="10"/>
      <c r="O45" s="10">
        <v>17.5</v>
      </c>
      <c r="P45" s="87">
        <f t="shared" si="1"/>
        <v>95.49441786283892</v>
      </c>
    </row>
    <row r="46" spans="1:16" ht="30.75" customHeight="1">
      <c r="A46" s="6" t="s">
        <v>55</v>
      </c>
      <c r="B46" s="10">
        <f aca="true" t="shared" si="2" ref="B46:B51">C46+D46+E46+F46+G46+H46</f>
        <v>4700</v>
      </c>
      <c r="C46" s="10"/>
      <c r="D46" s="10">
        <f>5500-800</f>
        <v>4700</v>
      </c>
      <c r="E46" s="10"/>
      <c r="F46" s="10"/>
      <c r="G46" s="10"/>
      <c r="H46" s="10"/>
      <c r="I46" s="10">
        <f aca="true" t="shared" si="3" ref="I46:I51">J46+K46+L46+M46+N46+O46</f>
        <v>4452.1</v>
      </c>
      <c r="J46" s="10"/>
      <c r="K46" s="10">
        <v>4452.1</v>
      </c>
      <c r="L46" s="10"/>
      <c r="M46" s="10"/>
      <c r="N46" s="10"/>
      <c r="O46" s="10"/>
      <c r="P46" s="87">
        <f t="shared" si="1"/>
        <v>94.72553191489362</v>
      </c>
    </row>
    <row r="47" spans="1:16" ht="30.75" customHeight="1">
      <c r="A47" s="6" t="s">
        <v>56</v>
      </c>
      <c r="B47" s="10">
        <f t="shared" si="2"/>
        <v>600</v>
      </c>
      <c r="C47" s="10"/>
      <c r="D47" s="10">
        <v>600</v>
      </c>
      <c r="E47" s="10"/>
      <c r="F47" s="10"/>
      <c r="G47" s="10"/>
      <c r="H47" s="10"/>
      <c r="I47" s="10">
        <f t="shared" si="3"/>
        <v>600</v>
      </c>
      <c r="J47" s="10"/>
      <c r="K47" s="10">
        <v>600</v>
      </c>
      <c r="L47" s="10"/>
      <c r="M47" s="10"/>
      <c r="N47" s="10"/>
      <c r="O47" s="10"/>
      <c r="P47" s="87">
        <f t="shared" si="1"/>
        <v>100</v>
      </c>
    </row>
    <row r="48" spans="1:16" ht="39.75" customHeight="1">
      <c r="A48" s="15" t="s">
        <v>57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58"/>
    </row>
    <row r="49" spans="1:16" ht="40.5" customHeight="1">
      <c r="A49" s="6" t="s">
        <v>65</v>
      </c>
      <c r="B49" s="10">
        <f t="shared" si="2"/>
        <v>0</v>
      </c>
      <c r="C49" s="10">
        <v>0</v>
      </c>
      <c r="D49" s="10"/>
      <c r="E49" s="10"/>
      <c r="F49" s="10"/>
      <c r="G49" s="10"/>
      <c r="H49" s="10"/>
      <c r="I49" s="10">
        <f t="shared" si="3"/>
        <v>0</v>
      </c>
      <c r="J49" s="10"/>
      <c r="K49" s="10"/>
      <c r="L49" s="10"/>
      <c r="M49" s="10"/>
      <c r="N49" s="10"/>
      <c r="O49" s="10"/>
      <c r="P49" s="6"/>
    </row>
    <row r="50" spans="1:16" ht="49.5" customHeight="1">
      <c r="A50" s="18" t="s">
        <v>58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58"/>
    </row>
    <row r="51" spans="1:16" ht="66" customHeight="1">
      <c r="A51" s="57" t="s">
        <v>59</v>
      </c>
      <c r="B51" s="10">
        <f t="shared" si="2"/>
        <v>0</v>
      </c>
      <c r="C51" s="10">
        <v>0</v>
      </c>
      <c r="D51" s="10"/>
      <c r="E51" s="10"/>
      <c r="F51" s="10"/>
      <c r="G51" s="10"/>
      <c r="H51" s="10"/>
      <c r="I51" s="10">
        <f t="shared" si="3"/>
        <v>0</v>
      </c>
      <c r="J51" s="10"/>
      <c r="K51" s="10"/>
      <c r="L51" s="10"/>
      <c r="M51" s="10"/>
      <c r="N51" s="10"/>
      <c r="O51" s="10"/>
      <c r="P51" s="6"/>
    </row>
    <row r="52" spans="1:16" ht="24.75" customHeight="1">
      <c r="A52" s="20" t="s">
        <v>60</v>
      </c>
      <c r="B52" s="11">
        <f>C52+D52+E52+F52+G52+H52</f>
        <v>0</v>
      </c>
      <c r="C52" s="11"/>
      <c r="D52" s="11"/>
      <c r="E52" s="11"/>
      <c r="F52" s="11"/>
      <c r="G52" s="11"/>
      <c r="H52" s="11"/>
      <c r="I52" s="11">
        <f>J52+K52+L52+M52+N52+O52</f>
        <v>0</v>
      </c>
      <c r="J52" s="11"/>
      <c r="K52" s="11"/>
      <c r="L52" s="11"/>
      <c r="M52" s="11"/>
      <c r="N52" s="11"/>
      <c r="O52" s="11"/>
      <c r="P52" s="58"/>
    </row>
    <row r="53" spans="1:16" ht="55.5" customHeight="1">
      <c r="A53" s="6" t="s">
        <v>61</v>
      </c>
      <c r="B53" s="10">
        <f>C53+D53+E53+F53+G53+H53</f>
        <v>0</v>
      </c>
      <c r="C53" s="10"/>
      <c r="D53" s="10"/>
      <c r="E53" s="10"/>
      <c r="F53" s="10"/>
      <c r="G53" s="10"/>
      <c r="H53" s="10"/>
      <c r="I53" s="10">
        <f>J53+K53+L53+M53+N53+O53</f>
        <v>0</v>
      </c>
      <c r="J53" s="10"/>
      <c r="K53" s="10"/>
      <c r="L53" s="10"/>
      <c r="M53" s="10"/>
      <c r="N53" s="10"/>
      <c r="O53" s="10"/>
      <c r="P53" s="6"/>
    </row>
    <row r="54" spans="1:16" ht="31.5" customHeight="1">
      <c r="A54" s="6" t="s">
        <v>62</v>
      </c>
      <c r="B54" s="10">
        <f>C54+D54+E54+F54+G54+H54</f>
        <v>0</v>
      </c>
      <c r="C54" s="10"/>
      <c r="D54" s="10"/>
      <c r="E54" s="10"/>
      <c r="F54" s="10"/>
      <c r="G54" s="10"/>
      <c r="H54" s="10"/>
      <c r="I54" s="10">
        <f>J54+K54+L54+M54+N54+O54</f>
        <v>0</v>
      </c>
      <c r="J54" s="10"/>
      <c r="K54" s="10"/>
      <c r="L54" s="10"/>
      <c r="M54" s="10"/>
      <c r="N54" s="10"/>
      <c r="O54" s="10"/>
      <c r="P54" s="6"/>
    </row>
    <row r="55" spans="1:16" ht="45" customHeight="1">
      <c r="A55" s="6" t="s">
        <v>63</v>
      </c>
      <c r="B55" s="10">
        <f t="shared" si="0"/>
        <v>0</v>
      </c>
      <c r="C55" s="10"/>
      <c r="D55" s="10"/>
      <c r="E55" s="10"/>
      <c r="F55" s="10"/>
      <c r="G55" s="10"/>
      <c r="H55" s="10"/>
      <c r="I55" s="10">
        <f>J55+K55+L55+M55+N55+O55</f>
        <v>0</v>
      </c>
      <c r="J55" s="10"/>
      <c r="K55" s="10"/>
      <c r="L55" s="10"/>
      <c r="M55" s="10"/>
      <c r="N55" s="10"/>
      <c r="O55" s="10"/>
      <c r="P55" s="55"/>
    </row>
    <row r="56" spans="1:16" ht="59.25" customHeight="1">
      <c r="A56" s="6" t="s">
        <v>64</v>
      </c>
      <c r="B56" s="10">
        <f t="shared" si="0"/>
        <v>0</v>
      </c>
      <c r="C56" s="10"/>
      <c r="D56" s="10"/>
      <c r="E56" s="10"/>
      <c r="F56" s="10"/>
      <c r="G56" s="10"/>
      <c r="H56" s="10"/>
      <c r="I56" s="10">
        <f>J56+K56+L56+M56+N56+O56</f>
        <v>0</v>
      </c>
      <c r="J56" s="10"/>
      <c r="K56" s="10"/>
      <c r="L56" s="10"/>
      <c r="M56" s="10"/>
      <c r="N56" s="10"/>
      <c r="O56" s="10"/>
      <c r="P56" s="6"/>
    </row>
    <row r="57" spans="1:18" ht="15">
      <c r="A57" s="25" t="s">
        <v>12</v>
      </c>
      <c r="B57" s="27">
        <f t="shared" si="0"/>
        <v>236409</v>
      </c>
      <c r="C57" s="27">
        <f>SUM(C40:C56)</f>
        <v>213523</v>
      </c>
      <c r="D57" s="27">
        <f aca="true" t="shared" si="4" ref="D57:O57">SUM(D40:D56)</f>
        <v>22649</v>
      </c>
      <c r="E57" s="27">
        <f t="shared" si="4"/>
        <v>50</v>
      </c>
      <c r="F57" s="27">
        <f t="shared" si="4"/>
        <v>136</v>
      </c>
      <c r="G57" s="27">
        <f t="shared" si="4"/>
        <v>33</v>
      </c>
      <c r="H57" s="27">
        <f t="shared" si="4"/>
        <v>18</v>
      </c>
      <c r="I57" s="27">
        <f t="shared" si="4"/>
        <v>228266.80000000002</v>
      </c>
      <c r="J57" s="27">
        <f t="shared" si="4"/>
        <v>208677.9</v>
      </c>
      <c r="K57" s="27">
        <f t="shared" si="4"/>
        <v>19362.7</v>
      </c>
      <c r="L57" s="27">
        <f t="shared" si="4"/>
        <v>45.7</v>
      </c>
      <c r="M57" s="27">
        <f t="shared" si="4"/>
        <v>136</v>
      </c>
      <c r="N57" s="27">
        <f t="shared" si="4"/>
        <v>27</v>
      </c>
      <c r="O57" s="27">
        <f t="shared" si="4"/>
        <v>17.5</v>
      </c>
      <c r="P57" s="36">
        <f>I57/B57*100</f>
        <v>96.5558840822473</v>
      </c>
      <c r="Q57" s="86"/>
      <c r="R57" s="86"/>
    </row>
    <row r="58" spans="1:16" ht="15.75">
      <c r="A58" s="128" t="s">
        <v>66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</row>
    <row r="59" spans="1:16" ht="21" customHeight="1">
      <c r="A59" s="15" t="s">
        <v>67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30.75" customHeight="1">
      <c r="A60" s="73" t="s">
        <v>68</v>
      </c>
      <c r="B60" s="43">
        <f aca="true" t="shared" si="5" ref="B60:B73">C60+D60+E60+F60+G60+H60</f>
        <v>393937.2</v>
      </c>
      <c r="C60" s="43">
        <f>95500+100-1500</f>
        <v>94100</v>
      </c>
      <c r="D60" s="96">
        <f>1146+131</f>
        <v>1277</v>
      </c>
      <c r="E60" s="91">
        <v>1500</v>
      </c>
      <c r="F60" s="91"/>
      <c r="G60" s="43">
        <f>293000+1204.4+2855.8</f>
        <v>297060.2</v>
      </c>
      <c r="H60" s="91"/>
      <c r="I60" s="88">
        <f aca="true" t="shared" si="6" ref="I60:I65">J60+K60+L60+M60+N60+O60</f>
        <v>393210.60000000003</v>
      </c>
      <c r="J60" s="88">
        <v>93972.5</v>
      </c>
      <c r="K60" s="92">
        <v>1276.5</v>
      </c>
      <c r="L60" s="88">
        <v>1500</v>
      </c>
      <c r="M60" s="92"/>
      <c r="N60" s="92">
        <f>292594.9+1010.9+2855.8</f>
        <v>296461.60000000003</v>
      </c>
      <c r="O60" s="92"/>
      <c r="P60" s="93">
        <f aca="true" t="shared" si="7" ref="P60:P67">I60/B60*100</f>
        <v>99.81555435739504</v>
      </c>
    </row>
    <row r="61" spans="1:17" ht="41.25" customHeight="1">
      <c r="A61" s="73" t="s">
        <v>69</v>
      </c>
      <c r="B61" s="43">
        <f>C61+D61+E61+F61+G61+H61</f>
        <v>648</v>
      </c>
      <c r="C61" s="43"/>
      <c r="D61" s="91"/>
      <c r="E61" s="91"/>
      <c r="F61" s="91"/>
      <c r="G61" s="43">
        <f>1064-134.8-152.6-216.6+88</f>
        <v>648</v>
      </c>
      <c r="H61" s="91"/>
      <c r="I61" s="88">
        <f t="shared" si="6"/>
        <v>635.9</v>
      </c>
      <c r="J61" s="88"/>
      <c r="K61" s="92"/>
      <c r="L61" s="92"/>
      <c r="M61" s="92"/>
      <c r="N61" s="92">
        <v>635.9</v>
      </c>
      <c r="O61" s="92"/>
      <c r="P61" s="93">
        <f t="shared" si="7"/>
        <v>98.13271604938272</v>
      </c>
      <c r="Q61" s="86"/>
    </row>
    <row r="62" spans="1:16" ht="44.25" customHeight="1">
      <c r="A62" s="73" t="s">
        <v>70</v>
      </c>
      <c r="B62" s="43">
        <f>C62+D62+E62+F62+G62+H62</f>
        <v>35952.3</v>
      </c>
      <c r="C62" s="43">
        <f>17376.9+753.1</f>
        <v>18130</v>
      </c>
      <c r="D62" s="91">
        <v>17822.3</v>
      </c>
      <c r="E62" s="91"/>
      <c r="F62" s="91"/>
      <c r="G62" s="91"/>
      <c r="H62" s="91"/>
      <c r="I62" s="88">
        <f t="shared" si="6"/>
        <v>35539.5</v>
      </c>
      <c r="J62" s="88">
        <f>20807.1-81.4-3075.7+149.4</f>
        <v>17799.399999999998</v>
      </c>
      <c r="K62" s="92">
        <v>17740.1</v>
      </c>
      <c r="L62" s="92"/>
      <c r="M62" s="92"/>
      <c r="N62" s="92"/>
      <c r="O62" s="92"/>
      <c r="P62" s="93">
        <f t="shared" si="7"/>
        <v>98.85181198421242</v>
      </c>
    </row>
    <row r="63" spans="1:16" ht="27.75" customHeight="1">
      <c r="A63" s="48" t="s">
        <v>71</v>
      </c>
      <c r="B63" s="43">
        <f>C63+D63+E63+F63+G63+H63</f>
        <v>60980</v>
      </c>
      <c r="C63" s="43">
        <f>55839.3</f>
        <v>55839.3</v>
      </c>
      <c r="D63" s="91">
        <f>48.2</f>
        <v>48.2</v>
      </c>
      <c r="E63" s="91">
        <f>100+75</f>
        <v>175</v>
      </c>
      <c r="F63" s="91"/>
      <c r="G63" s="43">
        <f>216+4219+152.7+329.8</f>
        <v>4917.5</v>
      </c>
      <c r="H63" s="91"/>
      <c r="I63" s="88">
        <f t="shared" si="6"/>
        <v>54474.7</v>
      </c>
      <c r="J63" s="88">
        <v>49363.1</v>
      </c>
      <c r="K63" s="92">
        <v>48.2</v>
      </c>
      <c r="L63" s="92">
        <v>147.1</v>
      </c>
      <c r="M63" s="92"/>
      <c r="N63" s="94">
        <f>217.5+4217.3+481.5</f>
        <v>4916.3</v>
      </c>
      <c r="O63" s="92"/>
      <c r="P63" s="93">
        <f t="shared" si="7"/>
        <v>89.33207609052147</v>
      </c>
    </row>
    <row r="64" spans="1:17" ht="20.25" customHeight="1">
      <c r="A64" s="74" t="s">
        <v>72</v>
      </c>
      <c r="B64" s="43">
        <f>C64+D64+E64+F64+G64+H64</f>
        <v>848</v>
      </c>
      <c r="C64" s="43">
        <v>848</v>
      </c>
      <c r="D64" s="91"/>
      <c r="E64" s="91"/>
      <c r="F64" s="91"/>
      <c r="G64" s="91"/>
      <c r="H64" s="91"/>
      <c r="I64" s="88">
        <f t="shared" si="6"/>
        <v>848</v>
      </c>
      <c r="J64" s="88">
        <v>848</v>
      </c>
      <c r="K64" s="92"/>
      <c r="L64" s="92"/>
      <c r="M64" s="92"/>
      <c r="N64" s="92"/>
      <c r="O64" s="92"/>
      <c r="P64" s="93">
        <f t="shared" si="7"/>
        <v>100</v>
      </c>
      <c r="Q64" s="86"/>
    </row>
    <row r="65" spans="1:16" ht="30.75" customHeight="1">
      <c r="A65" s="73" t="s">
        <v>73</v>
      </c>
      <c r="B65" s="43">
        <f>C65+D65+E65+F65+G65+H65</f>
        <v>5832.8</v>
      </c>
      <c r="C65" s="43"/>
      <c r="D65" s="43">
        <f>2800+1310+253+237+6</f>
        <v>4606</v>
      </c>
      <c r="E65" s="43"/>
      <c r="F65" s="43">
        <f>30+33+50</f>
        <v>113</v>
      </c>
      <c r="G65" s="43"/>
      <c r="H65" s="43">
        <f>739+374.8</f>
        <v>1113.8</v>
      </c>
      <c r="I65" s="88">
        <f t="shared" si="6"/>
        <v>5804.8</v>
      </c>
      <c r="J65" s="88"/>
      <c r="K65" s="92">
        <v>4590.7</v>
      </c>
      <c r="L65" s="92"/>
      <c r="M65" s="88">
        <v>113</v>
      </c>
      <c r="N65" s="92"/>
      <c r="O65" s="92">
        <f>365.7+735.7-0.3</f>
        <v>1101.1000000000001</v>
      </c>
      <c r="P65" s="93">
        <f t="shared" si="7"/>
        <v>99.51995611027294</v>
      </c>
    </row>
    <row r="66" spans="1:16" ht="21.75" customHeight="1">
      <c r="A66" s="75" t="s">
        <v>74</v>
      </c>
      <c r="B66" s="43">
        <f t="shared" si="5"/>
        <v>9677.8</v>
      </c>
      <c r="C66" s="43"/>
      <c r="D66" s="43">
        <f>8300+1705.8-85-237-6</f>
        <v>9677.8</v>
      </c>
      <c r="E66" s="43"/>
      <c r="F66" s="43"/>
      <c r="G66" s="43"/>
      <c r="H66" s="43"/>
      <c r="I66" s="88">
        <f aca="true" t="shared" si="8" ref="I66:I73">J66+K66+L66+M66+N66+O66</f>
        <v>7699.5</v>
      </c>
      <c r="J66" s="92"/>
      <c r="K66" s="92">
        <f>8684.5-K67</f>
        <v>7699.5</v>
      </c>
      <c r="L66" s="92"/>
      <c r="M66" s="92"/>
      <c r="N66" s="92"/>
      <c r="O66" s="92"/>
      <c r="P66" s="93">
        <f t="shared" si="7"/>
        <v>79.55837070408565</v>
      </c>
    </row>
    <row r="67" spans="1:16" ht="30.75" customHeight="1">
      <c r="A67" s="48" t="s">
        <v>75</v>
      </c>
      <c r="B67" s="43">
        <f t="shared" si="5"/>
        <v>985</v>
      </c>
      <c r="C67" s="43"/>
      <c r="D67" s="43">
        <f>3000-2100+85</f>
        <v>985</v>
      </c>
      <c r="E67" s="91"/>
      <c r="F67" s="91"/>
      <c r="G67" s="91"/>
      <c r="H67" s="91"/>
      <c r="I67" s="88">
        <f t="shared" si="8"/>
        <v>985</v>
      </c>
      <c r="J67" s="92"/>
      <c r="K67" s="88">
        <v>985</v>
      </c>
      <c r="L67" s="92"/>
      <c r="M67" s="92"/>
      <c r="N67" s="92"/>
      <c r="O67" s="92"/>
      <c r="P67" s="93">
        <f t="shared" si="7"/>
        <v>100</v>
      </c>
    </row>
    <row r="68" spans="1:16" ht="42" customHeight="1">
      <c r="A68" s="15" t="s">
        <v>57</v>
      </c>
      <c r="B68" s="12"/>
      <c r="C68" s="12"/>
      <c r="D68" s="17"/>
      <c r="E68" s="17"/>
      <c r="F68" s="17"/>
      <c r="G68" s="17"/>
      <c r="H68" s="17"/>
      <c r="I68" s="12"/>
      <c r="J68" s="17"/>
      <c r="K68" s="17"/>
      <c r="L68" s="17"/>
      <c r="M68" s="17"/>
      <c r="N68" s="17"/>
      <c r="O68" s="17"/>
      <c r="P68" s="17"/>
    </row>
    <row r="69" spans="1:16" ht="42.75" customHeight="1">
      <c r="A69" s="6" t="s">
        <v>76</v>
      </c>
      <c r="B69" s="10">
        <f t="shared" si="5"/>
        <v>0</v>
      </c>
      <c r="C69" s="10">
        <v>0</v>
      </c>
      <c r="D69" s="8"/>
      <c r="E69" s="8"/>
      <c r="F69" s="8"/>
      <c r="G69" s="8"/>
      <c r="H69" s="8"/>
      <c r="I69" s="10">
        <f t="shared" si="8"/>
        <v>0</v>
      </c>
      <c r="J69" s="8"/>
      <c r="K69" s="8"/>
      <c r="L69" s="8"/>
      <c r="M69" s="8"/>
      <c r="N69" s="8"/>
      <c r="O69" s="8"/>
      <c r="P69" s="60"/>
    </row>
    <row r="70" spans="1:16" ht="51" customHeight="1">
      <c r="A70" s="15" t="s">
        <v>77</v>
      </c>
      <c r="B70" s="11">
        <f t="shared" si="5"/>
        <v>0</v>
      </c>
      <c r="C70" s="12"/>
      <c r="D70" s="17"/>
      <c r="E70" s="17"/>
      <c r="F70" s="17"/>
      <c r="G70" s="17"/>
      <c r="H70" s="17"/>
      <c r="I70" s="11">
        <f t="shared" si="8"/>
        <v>0</v>
      </c>
      <c r="J70" s="17"/>
      <c r="K70" s="17"/>
      <c r="L70" s="17"/>
      <c r="M70" s="17"/>
      <c r="N70" s="17"/>
      <c r="O70" s="17"/>
      <c r="P70" s="62"/>
    </row>
    <row r="71" spans="1:16" ht="68.25" customHeight="1">
      <c r="A71" s="6" t="s">
        <v>79</v>
      </c>
      <c r="B71" s="10">
        <f t="shared" si="5"/>
        <v>0</v>
      </c>
      <c r="C71" s="10">
        <v>0</v>
      </c>
      <c r="D71" s="8"/>
      <c r="E71" s="8"/>
      <c r="F71" s="8"/>
      <c r="G71" s="8"/>
      <c r="H71" s="8"/>
      <c r="I71" s="10">
        <f t="shared" si="8"/>
        <v>0</v>
      </c>
      <c r="J71" s="8"/>
      <c r="K71" s="8"/>
      <c r="L71" s="8"/>
      <c r="M71" s="8"/>
      <c r="N71" s="8"/>
      <c r="O71" s="8"/>
      <c r="P71" s="60"/>
    </row>
    <row r="72" spans="1:16" ht="50.25" customHeight="1">
      <c r="A72" s="61" t="s">
        <v>80</v>
      </c>
      <c r="B72" s="11"/>
      <c r="C72" s="12"/>
      <c r="D72" s="17"/>
      <c r="E72" s="17"/>
      <c r="F72" s="17"/>
      <c r="G72" s="17"/>
      <c r="H72" s="17"/>
      <c r="I72" s="11"/>
      <c r="J72" s="17"/>
      <c r="K72" s="17"/>
      <c r="L72" s="17"/>
      <c r="M72" s="17"/>
      <c r="N72" s="17"/>
      <c r="O72" s="17"/>
      <c r="P72" s="58"/>
    </row>
    <row r="73" spans="1:16" ht="28.5">
      <c r="A73" s="63" t="s">
        <v>78</v>
      </c>
      <c r="B73" s="10">
        <f t="shared" si="5"/>
        <v>0</v>
      </c>
      <c r="C73" s="10">
        <v>0</v>
      </c>
      <c r="D73" s="10"/>
      <c r="E73" s="10"/>
      <c r="F73" s="10"/>
      <c r="G73" s="10"/>
      <c r="H73" s="10"/>
      <c r="I73" s="10">
        <f t="shared" si="8"/>
        <v>0</v>
      </c>
      <c r="J73" s="10"/>
      <c r="K73" s="10"/>
      <c r="L73" s="10"/>
      <c r="M73" s="10"/>
      <c r="N73" s="10"/>
      <c r="O73" s="10"/>
      <c r="P73" s="60"/>
    </row>
    <row r="74" spans="1:16" ht="38.25">
      <c r="A74" s="65" t="s">
        <v>81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64"/>
    </row>
    <row r="75" spans="1:16" ht="38.25">
      <c r="A75" s="7" t="s">
        <v>82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60"/>
    </row>
    <row r="76" spans="1:16" ht="26.25">
      <c r="A76" s="6" t="s">
        <v>83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60"/>
    </row>
    <row r="77" spans="1:16" ht="31.5" customHeight="1">
      <c r="A77" s="6" t="s">
        <v>84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60"/>
    </row>
    <row r="78" spans="1:16" ht="26.25">
      <c r="A78" s="6" t="s">
        <v>85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60"/>
    </row>
    <row r="79" spans="1:16" ht="20.25" customHeight="1">
      <c r="A79" s="25" t="s">
        <v>13</v>
      </c>
      <c r="B79" s="27">
        <f>C79+D79+E79+F79+G79+H79</f>
        <v>508861.1</v>
      </c>
      <c r="C79" s="27">
        <f aca="true" t="shared" si="9" ref="C79:O79">SUM(C60:C73)</f>
        <v>168917.3</v>
      </c>
      <c r="D79" s="26">
        <f t="shared" si="9"/>
        <v>34416.3</v>
      </c>
      <c r="E79" s="27">
        <f t="shared" si="9"/>
        <v>1675</v>
      </c>
      <c r="F79" s="27">
        <f t="shared" si="9"/>
        <v>113</v>
      </c>
      <c r="G79" s="27">
        <f t="shared" si="9"/>
        <v>302625.7</v>
      </c>
      <c r="H79" s="26">
        <f t="shared" si="9"/>
        <v>1113.8</v>
      </c>
      <c r="I79" s="26">
        <f t="shared" si="9"/>
        <v>499198.00000000006</v>
      </c>
      <c r="J79" s="26">
        <f t="shared" si="9"/>
        <v>161983</v>
      </c>
      <c r="K79" s="26">
        <f t="shared" si="9"/>
        <v>32340</v>
      </c>
      <c r="L79" s="26">
        <f t="shared" si="9"/>
        <v>1647.1</v>
      </c>
      <c r="M79" s="26">
        <f t="shared" si="9"/>
        <v>113</v>
      </c>
      <c r="N79" s="26">
        <f t="shared" si="9"/>
        <v>302013.80000000005</v>
      </c>
      <c r="O79" s="26">
        <f t="shared" si="9"/>
        <v>1101.1000000000001</v>
      </c>
      <c r="P79" s="36">
        <f>I79/B79*100</f>
        <v>98.10103385776591</v>
      </c>
    </row>
    <row r="80" spans="1:16" ht="15">
      <c r="A80" s="129" t="s">
        <v>86</v>
      </c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</row>
    <row r="81" spans="1:16" ht="25.5">
      <c r="A81" s="21" t="s">
        <v>14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ht="26.25">
      <c r="A82" s="9" t="s">
        <v>87</v>
      </c>
      <c r="B82" s="43">
        <f>C82+D82+E82+F82+G82+H82</f>
        <v>1039.7</v>
      </c>
      <c r="C82" s="43">
        <v>91.8</v>
      </c>
      <c r="D82" s="43"/>
      <c r="E82" s="43"/>
      <c r="F82" s="43"/>
      <c r="G82" s="43">
        <v>947.9</v>
      </c>
      <c r="H82" s="43"/>
      <c r="I82" s="43">
        <f>J82+K82+L82+M82+N82+O82</f>
        <v>1009.4</v>
      </c>
      <c r="J82" s="43">
        <v>63.9</v>
      </c>
      <c r="K82" s="43"/>
      <c r="L82" s="43"/>
      <c r="M82" s="43"/>
      <c r="N82" s="43">
        <v>945.5</v>
      </c>
      <c r="O82" s="43"/>
      <c r="P82" s="93">
        <f>I82/B82*100</f>
        <v>97.08569779744155</v>
      </c>
    </row>
    <row r="83" spans="1:16" ht="30.75" customHeight="1">
      <c r="A83" s="9" t="s">
        <v>88</v>
      </c>
      <c r="B83" s="43">
        <f>C83+D83+E83+F83+G83+H83</f>
        <v>1.4</v>
      </c>
      <c r="C83" s="43">
        <v>1.4</v>
      </c>
      <c r="D83" s="43"/>
      <c r="E83" s="43"/>
      <c r="F83" s="43"/>
      <c r="G83" s="43"/>
      <c r="H83" s="43"/>
      <c r="I83" s="43">
        <f>J83+K83+L83+M83+N83+O83</f>
        <v>1.3</v>
      </c>
      <c r="J83" s="43">
        <v>1.3</v>
      </c>
      <c r="K83" s="43"/>
      <c r="L83" s="43"/>
      <c r="M83" s="43"/>
      <c r="N83" s="43"/>
      <c r="O83" s="43"/>
      <c r="P83" s="93">
        <f>I83/B83*100</f>
        <v>92.85714285714288</v>
      </c>
    </row>
    <row r="84" spans="1:16" ht="15">
      <c r="A84" s="25" t="s">
        <v>15</v>
      </c>
      <c r="B84" s="27">
        <f>SUM(B82:B83)</f>
        <v>1041.1000000000001</v>
      </c>
      <c r="C84" s="27">
        <f aca="true" t="shared" si="10" ref="C84:O84">SUM(C82:C83)</f>
        <v>93.2</v>
      </c>
      <c r="D84" s="27">
        <f t="shared" si="10"/>
        <v>0</v>
      </c>
      <c r="E84" s="27">
        <f t="shared" si="10"/>
        <v>0</v>
      </c>
      <c r="F84" s="27">
        <f t="shared" si="10"/>
        <v>0</v>
      </c>
      <c r="G84" s="27">
        <f t="shared" si="10"/>
        <v>947.9</v>
      </c>
      <c r="H84" s="27">
        <f t="shared" si="10"/>
        <v>0</v>
      </c>
      <c r="I84" s="27">
        <f t="shared" si="10"/>
        <v>1010.6999999999999</v>
      </c>
      <c r="J84" s="27">
        <f t="shared" si="10"/>
        <v>65.2</v>
      </c>
      <c r="K84" s="27">
        <f t="shared" si="10"/>
        <v>0</v>
      </c>
      <c r="L84" s="27">
        <f t="shared" si="10"/>
        <v>0</v>
      </c>
      <c r="M84" s="27">
        <f t="shared" si="10"/>
        <v>0</v>
      </c>
      <c r="N84" s="27">
        <f t="shared" si="10"/>
        <v>945.5</v>
      </c>
      <c r="O84" s="27">
        <f t="shared" si="10"/>
        <v>0</v>
      </c>
      <c r="P84" s="36">
        <f>I84/B84*100</f>
        <v>97.08001152627027</v>
      </c>
    </row>
    <row r="85" spans="1:16" ht="15.75">
      <c r="A85" s="128" t="s">
        <v>89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</row>
    <row r="86" spans="1:16" ht="26.25">
      <c r="A86" s="67" t="s">
        <v>95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</row>
    <row r="87" spans="1:16" ht="27.75" customHeight="1">
      <c r="A87" s="9" t="s">
        <v>90</v>
      </c>
      <c r="B87" s="10">
        <f aca="true" t="shared" si="11" ref="B87:B93">C87+D87+E87+F87+G87+H87</f>
        <v>7625.4</v>
      </c>
      <c r="C87" s="10">
        <v>1565</v>
      </c>
      <c r="D87" s="10"/>
      <c r="E87" s="10"/>
      <c r="F87" s="10"/>
      <c r="G87" s="10">
        <f>5156.7+903.7</f>
        <v>6060.4</v>
      </c>
      <c r="H87" s="10"/>
      <c r="I87" s="10">
        <f aca="true" t="shared" si="12" ref="I87:I93">J87+K87+L87+M87+N87+O87</f>
        <v>7606.5</v>
      </c>
      <c r="J87" s="10">
        <v>1564.6</v>
      </c>
      <c r="K87" s="10"/>
      <c r="L87" s="10"/>
      <c r="M87" s="10"/>
      <c r="N87" s="10">
        <v>6041.9</v>
      </c>
      <c r="O87" s="10"/>
      <c r="P87" s="87">
        <f aca="true" t="shared" si="13" ref="P87:P93">I87/B87*100</f>
        <v>99.7521441498151</v>
      </c>
    </row>
    <row r="88" spans="1:16" ht="26.25">
      <c r="A88" s="9" t="s">
        <v>91</v>
      </c>
      <c r="B88" s="10">
        <f t="shared" si="11"/>
        <v>303</v>
      </c>
      <c r="C88" s="10">
        <f>332.6-29.6</f>
        <v>303</v>
      </c>
      <c r="D88" s="10"/>
      <c r="E88" s="10"/>
      <c r="F88" s="10"/>
      <c r="G88" s="10"/>
      <c r="H88" s="10"/>
      <c r="I88" s="10">
        <f t="shared" si="12"/>
        <v>280</v>
      </c>
      <c r="J88" s="10">
        <v>280</v>
      </c>
      <c r="K88" s="10"/>
      <c r="L88" s="10"/>
      <c r="M88" s="10"/>
      <c r="N88" s="10"/>
      <c r="O88" s="10"/>
      <c r="P88" s="87">
        <f t="shared" si="13"/>
        <v>92.4092409240924</v>
      </c>
    </row>
    <row r="89" spans="1:16" ht="26.25">
      <c r="A89" s="9" t="s">
        <v>92</v>
      </c>
      <c r="B89" s="10">
        <f t="shared" si="11"/>
        <v>1093.9</v>
      </c>
      <c r="C89" s="10">
        <f>1149-100</f>
        <v>1049</v>
      </c>
      <c r="D89" s="10"/>
      <c r="E89" s="10"/>
      <c r="F89" s="10"/>
      <c r="G89" s="10">
        <f>7.5+32.3+5.1</f>
        <v>44.9</v>
      </c>
      <c r="H89" s="10"/>
      <c r="I89" s="10">
        <f t="shared" si="12"/>
        <v>958.3000000000001</v>
      </c>
      <c r="J89" s="10">
        <f>901+12.7-0.1</f>
        <v>913.6</v>
      </c>
      <c r="K89" s="10"/>
      <c r="L89" s="10"/>
      <c r="M89" s="10"/>
      <c r="N89" s="10">
        <v>44.7</v>
      </c>
      <c r="O89" s="10"/>
      <c r="P89" s="87">
        <f t="shared" si="13"/>
        <v>87.60398573909863</v>
      </c>
    </row>
    <row r="90" spans="1:16" ht="15">
      <c r="A90" s="59" t="s">
        <v>53</v>
      </c>
      <c r="B90" s="10">
        <f t="shared" si="11"/>
        <v>4.6</v>
      </c>
      <c r="C90" s="10">
        <v>4.6</v>
      </c>
      <c r="D90" s="10"/>
      <c r="E90" s="10"/>
      <c r="F90" s="10"/>
      <c r="G90" s="10"/>
      <c r="H90" s="10"/>
      <c r="I90" s="10">
        <f t="shared" si="12"/>
        <v>4.6</v>
      </c>
      <c r="J90" s="10">
        <v>4.6</v>
      </c>
      <c r="K90" s="10"/>
      <c r="L90" s="10"/>
      <c r="M90" s="10"/>
      <c r="N90" s="10"/>
      <c r="O90" s="10"/>
      <c r="P90" s="87">
        <f t="shared" si="13"/>
        <v>100</v>
      </c>
    </row>
    <row r="91" spans="1:16" ht="26.25">
      <c r="A91" s="73" t="s">
        <v>54</v>
      </c>
      <c r="B91" s="39">
        <f t="shared" si="11"/>
        <v>161.3</v>
      </c>
      <c r="C91" s="39"/>
      <c r="D91" s="39">
        <f>75+33.4+26.5</f>
        <v>134.9</v>
      </c>
      <c r="E91" s="10"/>
      <c r="F91" s="10">
        <v>15</v>
      </c>
      <c r="G91" s="10"/>
      <c r="H91" s="10">
        <v>11.4</v>
      </c>
      <c r="I91" s="10">
        <f t="shared" si="12"/>
        <v>161</v>
      </c>
      <c r="J91" s="10"/>
      <c r="K91" s="10">
        <v>134.8</v>
      </c>
      <c r="L91" s="10"/>
      <c r="M91" s="10">
        <v>15</v>
      </c>
      <c r="N91" s="10"/>
      <c r="O91" s="10">
        <v>11.2</v>
      </c>
      <c r="P91" s="87">
        <f t="shared" si="13"/>
        <v>99.81401115933043</v>
      </c>
    </row>
    <row r="92" spans="1:16" ht="15">
      <c r="A92" s="75" t="s">
        <v>93</v>
      </c>
      <c r="B92" s="39">
        <f t="shared" si="11"/>
        <v>75</v>
      </c>
      <c r="C92" s="39"/>
      <c r="D92" s="39">
        <f>200-125</f>
        <v>75</v>
      </c>
      <c r="E92" s="10"/>
      <c r="F92" s="10"/>
      <c r="G92" s="10"/>
      <c r="H92" s="10"/>
      <c r="I92" s="10">
        <f t="shared" si="12"/>
        <v>73.4</v>
      </c>
      <c r="J92" s="10"/>
      <c r="K92" s="10">
        <v>73.4</v>
      </c>
      <c r="L92" s="10"/>
      <c r="M92" s="10">
        <v>0</v>
      </c>
      <c r="N92" s="10"/>
      <c r="O92" s="10"/>
      <c r="P92" s="87">
        <f t="shared" si="13"/>
        <v>97.86666666666667</v>
      </c>
    </row>
    <row r="93" spans="1:16" ht="15">
      <c r="A93" s="5" t="s">
        <v>94</v>
      </c>
      <c r="B93" s="10">
        <f t="shared" si="11"/>
        <v>300</v>
      </c>
      <c r="C93" s="10"/>
      <c r="D93" s="10">
        <v>300</v>
      </c>
      <c r="E93" s="10"/>
      <c r="F93" s="10"/>
      <c r="G93" s="10"/>
      <c r="H93" s="10"/>
      <c r="I93" s="10">
        <f t="shared" si="12"/>
        <v>0</v>
      </c>
      <c r="J93" s="10"/>
      <c r="K93" s="10"/>
      <c r="L93" s="10"/>
      <c r="M93" s="10"/>
      <c r="N93" s="10"/>
      <c r="O93" s="10"/>
      <c r="P93" s="87">
        <f t="shared" si="13"/>
        <v>0</v>
      </c>
    </row>
    <row r="94" spans="1:16" ht="15">
      <c r="A94" s="25" t="s">
        <v>17</v>
      </c>
      <c r="B94" s="27">
        <f>SUM(B87:B93)</f>
        <v>9563.199999999999</v>
      </c>
      <c r="C94" s="27">
        <f aca="true" t="shared" si="14" ref="C94:O94">SUM(C87:C93)</f>
        <v>2921.6</v>
      </c>
      <c r="D94" s="27">
        <f t="shared" si="14"/>
        <v>509.9</v>
      </c>
      <c r="E94" s="27">
        <f t="shared" si="14"/>
        <v>0</v>
      </c>
      <c r="F94" s="27">
        <f t="shared" si="14"/>
        <v>15</v>
      </c>
      <c r="G94" s="27">
        <f t="shared" si="14"/>
        <v>6105.299999999999</v>
      </c>
      <c r="H94" s="27">
        <f t="shared" si="14"/>
        <v>11.4</v>
      </c>
      <c r="I94" s="27">
        <f t="shared" si="14"/>
        <v>9083.8</v>
      </c>
      <c r="J94" s="27">
        <f t="shared" si="14"/>
        <v>2762.7999999999997</v>
      </c>
      <c r="K94" s="27">
        <f t="shared" si="14"/>
        <v>208.20000000000002</v>
      </c>
      <c r="L94" s="27">
        <f t="shared" si="14"/>
        <v>0</v>
      </c>
      <c r="M94" s="27">
        <f t="shared" si="14"/>
        <v>15</v>
      </c>
      <c r="N94" s="27">
        <f t="shared" si="14"/>
        <v>6086.599999999999</v>
      </c>
      <c r="O94" s="27">
        <f t="shared" si="14"/>
        <v>11.2</v>
      </c>
      <c r="P94" s="36">
        <f>I94/B94*100</f>
        <v>94.98703362891084</v>
      </c>
    </row>
    <row r="95" spans="1:16" ht="15.75">
      <c r="A95" s="128" t="s">
        <v>96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</row>
    <row r="96" spans="1:16" ht="15">
      <c r="A96" s="15" t="s">
        <v>97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ht="26.25">
      <c r="A97" s="9" t="s">
        <v>98</v>
      </c>
      <c r="B97" s="39">
        <f aca="true" t="shared" si="15" ref="B97:B102">C97+D97+E97+F97+G97+H97</f>
        <v>21400</v>
      </c>
      <c r="C97" s="40">
        <f>22834.2-1434.2</f>
        <v>21400</v>
      </c>
      <c r="D97" s="39"/>
      <c r="E97" s="39"/>
      <c r="F97" s="39"/>
      <c r="G97" s="39"/>
      <c r="H97" s="39"/>
      <c r="I97" s="39">
        <f aca="true" t="shared" si="16" ref="I97:I102">J97+K97+L97+M97+N97+O97</f>
        <v>21355.4</v>
      </c>
      <c r="J97" s="39">
        <v>21355.4</v>
      </c>
      <c r="K97" s="39"/>
      <c r="L97" s="39"/>
      <c r="M97" s="39"/>
      <c r="N97" s="39"/>
      <c r="O97" s="39"/>
      <c r="P97" s="87">
        <f aca="true" t="shared" si="17" ref="P97:P102">I97/B97*100</f>
        <v>99.79158878504674</v>
      </c>
    </row>
    <row r="98" spans="1:16" ht="26.25">
      <c r="A98" s="9" t="s">
        <v>99</v>
      </c>
      <c r="B98" s="39">
        <f t="shared" si="15"/>
        <v>3667</v>
      </c>
      <c r="C98" s="40">
        <f>3965.3-365.3+67</f>
        <v>3667</v>
      </c>
      <c r="D98" s="39"/>
      <c r="E98" s="39"/>
      <c r="F98" s="39"/>
      <c r="G98" s="39"/>
      <c r="H98" s="39"/>
      <c r="I98" s="39">
        <f t="shared" si="16"/>
        <v>3228.2</v>
      </c>
      <c r="J98" s="39">
        <v>3228.2</v>
      </c>
      <c r="K98" s="39"/>
      <c r="L98" s="39"/>
      <c r="M98" s="39"/>
      <c r="N98" s="39"/>
      <c r="O98" s="39"/>
      <c r="P98" s="87">
        <f t="shared" si="17"/>
        <v>88.03381510771747</v>
      </c>
    </row>
    <row r="99" spans="1:16" ht="15">
      <c r="A99" s="59" t="s">
        <v>100</v>
      </c>
      <c r="B99" s="39">
        <f t="shared" si="15"/>
        <v>93</v>
      </c>
      <c r="C99" s="39">
        <v>93</v>
      </c>
      <c r="D99" s="39"/>
      <c r="E99" s="39"/>
      <c r="F99" s="39"/>
      <c r="G99" s="39"/>
      <c r="H99" s="39"/>
      <c r="I99" s="39">
        <f t="shared" si="16"/>
        <v>93</v>
      </c>
      <c r="J99" s="39">
        <v>93</v>
      </c>
      <c r="K99" s="39"/>
      <c r="L99" s="39"/>
      <c r="M99" s="39"/>
      <c r="N99" s="39"/>
      <c r="O99" s="39"/>
      <c r="P99" s="87">
        <f t="shared" si="17"/>
        <v>100</v>
      </c>
    </row>
    <row r="100" spans="1:16" ht="26.25">
      <c r="A100" s="9" t="s">
        <v>101</v>
      </c>
      <c r="B100" s="39">
        <f t="shared" si="15"/>
        <v>212</v>
      </c>
      <c r="C100" s="40"/>
      <c r="D100" s="39">
        <v>212</v>
      </c>
      <c r="E100" s="39"/>
      <c r="F100" s="39"/>
      <c r="G100" s="39"/>
      <c r="H100" s="39"/>
      <c r="I100" s="39">
        <f t="shared" si="16"/>
        <v>0</v>
      </c>
      <c r="J100" s="39"/>
      <c r="K100" s="39">
        <v>0</v>
      </c>
      <c r="L100" s="39"/>
      <c r="M100" s="39"/>
      <c r="N100" s="39"/>
      <c r="O100" s="39"/>
      <c r="P100" s="87">
        <f t="shared" si="17"/>
        <v>0</v>
      </c>
    </row>
    <row r="101" spans="1:16" ht="15">
      <c r="A101" s="5" t="s">
        <v>102</v>
      </c>
      <c r="B101" s="39">
        <f t="shared" si="15"/>
        <v>400</v>
      </c>
      <c r="C101" s="39"/>
      <c r="D101" s="39">
        <v>400</v>
      </c>
      <c r="E101" s="39"/>
      <c r="F101" s="39"/>
      <c r="G101" s="39"/>
      <c r="H101" s="39"/>
      <c r="I101" s="39">
        <f t="shared" si="16"/>
        <v>295.2</v>
      </c>
      <c r="J101" s="39"/>
      <c r="K101" s="39">
        <v>295.2</v>
      </c>
      <c r="L101" s="39"/>
      <c r="M101" s="39"/>
      <c r="N101" s="39"/>
      <c r="O101" s="39"/>
      <c r="P101" s="87">
        <f t="shared" si="17"/>
        <v>73.8</v>
      </c>
    </row>
    <row r="102" spans="1:16" ht="26.25">
      <c r="A102" s="6" t="s">
        <v>103</v>
      </c>
      <c r="B102" s="39">
        <f t="shared" si="15"/>
        <v>400</v>
      </c>
      <c r="C102" s="40"/>
      <c r="D102" s="39">
        <v>400</v>
      </c>
      <c r="E102" s="39"/>
      <c r="F102" s="39"/>
      <c r="G102" s="39"/>
      <c r="H102" s="39"/>
      <c r="I102" s="39">
        <f t="shared" si="16"/>
        <v>0</v>
      </c>
      <c r="J102" s="39"/>
      <c r="K102" s="39"/>
      <c r="L102" s="39"/>
      <c r="M102" s="39"/>
      <c r="N102" s="39"/>
      <c r="O102" s="39"/>
      <c r="P102" s="87">
        <f t="shared" si="17"/>
        <v>0</v>
      </c>
    </row>
    <row r="103" spans="1:16" ht="15">
      <c r="A103" s="25" t="s">
        <v>18</v>
      </c>
      <c r="B103" s="27">
        <f aca="true" t="shared" si="18" ref="B103:O103">SUM(B97:B102)</f>
        <v>26172</v>
      </c>
      <c r="C103" s="27">
        <f t="shared" si="18"/>
        <v>25160</v>
      </c>
      <c r="D103" s="27">
        <f t="shared" si="18"/>
        <v>1012</v>
      </c>
      <c r="E103" s="27">
        <f t="shared" si="18"/>
        <v>0</v>
      </c>
      <c r="F103" s="27">
        <f t="shared" si="18"/>
        <v>0</v>
      </c>
      <c r="G103" s="27">
        <f t="shared" si="18"/>
        <v>0</v>
      </c>
      <c r="H103" s="27">
        <f t="shared" si="18"/>
        <v>0</v>
      </c>
      <c r="I103" s="27">
        <f t="shared" si="18"/>
        <v>24971.800000000003</v>
      </c>
      <c r="J103" s="27">
        <f t="shared" si="18"/>
        <v>24676.600000000002</v>
      </c>
      <c r="K103" s="27">
        <f t="shared" si="18"/>
        <v>295.2</v>
      </c>
      <c r="L103" s="27">
        <f t="shared" si="18"/>
        <v>0</v>
      </c>
      <c r="M103" s="27">
        <f t="shared" si="18"/>
        <v>0</v>
      </c>
      <c r="N103" s="27">
        <f t="shared" si="18"/>
        <v>0</v>
      </c>
      <c r="O103" s="27">
        <f t="shared" si="18"/>
        <v>0</v>
      </c>
      <c r="P103" s="36">
        <f>I103/B103*100</f>
        <v>95.41418309643895</v>
      </c>
    </row>
    <row r="104" spans="1:16" ht="15.75">
      <c r="A104" s="128" t="s">
        <v>104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</row>
    <row r="105" spans="1:16" ht="30" customHeight="1">
      <c r="A105" s="15" t="s">
        <v>105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ht="64.5">
      <c r="A106" s="6" t="s">
        <v>106</v>
      </c>
      <c r="B106" s="43">
        <f>C106+D106+E106+F106+G106+H106</f>
        <v>3219.8</v>
      </c>
      <c r="C106" s="43">
        <v>3199.8</v>
      </c>
      <c r="D106" s="43">
        <v>20</v>
      </c>
      <c r="E106" s="43"/>
      <c r="F106" s="43"/>
      <c r="G106" s="43"/>
      <c r="H106" s="43"/>
      <c r="I106" s="43">
        <f>J106+K106+L106+M106+N106+O106</f>
        <v>3095.1</v>
      </c>
      <c r="J106" s="43">
        <v>3085.2</v>
      </c>
      <c r="K106" s="43">
        <v>9.9</v>
      </c>
      <c r="L106" s="43"/>
      <c r="M106" s="43"/>
      <c r="N106" s="43"/>
      <c r="O106" s="43"/>
      <c r="P106" s="87">
        <f>I106/B106*100</f>
        <v>96.1270886390459</v>
      </c>
    </row>
    <row r="107" spans="1:16" ht="15">
      <c r="A107" s="25" t="s">
        <v>19</v>
      </c>
      <c r="B107" s="27">
        <f aca="true" t="shared" si="19" ref="B107:O107">SUM(B106:B106)</f>
        <v>3219.8</v>
      </c>
      <c r="C107" s="27">
        <f t="shared" si="19"/>
        <v>3199.8</v>
      </c>
      <c r="D107" s="27">
        <f t="shared" si="19"/>
        <v>20</v>
      </c>
      <c r="E107" s="27">
        <f t="shared" si="19"/>
        <v>0</v>
      </c>
      <c r="F107" s="27">
        <f t="shared" si="19"/>
        <v>0</v>
      </c>
      <c r="G107" s="27">
        <f t="shared" si="19"/>
        <v>0</v>
      </c>
      <c r="H107" s="27">
        <f t="shared" si="19"/>
        <v>0</v>
      </c>
      <c r="I107" s="27">
        <f t="shared" si="19"/>
        <v>3095.1</v>
      </c>
      <c r="J107" s="27">
        <f t="shared" si="19"/>
        <v>3085.2</v>
      </c>
      <c r="K107" s="27">
        <f t="shared" si="19"/>
        <v>9.9</v>
      </c>
      <c r="L107" s="27">
        <f t="shared" si="19"/>
        <v>0</v>
      </c>
      <c r="M107" s="27">
        <f t="shared" si="19"/>
        <v>0</v>
      </c>
      <c r="N107" s="27">
        <f t="shared" si="19"/>
        <v>0</v>
      </c>
      <c r="O107" s="27">
        <f t="shared" si="19"/>
        <v>0</v>
      </c>
      <c r="P107" s="36">
        <f>I107/B107*100</f>
        <v>96.1270886390459</v>
      </c>
    </row>
    <row r="108" spans="1:16" ht="15.75">
      <c r="A108" s="128" t="s">
        <v>107</v>
      </c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</row>
    <row r="109" spans="1:16" ht="26.25">
      <c r="A109" s="15" t="s">
        <v>108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ht="51.75">
      <c r="A110" s="6" t="s">
        <v>109</v>
      </c>
      <c r="B110" s="13">
        <f>C110+D110+E110+F110+G110+H110</f>
        <v>543.1</v>
      </c>
      <c r="C110" s="14">
        <v>495.1</v>
      </c>
      <c r="D110" s="13">
        <v>48</v>
      </c>
      <c r="E110" s="13"/>
      <c r="F110" s="13"/>
      <c r="G110" s="13"/>
      <c r="H110" s="13"/>
      <c r="I110" s="13">
        <f>J110+K110+L110+M110+N110+O110</f>
        <v>427.6</v>
      </c>
      <c r="J110" s="13">
        <v>398</v>
      </c>
      <c r="K110" s="13">
        <v>29.6</v>
      </c>
      <c r="L110" s="13"/>
      <c r="M110" s="13"/>
      <c r="N110" s="13"/>
      <c r="O110" s="13"/>
      <c r="P110" s="87">
        <f>I110/B110*100</f>
        <v>78.733198306021</v>
      </c>
    </row>
    <row r="111" spans="1:16" ht="15">
      <c r="A111" s="25" t="s">
        <v>20</v>
      </c>
      <c r="B111" s="27">
        <f aca="true" t="shared" si="20" ref="B111:O111">SUM(B110:B110)</f>
        <v>543.1</v>
      </c>
      <c r="C111" s="27">
        <f t="shared" si="20"/>
        <v>495.1</v>
      </c>
      <c r="D111" s="27">
        <f t="shared" si="20"/>
        <v>48</v>
      </c>
      <c r="E111" s="27">
        <f t="shared" si="20"/>
        <v>0</v>
      </c>
      <c r="F111" s="27">
        <f t="shared" si="20"/>
        <v>0</v>
      </c>
      <c r="G111" s="27">
        <f t="shared" si="20"/>
        <v>0</v>
      </c>
      <c r="H111" s="27">
        <f t="shared" si="20"/>
        <v>0</v>
      </c>
      <c r="I111" s="27">
        <f t="shared" si="20"/>
        <v>427.6</v>
      </c>
      <c r="J111" s="27">
        <f t="shared" si="20"/>
        <v>398</v>
      </c>
      <c r="K111" s="27">
        <f t="shared" si="20"/>
        <v>29.6</v>
      </c>
      <c r="L111" s="27">
        <f t="shared" si="20"/>
        <v>0</v>
      </c>
      <c r="M111" s="27">
        <f t="shared" si="20"/>
        <v>0</v>
      </c>
      <c r="N111" s="27">
        <f t="shared" si="20"/>
        <v>0</v>
      </c>
      <c r="O111" s="27">
        <f t="shared" si="20"/>
        <v>0</v>
      </c>
      <c r="P111" s="36">
        <f>I111/B111*100</f>
        <v>78.733198306021</v>
      </c>
    </row>
    <row r="112" spans="1:16" ht="15.75">
      <c r="A112" s="128" t="s">
        <v>110</v>
      </c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</row>
    <row r="113" spans="1:16" ht="25.5">
      <c r="A113" s="19" t="s">
        <v>108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ht="39">
      <c r="A114" s="57" t="s">
        <v>111</v>
      </c>
      <c r="B114" s="43">
        <f>C114+D114+E114+F114+G114+H114</f>
        <v>2856.5</v>
      </c>
      <c r="C114" s="43">
        <f>3094-244</f>
        <v>2850</v>
      </c>
      <c r="D114" s="43">
        <v>6.5</v>
      </c>
      <c r="E114" s="43"/>
      <c r="F114" s="43"/>
      <c r="G114" s="43"/>
      <c r="H114" s="43"/>
      <c r="I114" s="43">
        <f>J114+K114+L114+M114+N114+O114</f>
        <v>2778</v>
      </c>
      <c r="J114" s="43">
        <v>2771.5</v>
      </c>
      <c r="K114" s="43">
        <v>6.5</v>
      </c>
      <c r="L114" s="43"/>
      <c r="M114" s="43"/>
      <c r="N114" s="43"/>
      <c r="O114" s="43"/>
      <c r="P114" s="87">
        <f>I114/B114*100</f>
        <v>97.2518816733765</v>
      </c>
    </row>
    <row r="115" spans="1:16" ht="15">
      <c r="A115" s="25" t="s">
        <v>21</v>
      </c>
      <c r="B115" s="27">
        <f aca="true" t="shared" si="21" ref="B115:O115">SUM(B114:B114)</f>
        <v>2856.5</v>
      </c>
      <c r="C115" s="27">
        <f t="shared" si="21"/>
        <v>2850</v>
      </c>
      <c r="D115" s="27">
        <f t="shared" si="21"/>
        <v>6.5</v>
      </c>
      <c r="E115" s="27">
        <f t="shared" si="21"/>
        <v>0</v>
      </c>
      <c r="F115" s="27">
        <f t="shared" si="21"/>
        <v>0</v>
      </c>
      <c r="G115" s="27">
        <f t="shared" si="21"/>
        <v>0</v>
      </c>
      <c r="H115" s="27">
        <f t="shared" si="21"/>
        <v>0</v>
      </c>
      <c r="I115" s="27">
        <f t="shared" si="21"/>
        <v>2778</v>
      </c>
      <c r="J115" s="27">
        <f t="shared" si="21"/>
        <v>2771.5</v>
      </c>
      <c r="K115" s="27">
        <f t="shared" si="21"/>
        <v>6.5</v>
      </c>
      <c r="L115" s="27">
        <f t="shared" si="21"/>
        <v>0</v>
      </c>
      <c r="M115" s="27">
        <f t="shared" si="21"/>
        <v>0</v>
      </c>
      <c r="N115" s="27">
        <f t="shared" si="21"/>
        <v>0</v>
      </c>
      <c r="O115" s="27">
        <f t="shared" si="21"/>
        <v>0</v>
      </c>
      <c r="P115" s="36">
        <f>I115/B115*100</f>
        <v>97.2518816733765</v>
      </c>
    </row>
    <row r="116" spans="1:16" ht="15.75">
      <c r="A116" s="128" t="s">
        <v>112</v>
      </c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1:16" ht="51.75" customHeight="1">
      <c r="A117" s="18" t="s">
        <v>113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 ht="26.25">
      <c r="A118" s="6" t="s">
        <v>114</v>
      </c>
      <c r="B118" s="41">
        <f>C118+D118+E118+F118+G118+H118</f>
        <v>70</v>
      </c>
      <c r="C118" s="41">
        <f>80-10</f>
        <v>70</v>
      </c>
      <c r="D118" s="41"/>
      <c r="E118" s="41"/>
      <c r="F118" s="41"/>
      <c r="G118" s="68"/>
      <c r="H118" s="41"/>
      <c r="I118" s="43">
        <f>J118+K118+L118+M118+N118+O118</f>
        <v>70</v>
      </c>
      <c r="J118" s="43">
        <v>70</v>
      </c>
      <c r="K118" s="43"/>
      <c r="L118" s="43"/>
      <c r="M118" s="41"/>
      <c r="N118" s="41"/>
      <c r="O118" s="41"/>
      <c r="P118" s="87">
        <f>I118/B118*100</f>
        <v>100</v>
      </c>
    </row>
    <row r="119" spans="1:16" ht="23.25" customHeight="1">
      <c r="A119" s="49" t="s">
        <v>16</v>
      </c>
      <c r="B119" s="41">
        <f>C119+D119+E119+F119+G119+H119</f>
        <v>20.4</v>
      </c>
      <c r="C119" s="42">
        <v>20.4</v>
      </c>
      <c r="D119" s="41"/>
      <c r="E119" s="41"/>
      <c r="F119" s="41"/>
      <c r="G119" s="41"/>
      <c r="H119" s="41"/>
      <c r="I119" s="41">
        <f>J119+K119+L119+M119+N119+O119</f>
        <v>20</v>
      </c>
      <c r="J119" s="41">
        <v>20</v>
      </c>
      <c r="K119" s="41"/>
      <c r="L119" s="41"/>
      <c r="M119" s="41"/>
      <c r="N119" s="41"/>
      <c r="O119" s="41"/>
      <c r="P119" s="87">
        <f>I119/B119*100</f>
        <v>98.03921568627452</v>
      </c>
    </row>
    <row r="120" spans="1:16" ht="15">
      <c r="A120" s="25" t="s">
        <v>22</v>
      </c>
      <c r="B120" s="27">
        <f aca="true" t="shared" si="22" ref="B120:O120">SUM(B117:B119)</f>
        <v>90.4</v>
      </c>
      <c r="C120" s="27">
        <f t="shared" si="22"/>
        <v>90.4</v>
      </c>
      <c r="D120" s="27">
        <f t="shared" si="22"/>
        <v>0</v>
      </c>
      <c r="E120" s="27">
        <f t="shared" si="22"/>
        <v>0</v>
      </c>
      <c r="F120" s="27">
        <f t="shared" si="22"/>
        <v>0</v>
      </c>
      <c r="G120" s="27">
        <f t="shared" si="22"/>
        <v>0</v>
      </c>
      <c r="H120" s="27">
        <f t="shared" si="22"/>
        <v>0</v>
      </c>
      <c r="I120" s="27">
        <f t="shared" si="22"/>
        <v>90</v>
      </c>
      <c r="J120" s="27">
        <f t="shared" si="22"/>
        <v>90</v>
      </c>
      <c r="K120" s="27">
        <f t="shared" si="22"/>
        <v>0</v>
      </c>
      <c r="L120" s="27">
        <f t="shared" si="22"/>
        <v>0</v>
      </c>
      <c r="M120" s="27">
        <f t="shared" si="22"/>
        <v>0</v>
      </c>
      <c r="N120" s="27">
        <f t="shared" si="22"/>
        <v>0</v>
      </c>
      <c r="O120" s="27">
        <f t="shared" si="22"/>
        <v>0</v>
      </c>
      <c r="P120" s="36">
        <f>I120/B120*100</f>
        <v>99.55752212389379</v>
      </c>
    </row>
    <row r="121" spans="1:16" ht="15.75">
      <c r="A121" s="128" t="s">
        <v>115</v>
      </c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</row>
    <row r="122" spans="1:16" ht="26.25">
      <c r="A122" s="15" t="s">
        <v>116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 ht="26.25">
      <c r="A123" s="6" t="s">
        <v>117</v>
      </c>
      <c r="B123" s="13">
        <f aca="true" t="shared" si="23" ref="B123:B128">C123+D123+E123+F123+G123+H123</f>
        <v>2500</v>
      </c>
      <c r="C123" s="13">
        <v>2500</v>
      </c>
      <c r="D123" s="13"/>
      <c r="E123" s="13"/>
      <c r="F123" s="13"/>
      <c r="G123" s="13"/>
      <c r="H123" s="13"/>
      <c r="I123" s="13">
        <f aca="true" t="shared" si="24" ref="I123:I128">J123+K123+L123+M123+N123+O123</f>
        <v>2490.3</v>
      </c>
      <c r="J123" s="13">
        <v>2490.3</v>
      </c>
      <c r="K123" s="13"/>
      <c r="L123" s="13"/>
      <c r="M123" s="13"/>
      <c r="N123" s="13"/>
      <c r="O123" s="13"/>
      <c r="P123" s="87">
        <f aca="true" t="shared" si="25" ref="P123:P128">I123/B123*100</f>
        <v>99.61200000000001</v>
      </c>
    </row>
    <row r="124" spans="1:16" ht="30.75" customHeight="1">
      <c r="A124" s="9" t="s">
        <v>118</v>
      </c>
      <c r="B124" s="13">
        <f t="shared" si="23"/>
        <v>875.8</v>
      </c>
      <c r="C124" s="13">
        <v>850.8</v>
      </c>
      <c r="D124" s="13"/>
      <c r="E124" s="13">
        <v>25</v>
      </c>
      <c r="F124" s="13"/>
      <c r="G124" s="13"/>
      <c r="H124" s="13"/>
      <c r="I124" s="13">
        <f t="shared" si="24"/>
        <v>618</v>
      </c>
      <c r="J124" s="13">
        <v>593</v>
      </c>
      <c r="K124" s="13"/>
      <c r="L124" s="13">
        <v>25</v>
      </c>
      <c r="M124" s="13"/>
      <c r="N124" s="13"/>
      <c r="O124" s="13"/>
      <c r="P124" s="87">
        <f t="shared" si="25"/>
        <v>70.56405572048413</v>
      </c>
    </row>
    <row r="125" spans="1:16" ht="15">
      <c r="A125" s="9" t="s">
        <v>119</v>
      </c>
      <c r="B125" s="13">
        <f t="shared" si="23"/>
        <v>77.7</v>
      </c>
      <c r="C125" s="13">
        <v>77.7</v>
      </c>
      <c r="D125" s="13"/>
      <c r="E125" s="13"/>
      <c r="F125" s="13"/>
      <c r="G125" s="13"/>
      <c r="H125" s="13"/>
      <c r="I125" s="13">
        <f t="shared" si="24"/>
        <v>77.7</v>
      </c>
      <c r="J125" s="13">
        <v>77.7</v>
      </c>
      <c r="K125" s="13"/>
      <c r="L125" s="13"/>
      <c r="M125" s="13"/>
      <c r="N125" s="13"/>
      <c r="O125" s="13"/>
      <c r="P125" s="87">
        <f t="shared" si="25"/>
        <v>100</v>
      </c>
    </row>
    <row r="126" spans="1:16" ht="26.25">
      <c r="A126" s="9" t="s">
        <v>120</v>
      </c>
      <c r="B126" s="13">
        <f t="shared" si="23"/>
        <v>115.1</v>
      </c>
      <c r="C126" s="13"/>
      <c r="D126" s="13">
        <v>115.1</v>
      </c>
      <c r="E126" s="13"/>
      <c r="F126" s="13"/>
      <c r="G126" s="13"/>
      <c r="H126" s="13"/>
      <c r="I126" s="13">
        <f t="shared" si="24"/>
        <v>7.6</v>
      </c>
      <c r="J126" s="13"/>
      <c r="K126" s="13">
        <v>7.6</v>
      </c>
      <c r="L126" s="13"/>
      <c r="M126" s="13"/>
      <c r="N126" s="13"/>
      <c r="O126" s="13"/>
      <c r="P126" s="87">
        <f t="shared" si="25"/>
        <v>6.602953953084274</v>
      </c>
    </row>
    <row r="127" spans="1:16" ht="30.75" customHeight="1">
      <c r="A127" s="6" t="s">
        <v>121</v>
      </c>
      <c r="B127" s="13">
        <f t="shared" si="23"/>
        <v>200</v>
      </c>
      <c r="C127" s="13"/>
      <c r="D127" s="13">
        <v>200</v>
      </c>
      <c r="E127" s="13"/>
      <c r="F127" s="13"/>
      <c r="G127" s="13"/>
      <c r="H127" s="13"/>
      <c r="I127" s="13">
        <f t="shared" si="24"/>
        <v>99</v>
      </c>
      <c r="J127" s="13"/>
      <c r="K127" s="13">
        <v>99</v>
      </c>
      <c r="L127" s="13"/>
      <c r="M127" s="13"/>
      <c r="N127" s="13"/>
      <c r="O127" s="13"/>
      <c r="P127" s="87">
        <f t="shared" si="25"/>
        <v>49.5</v>
      </c>
    </row>
    <row r="128" spans="1:16" ht="26.25">
      <c r="A128" s="6" t="s">
        <v>122</v>
      </c>
      <c r="B128" s="13">
        <f t="shared" si="23"/>
        <v>200</v>
      </c>
      <c r="C128" s="13"/>
      <c r="D128" s="13">
        <v>200</v>
      </c>
      <c r="E128" s="13"/>
      <c r="F128" s="13"/>
      <c r="G128" s="13"/>
      <c r="H128" s="13"/>
      <c r="I128" s="13">
        <f t="shared" si="24"/>
        <v>0</v>
      </c>
      <c r="J128" s="13"/>
      <c r="K128" s="13"/>
      <c r="L128" s="13"/>
      <c r="M128" s="13"/>
      <c r="N128" s="13"/>
      <c r="O128" s="13"/>
      <c r="P128" s="87">
        <f t="shared" si="25"/>
        <v>0</v>
      </c>
    </row>
    <row r="129" spans="1:16" ht="15">
      <c r="A129" s="15" t="s">
        <v>123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6" ht="26.25">
      <c r="A130" s="56" t="s">
        <v>124</v>
      </c>
      <c r="B130" s="13">
        <f>C130+D130+E130+F130+G130+H130</f>
        <v>1581.6</v>
      </c>
      <c r="C130" s="14">
        <v>1581.6</v>
      </c>
      <c r="D130" s="13"/>
      <c r="E130" s="13"/>
      <c r="F130" s="13"/>
      <c r="G130" s="13"/>
      <c r="H130" s="13"/>
      <c r="I130" s="13">
        <f>J130+K130+L130+M130+N130+O130</f>
        <v>1408.7</v>
      </c>
      <c r="J130" s="13">
        <v>1408.7</v>
      </c>
      <c r="K130" s="13"/>
      <c r="L130" s="13"/>
      <c r="M130" s="13"/>
      <c r="N130" s="13"/>
      <c r="O130" s="13"/>
      <c r="P130" s="87">
        <f>I130/B130*100</f>
        <v>89.06803237228125</v>
      </c>
    </row>
    <row r="131" spans="1:16" ht="15">
      <c r="A131" s="22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1:16" ht="15">
      <c r="A132" s="9"/>
      <c r="B132" s="13">
        <f>C132+D132+E132+F132+G132+H132</f>
        <v>0</v>
      </c>
      <c r="C132" s="14"/>
      <c r="D132" s="13"/>
      <c r="E132" s="13"/>
      <c r="F132" s="13"/>
      <c r="G132" s="13"/>
      <c r="H132" s="13"/>
      <c r="I132" s="13">
        <f>J132+K132+L132+M132+N132+O132</f>
        <v>0</v>
      </c>
      <c r="J132" s="13"/>
      <c r="K132" s="13"/>
      <c r="L132" s="13"/>
      <c r="M132" s="13"/>
      <c r="N132" s="13"/>
      <c r="O132" s="13"/>
      <c r="P132" s="87" t="e">
        <f>I132/B132*100</f>
        <v>#DIV/0!</v>
      </c>
    </row>
    <row r="133" spans="1:16" ht="15">
      <c r="A133" s="25" t="s">
        <v>23</v>
      </c>
      <c r="B133" s="26">
        <f aca="true" t="shared" si="26" ref="B133:O133">SUM(B122:B132)</f>
        <v>5550.2</v>
      </c>
      <c r="C133" s="26">
        <f t="shared" si="26"/>
        <v>5010.1</v>
      </c>
      <c r="D133" s="26">
        <f t="shared" si="26"/>
        <v>515.1</v>
      </c>
      <c r="E133" s="26">
        <f t="shared" si="26"/>
        <v>25</v>
      </c>
      <c r="F133" s="26">
        <f t="shared" si="26"/>
        <v>0</v>
      </c>
      <c r="G133" s="26">
        <f t="shared" si="26"/>
        <v>0</v>
      </c>
      <c r="H133" s="26">
        <f t="shared" si="26"/>
        <v>0</v>
      </c>
      <c r="I133" s="26">
        <f t="shared" si="26"/>
        <v>4701.3</v>
      </c>
      <c r="J133" s="26">
        <f t="shared" si="26"/>
        <v>4569.7</v>
      </c>
      <c r="K133" s="26">
        <f t="shared" si="26"/>
        <v>106.6</v>
      </c>
      <c r="L133" s="26">
        <f t="shared" si="26"/>
        <v>25</v>
      </c>
      <c r="M133" s="26">
        <f t="shared" si="26"/>
        <v>0</v>
      </c>
      <c r="N133" s="26">
        <f t="shared" si="26"/>
        <v>0</v>
      </c>
      <c r="O133" s="26">
        <f t="shared" si="26"/>
        <v>0</v>
      </c>
      <c r="P133" s="36">
        <f>I133/B133*100</f>
        <v>84.70505567366942</v>
      </c>
    </row>
    <row r="134" spans="1:16" ht="15.75">
      <c r="A134" s="128" t="s">
        <v>24</v>
      </c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</row>
    <row r="135" spans="1:16" ht="64.5">
      <c r="A135" s="22" t="s">
        <v>25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1:16" ht="25.5">
      <c r="A136" s="7" t="s">
        <v>26</v>
      </c>
      <c r="B136" s="13">
        <f>C136+D136+E136+F136+G136+H136</f>
        <v>172.2</v>
      </c>
      <c r="C136" s="14">
        <v>172.2</v>
      </c>
      <c r="D136" s="13"/>
      <c r="E136" s="13"/>
      <c r="F136" s="13"/>
      <c r="G136" s="13"/>
      <c r="H136" s="13"/>
      <c r="I136" s="13">
        <f>J136+K136+L136+M136+N136+O136</f>
        <v>172.2</v>
      </c>
      <c r="J136" s="14">
        <v>172.2</v>
      </c>
      <c r="K136" s="13"/>
      <c r="L136" s="13"/>
      <c r="M136" s="13"/>
      <c r="N136" s="13"/>
      <c r="O136" s="13"/>
      <c r="P136" s="87">
        <f>I136/B136*100</f>
        <v>100</v>
      </c>
    </row>
    <row r="137" spans="1:16" ht="38.25">
      <c r="A137" s="23" t="s">
        <v>27</v>
      </c>
      <c r="B137" s="13">
        <f>C137+D137+E137+F137+G137+H137</f>
        <v>116.4</v>
      </c>
      <c r="C137" s="14">
        <v>116.4</v>
      </c>
      <c r="D137" s="13"/>
      <c r="E137" s="13"/>
      <c r="F137" s="13"/>
      <c r="G137" s="13"/>
      <c r="H137" s="13"/>
      <c r="I137" s="13">
        <f>J137+K137+L137+M137+N137+O137</f>
        <v>116.4</v>
      </c>
      <c r="J137" s="14">
        <v>116.4</v>
      </c>
      <c r="K137" s="13"/>
      <c r="L137" s="13"/>
      <c r="M137" s="13"/>
      <c r="N137" s="13"/>
      <c r="O137" s="13"/>
      <c r="P137" s="87">
        <f>I137/B137*100</f>
        <v>100</v>
      </c>
    </row>
    <row r="138" spans="1:16" ht="15">
      <c r="A138" s="25" t="s">
        <v>28</v>
      </c>
      <c r="B138" s="27">
        <f>SUM(B136:B137)</f>
        <v>288.6</v>
      </c>
      <c r="C138" s="27">
        <f aca="true" t="shared" si="27" ref="C138:O138">SUM(C136:C137)</f>
        <v>288.6</v>
      </c>
      <c r="D138" s="27">
        <f t="shared" si="27"/>
        <v>0</v>
      </c>
      <c r="E138" s="27">
        <f t="shared" si="27"/>
        <v>0</v>
      </c>
      <c r="F138" s="27">
        <f t="shared" si="27"/>
        <v>0</v>
      </c>
      <c r="G138" s="27">
        <f t="shared" si="27"/>
        <v>0</v>
      </c>
      <c r="H138" s="27">
        <f t="shared" si="27"/>
        <v>0</v>
      </c>
      <c r="I138" s="27">
        <f t="shared" si="27"/>
        <v>288.6</v>
      </c>
      <c r="J138" s="27">
        <f t="shared" si="27"/>
        <v>288.6</v>
      </c>
      <c r="K138" s="27">
        <f t="shared" si="27"/>
        <v>0</v>
      </c>
      <c r="L138" s="27">
        <f t="shared" si="27"/>
        <v>0</v>
      </c>
      <c r="M138" s="27">
        <f t="shared" si="27"/>
        <v>0</v>
      </c>
      <c r="N138" s="27">
        <f t="shared" si="27"/>
        <v>0</v>
      </c>
      <c r="O138" s="27">
        <f t="shared" si="27"/>
        <v>0</v>
      </c>
      <c r="P138" s="36">
        <f>I138/B138*100</f>
        <v>100</v>
      </c>
    </row>
    <row r="139" spans="1:16" ht="15.75">
      <c r="A139" s="128" t="s">
        <v>126</v>
      </c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</row>
    <row r="140" spans="1:16" ht="30.75" customHeight="1">
      <c r="A140" s="72" t="s">
        <v>125</v>
      </c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1"/>
    </row>
    <row r="141" spans="1:16" ht="26.25">
      <c r="A141" s="9" t="s">
        <v>128</v>
      </c>
      <c r="B141" s="13">
        <f aca="true" t="shared" si="28" ref="B141:B146">C141+D141+E141+F141+G141+H141</f>
        <v>75469</v>
      </c>
      <c r="C141" s="13">
        <v>61000</v>
      </c>
      <c r="D141" s="95">
        <f>3100-131</f>
        <v>2969</v>
      </c>
      <c r="E141" s="13"/>
      <c r="F141" s="13"/>
      <c r="G141" s="13">
        <v>11500</v>
      </c>
      <c r="H141" s="13"/>
      <c r="I141" s="13">
        <f aca="true" t="shared" si="29" ref="I141:I146">J141+K141+L141+M141+N141+O141</f>
        <v>74428</v>
      </c>
      <c r="J141" s="14">
        <v>60455.4</v>
      </c>
      <c r="K141" s="13">
        <v>2536.4</v>
      </c>
      <c r="L141" s="13"/>
      <c r="M141" s="13"/>
      <c r="N141" s="13">
        <v>11436.2</v>
      </c>
      <c r="O141" s="13"/>
      <c r="P141" s="87">
        <f aca="true" t="shared" si="30" ref="P141:P146">I141/B141*100</f>
        <v>98.62062568736832</v>
      </c>
    </row>
    <row r="142" spans="1:16" ht="26.25">
      <c r="A142" s="9" t="s">
        <v>129</v>
      </c>
      <c r="B142" s="13">
        <f t="shared" si="28"/>
        <v>5860</v>
      </c>
      <c r="C142" s="13">
        <v>5110</v>
      </c>
      <c r="D142" s="13">
        <v>750</v>
      </c>
      <c r="E142" s="13"/>
      <c r="F142" s="13"/>
      <c r="G142" s="13"/>
      <c r="H142" s="13"/>
      <c r="I142" s="13">
        <f t="shared" si="29"/>
        <v>4769.9</v>
      </c>
      <c r="J142" s="14">
        <v>4094.1</v>
      </c>
      <c r="K142" s="13">
        <v>675.8</v>
      </c>
      <c r="L142" s="13"/>
      <c r="M142" s="13"/>
      <c r="N142" s="13"/>
      <c r="O142" s="13"/>
      <c r="P142" s="87">
        <f t="shared" si="30"/>
        <v>81.3976109215017</v>
      </c>
    </row>
    <row r="143" spans="1:16" ht="26.25">
      <c r="A143" s="9" t="s">
        <v>130</v>
      </c>
      <c r="B143" s="13">
        <f t="shared" si="28"/>
        <v>19746.4</v>
      </c>
      <c r="C143" s="13">
        <v>12770</v>
      </c>
      <c r="D143" s="13">
        <v>3900</v>
      </c>
      <c r="E143" s="13">
        <v>40</v>
      </c>
      <c r="F143" s="13"/>
      <c r="G143" s="13">
        <f>2599+437.4</f>
        <v>3036.4</v>
      </c>
      <c r="H143" s="13"/>
      <c r="I143" s="13">
        <f t="shared" si="29"/>
        <v>15233.199999999999</v>
      </c>
      <c r="J143" s="14">
        <v>12156.8</v>
      </c>
      <c r="K143" s="13"/>
      <c r="L143" s="13">
        <v>40</v>
      </c>
      <c r="M143" s="13"/>
      <c r="N143" s="13">
        <v>3036.4</v>
      </c>
      <c r="O143" s="13"/>
      <c r="P143" s="87">
        <f t="shared" si="30"/>
        <v>77.14418830774216</v>
      </c>
    </row>
    <row r="144" spans="1:16" ht="15">
      <c r="A144" s="59" t="s">
        <v>131</v>
      </c>
      <c r="B144" s="13">
        <f t="shared" si="28"/>
        <v>14800</v>
      </c>
      <c r="C144" s="13">
        <v>14800</v>
      </c>
      <c r="D144" s="13"/>
      <c r="E144" s="13"/>
      <c r="F144" s="13"/>
      <c r="G144" s="13"/>
      <c r="H144" s="13"/>
      <c r="I144" s="13">
        <f t="shared" si="29"/>
        <v>12801.9</v>
      </c>
      <c r="J144" s="14">
        <v>12801.9</v>
      </c>
      <c r="K144" s="13"/>
      <c r="L144" s="13"/>
      <c r="M144" s="13"/>
      <c r="N144" s="13"/>
      <c r="O144" s="13"/>
      <c r="P144" s="87">
        <f t="shared" si="30"/>
        <v>86.49932432432432</v>
      </c>
    </row>
    <row r="145" spans="1:16" ht="26.25">
      <c r="A145" s="9" t="s">
        <v>54</v>
      </c>
      <c r="B145" s="13">
        <f t="shared" si="28"/>
        <v>1659.6999999999998</v>
      </c>
      <c r="C145" s="13"/>
      <c r="D145" s="13">
        <v>167</v>
      </c>
      <c r="E145" s="13"/>
      <c r="F145" s="13"/>
      <c r="G145" s="13"/>
      <c r="H145" s="13">
        <f>498+535.1+459.6</f>
        <v>1492.6999999999998</v>
      </c>
      <c r="I145" s="13">
        <f t="shared" si="29"/>
        <v>1656.6</v>
      </c>
      <c r="J145" s="14"/>
      <c r="K145" s="13">
        <v>167</v>
      </c>
      <c r="L145" s="13"/>
      <c r="M145" s="13"/>
      <c r="N145" s="13"/>
      <c r="O145" s="13">
        <v>1489.6</v>
      </c>
      <c r="P145" s="87">
        <f t="shared" si="30"/>
        <v>99.81321925649215</v>
      </c>
    </row>
    <row r="146" spans="1:16" ht="15">
      <c r="A146" s="82" t="s">
        <v>146</v>
      </c>
      <c r="B146" s="13">
        <f t="shared" si="28"/>
        <v>3318</v>
      </c>
      <c r="C146" s="13"/>
      <c r="D146" s="13"/>
      <c r="E146" s="13"/>
      <c r="F146" s="13"/>
      <c r="G146" s="13"/>
      <c r="H146" s="13">
        <f>3030+288</f>
        <v>3318</v>
      </c>
      <c r="I146" s="13">
        <f t="shared" si="29"/>
        <v>3317.7</v>
      </c>
      <c r="J146" s="14"/>
      <c r="K146" s="13"/>
      <c r="L146" s="13"/>
      <c r="M146" s="13"/>
      <c r="N146" s="13"/>
      <c r="O146" s="13">
        <v>3317.7</v>
      </c>
      <c r="P146" s="87">
        <f t="shared" si="30"/>
        <v>99.99095840867992</v>
      </c>
    </row>
    <row r="147" spans="1:16" ht="15">
      <c r="A147" s="82"/>
      <c r="B147" s="13"/>
      <c r="C147" s="13"/>
      <c r="D147" s="13"/>
      <c r="E147" s="13"/>
      <c r="F147" s="13"/>
      <c r="G147" s="13"/>
      <c r="H147" s="13"/>
      <c r="I147" s="13"/>
      <c r="J147" s="14"/>
      <c r="K147" s="13"/>
      <c r="L147" s="13"/>
      <c r="M147" s="13"/>
      <c r="N147" s="13"/>
      <c r="O147" s="13"/>
      <c r="P147" s="87"/>
    </row>
    <row r="148" spans="1:16" ht="15">
      <c r="A148" s="25" t="s">
        <v>31</v>
      </c>
      <c r="B148" s="27">
        <f aca="true" t="shared" si="31" ref="B148:H148">SUM(B141:B146)</f>
        <v>120853.09999999999</v>
      </c>
      <c r="C148" s="27">
        <f t="shared" si="31"/>
        <v>93680</v>
      </c>
      <c r="D148" s="27">
        <f t="shared" si="31"/>
        <v>7786</v>
      </c>
      <c r="E148" s="27">
        <f t="shared" si="31"/>
        <v>40</v>
      </c>
      <c r="F148" s="27">
        <f t="shared" si="31"/>
        <v>0</v>
      </c>
      <c r="G148" s="27">
        <f t="shared" si="31"/>
        <v>14536.4</v>
      </c>
      <c r="H148" s="27">
        <f t="shared" si="31"/>
        <v>4810.7</v>
      </c>
      <c r="I148" s="27">
        <f>SUM(I141:I146)</f>
        <v>112207.29999999999</v>
      </c>
      <c r="J148" s="27">
        <f aca="true" t="shared" si="32" ref="J148:O148">SUM(J141:J145)</f>
        <v>89508.2</v>
      </c>
      <c r="K148" s="27">
        <f t="shared" si="32"/>
        <v>3379.2</v>
      </c>
      <c r="L148" s="27">
        <f t="shared" si="32"/>
        <v>40</v>
      </c>
      <c r="M148" s="27">
        <f t="shared" si="32"/>
        <v>0</v>
      </c>
      <c r="N148" s="27">
        <f t="shared" si="32"/>
        <v>14472.6</v>
      </c>
      <c r="O148" s="27">
        <f t="shared" si="32"/>
        <v>1489.6</v>
      </c>
      <c r="P148" s="36">
        <f>I148/B148*100</f>
        <v>92.84602546397237</v>
      </c>
    </row>
    <row r="149" spans="1:16" ht="15.75">
      <c r="A149" s="128" t="s">
        <v>127</v>
      </c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</row>
    <row r="150" spans="1:16" ht="26.25">
      <c r="A150" s="15" t="s">
        <v>29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 ht="26.25">
      <c r="A151" s="46" t="s">
        <v>139</v>
      </c>
      <c r="B151" s="41">
        <f>C151+D151+E151+F151+G151+H151</f>
        <v>757.3</v>
      </c>
      <c r="C151" s="42"/>
      <c r="D151" s="41">
        <v>7</v>
      </c>
      <c r="E151" s="41"/>
      <c r="F151" s="41"/>
      <c r="G151" s="41"/>
      <c r="H151" s="41">
        <f>175.3+575+130-130</f>
        <v>750.3</v>
      </c>
      <c r="I151" s="41">
        <f>J151+K151+L151+M151+N151+O151</f>
        <v>757.3</v>
      </c>
      <c r="J151" s="41"/>
      <c r="K151" s="41">
        <v>7</v>
      </c>
      <c r="L151" s="41"/>
      <c r="M151" s="41"/>
      <c r="N151" s="41"/>
      <c r="O151" s="41">
        <v>750.3</v>
      </c>
      <c r="P151" s="87">
        <f>I151/B151*100</f>
        <v>100</v>
      </c>
    </row>
    <row r="152" spans="1:16" ht="15">
      <c r="A152" s="47" t="s">
        <v>30</v>
      </c>
      <c r="B152" s="41">
        <f>C152+D152+E152+F152+G152+H152</f>
        <v>3426.2000000000003</v>
      </c>
      <c r="C152" s="42"/>
      <c r="D152" s="41">
        <v>64.9</v>
      </c>
      <c r="E152" s="41"/>
      <c r="F152" s="41"/>
      <c r="G152" s="41"/>
      <c r="H152" s="41">
        <f>2782.3+100+1029-250-300</f>
        <v>3361.3</v>
      </c>
      <c r="I152" s="41">
        <f>J152+K152+L152+M152+N152+O152</f>
        <v>2780.9</v>
      </c>
      <c r="J152" s="41"/>
      <c r="K152" s="41">
        <v>57.4</v>
      </c>
      <c r="L152" s="41"/>
      <c r="M152" s="41"/>
      <c r="N152" s="41"/>
      <c r="O152" s="41">
        <v>2723.5</v>
      </c>
      <c r="P152" s="87">
        <f>I152/B152*100</f>
        <v>81.16572295837953</v>
      </c>
    </row>
    <row r="153" spans="1:16" ht="15">
      <c r="A153" s="47"/>
      <c r="B153" s="41"/>
      <c r="C153" s="42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87"/>
    </row>
    <row r="154" spans="1:16" ht="15">
      <c r="A154" s="25" t="s">
        <v>137</v>
      </c>
      <c r="B154" s="27">
        <f aca="true" t="shared" si="33" ref="B154:O154">SUM(B151:B152)</f>
        <v>4183.5</v>
      </c>
      <c r="C154" s="27">
        <f t="shared" si="33"/>
        <v>0</v>
      </c>
      <c r="D154" s="27">
        <f t="shared" si="33"/>
        <v>71.9</v>
      </c>
      <c r="E154" s="27">
        <f t="shared" si="33"/>
        <v>0</v>
      </c>
      <c r="F154" s="27">
        <f t="shared" si="33"/>
        <v>0</v>
      </c>
      <c r="G154" s="27">
        <f t="shared" si="33"/>
        <v>0</v>
      </c>
      <c r="H154" s="27">
        <f t="shared" si="33"/>
        <v>4111.6</v>
      </c>
      <c r="I154" s="27">
        <f t="shared" si="33"/>
        <v>3538.2</v>
      </c>
      <c r="J154" s="27">
        <f t="shared" si="33"/>
        <v>0</v>
      </c>
      <c r="K154" s="27">
        <f t="shared" si="33"/>
        <v>64.4</v>
      </c>
      <c r="L154" s="27">
        <f t="shared" si="33"/>
        <v>0</v>
      </c>
      <c r="M154" s="27">
        <f t="shared" si="33"/>
        <v>0</v>
      </c>
      <c r="N154" s="27">
        <f t="shared" si="33"/>
        <v>0</v>
      </c>
      <c r="O154" s="27">
        <f t="shared" si="33"/>
        <v>3473.8</v>
      </c>
      <c r="P154" s="36">
        <f>I154/B154*100</f>
        <v>84.57511652922194</v>
      </c>
    </row>
    <row r="155" spans="1:16" ht="15.75">
      <c r="A155" s="128" t="s">
        <v>132</v>
      </c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</row>
    <row r="156" spans="1:16" ht="33.75" customHeight="1">
      <c r="A156" s="15" t="s">
        <v>133</v>
      </c>
      <c r="B156" s="11"/>
      <c r="C156" s="16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7"/>
    </row>
    <row r="157" spans="1:16" ht="26.25">
      <c r="A157" s="9" t="s">
        <v>134</v>
      </c>
      <c r="B157" s="41">
        <f>C157+D157+E157+F157+G157+H157</f>
        <v>1338.5</v>
      </c>
      <c r="C157" s="42">
        <f>251.3-91.8</f>
        <v>159.5</v>
      </c>
      <c r="D157" s="41"/>
      <c r="E157" s="41"/>
      <c r="F157" s="41"/>
      <c r="G157" s="41">
        <f>1284.4-105.4</f>
        <v>1179</v>
      </c>
      <c r="H157" s="41"/>
      <c r="I157" s="41">
        <f>J157+K157+L157+M157+N157+O157</f>
        <v>581.9</v>
      </c>
      <c r="J157" s="41"/>
      <c r="K157" s="41"/>
      <c r="L157" s="41"/>
      <c r="M157" s="41"/>
      <c r="N157" s="41">
        <v>581.9</v>
      </c>
      <c r="O157" s="41"/>
      <c r="P157" s="93">
        <f>I157/B157*100</f>
        <v>43.47403810235338</v>
      </c>
    </row>
    <row r="158" spans="1:16" ht="15">
      <c r="A158" s="59" t="s">
        <v>135</v>
      </c>
      <c r="B158" s="41">
        <f>C158+D158+E158+F158+G158+H158</f>
        <v>160.1</v>
      </c>
      <c r="C158" s="42">
        <f>146.2+13.9</f>
        <v>160.1</v>
      </c>
      <c r="D158" s="41"/>
      <c r="E158" s="41"/>
      <c r="F158" s="41"/>
      <c r="G158" s="41"/>
      <c r="H158" s="41"/>
      <c r="I158" s="41">
        <f>J158+K158+L158+M158+N158+O158</f>
        <v>124.8</v>
      </c>
      <c r="J158" s="41">
        <v>124.8</v>
      </c>
      <c r="K158" s="41"/>
      <c r="L158" s="41"/>
      <c r="M158" s="41"/>
      <c r="N158" s="41"/>
      <c r="O158" s="41"/>
      <c r="P158" s="93">
        <f>I158/B158*100</f>
        <v>77.95128044971892</v>
      </c>
    </row>
    <row r="159" spans="1:16" ht="26.25">
      <c r="A159" s="9" t="s">
        <v>136</v>
      </c>
      <c r="B159" s="41">
        <f>C159+D159+E159+F159+G159+H159</f>
        <v>30</v>
      </c>
      <c r="C159" s="42"/>
      <c r="D159" s="41">
        <v>30</v>
      </c>
      <c r="E159" s="41"/>
      <c r="F159" s="41"/>
      <c r="G159" s="41"/>
      <c r="H159" s="41"/>
      <c r="I159" s="41">
        <f>J159+K159+L159+M159+N159+O159</f>
        <v>29</v>
      </c>
      <c r="J159" s="41"/>
      <c r="K159" s="41">
        <v>29</v>
      </c>
      <c r="L159" s="41"/>
      <c r="M159" s="41"/>
      <c r="N159" s="41"/>
      <c r="O159" s="41"/>
      <c r="P159" s="93">
        <f>I159/B159*100</f>
        <v>96.66666666666667</v>
      </c>
    </row>
    <row r="160" spans="1:16" ht="15">
      <c r="A160" s="25" t="s">
        <v>138</v>
      </c>
      <c r="B160" s="27">
        <f>SUM(B157:B159)</f>
        <v>1528.6</v>
      </c>
      <c r="C160" s="27">
        <f aca="true" t="shared" si="34" ref="C160:N160">SUM(C157:C159)</f>
        <v>319.6</v>
      </c>
      <c r="D160" s="27">
        <f t="shared" si="34"/>
        <v>30</v>
      </c>
      <c r="E160" s="27">
        <f t="shared" si="34"/>
        <v>0</v>
      </c>
      <c r="F160" s="27">
        <f t="shared" si="34"/>
        <v>0</v>
      </c>
      <c r="G160" s="27">
        <f t="shared" si="34"/>
        <v>1179</v>
      </c>
      <c r="H160" s="27">
        <f t="shared" si="34"/>
        <v>0</v>
      </c>
      <c r="I160" s="27">
        <f t="shared" si="34"/>
        <v>735.6999999999999</v>
      </c>
      <c r="J160" s="27">
        <f t="shared" si="34"/>
        <v>124.8</v>
      </c>
      <c r="K160" s="27">
        <f t="shared" si="34"/>
        <v>29</v>
      </c>
      <c r="L160" s="27">
        <f t="shared" si="34"/>
        <v>0</v>
      </c>
      <c r="M160" s="27">
        <f t="shared" si="34"/>
        <v>0</v>
      </c>
      <c r="N160" s="27">
        <f t="shared" si="34"/>
        <v>581.9</v>
      </c>
      <c r="O160" s="27">
        <f>SUM(O157:O159)</f>
        <v>0</v>
      </c>
      <c r="P160" s="36">
        <f>I160/B160*100</f>
        <v>48.12900693444982</v>
      </c>
    </row>
    <row r="161" spans="1:16" ht="15.75">
      <c r="A161" s="121" t="s">
        <v>144</v>
      </c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3"/>
    </row>
    <row r="162" spans="1:16" ht="26.25">
      <c r="A162" s="61" t="s">
        <v>140</v>
      </c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1"/>
    </row>
    <row r="163" spans="1:16" ht="26.25">
      <c r="A163" s="9" t="s">
        <v>142</v>
      </c>
      <c r="B163" s="13">
        <f>C163+D163+E163+F163+G163+H163</f>
        <v>1546.5</v>
      </c>
      <c r="C163" s="79"/>
      <c r="D163" s="79">
        <f>7646.5-5500-500-100</f>
        <v>1546.5</v>
      </c>
      <c r="E163" s="79"/>
      <c r="F163" s="79"/>
      <c r="G163" s="79"/>
      <c r="H163" s="79"/>
      <c r="I163" s="13">
        <f>J163+K163+L163+M163+N163+O163</f>
        <v>524.7</v>
      </c>
      <c r="J163" s="79"/>
      <c r="K163" s="79">
        <v>524.7</v>
      </c>
      <c r="L163" s="79"/>
      <c r="M163" s="79"/>
      <c r="N163" s="79"/>
      <c r="O163" s="79"/>
      <c r="P163" s="87">
        <f>I163/B163*100</f>
        <v>33.928225024248306</v>
      </c>
    </row>
    <row r="164" spans="1:16" ht="26.25">
      <c r="A164" s="9" t="s">
        <v>143</v>
      </c>
      <c r="B164" s="13">
        <f>C164+D164+E164+F164+G164+H164</f>
        <v>3141.3</v>
      </c>
      <c r="C164" s="79"/>
      <c r="D164" s="79">
        <f>3791.3-100-550</f>
        <v>3141.3</v>
      </c>
      <c r="E164" s="79"/>
      <c r="F164" s="79"/>
      <c r="G164" s="79"/>
      <c r="H164" s="79"/>
      <c r="I164" s="13">
        <f>J164+K164+L164+M164+N164+O164</f>
        <v>2620.6</v>
      </c>
      <c r="J164" s="79"/>
      <c r="K164" s="79">
        <v>2620.6</v>
      </c>
      <c r="L164" s="79"/>
      <c r="M164" s="79"/>
      <c r="N164" s="79"/>
      <c r="O164" s="79"/>
      <c r="P164" s="87">
        <f>I164/B164*100</f>
        <v>83.42406010250532</v>
      </c>
    </row>
    <row r="165" spans="1:16" ht="15">
      <c r="A165" s="9"/>
      <c r="B165" s="13"/>
      <c r="C165" s="79"/>
      <c r="D165" s="79"/>
      <c r="E165" s="79"/>
      <c r="F165" s="79"/>
      <c r="G165" s="79"/>
      <c r="H165" s="79"/>
      <c r="I165" s="13"/>
      <c r="J165" s="79"/>
      <c r="K165" s="79"/>
      <c r="L165" s="79"/>
      <c r="M165" s="79"/>
      <c r="N165" s="79"/>
      <c r="O165" s="79"/>
      <c r="P165" s="87"/>
    </row>
    <row r="166" spans="1:16" ht="15">
      <c r="A166" s="9"/>
      <c r="B166" s="13"/>
      <c r="C166" s="79"/>
      <c r="D166" s="79"/>
      <c r="E166" s="79"/>
      <c r="F166" s="79"/>
      <c r="G166" s="79"/>
      <c r="H166" s="79"/>
      <c r="I166" s="13"/>
      <c r="J166" s="79"/>
      <c r="K166" s="79"/>
      <c r="L166" s="79"/>
      <c r="M166" s="79"/>
      <c r="N166" s="79"/>
      <c r="O166" s="79"/>
      <c r="P166" s="87"/>
    </row>
    <row r="167" spans="1:16" ht="15">
      <c r="A167" s="9"/>
      <c r="B167" s="13"/>
      <c r="C167" s="79"/>
      <c r="D167" s="79"/>
      <c r="E167" s="79"/>
      <c r="F167" s="79"/>
      <c r="G167" s="79"/>
      <c r="H167" s="79"/>
      <c r="I167" s="13"/>
      <c r="J167" s="79"/>
      <c r="K167" s="79"/>
      <c r="L167" s="79"/>
      <c r="M167" s="79"/>
      <c r="N167" s="79"/>
      <c r="O167" s="79"/>
      <c r="P167" s="87"/>
    </row>
    <row r="168" spans="1:16" ht="15">
      <c r="A168" s="9"/>
      <c r="B168" s="13"/>
      <c r="C168" s="79"/>
      <c r="D168" s="79"/>
      <c r="E168" s="79"/>
      <c r="F168" s="79"/>
      <c r="G168" s="79"/>
      <c r="H168" s="79"/>
      <c r="I168" s="13"/>
      <c r="J168" s="79"/>
      <c r="K168" s="79"/>
      <c r="L168" s="79"/>
      <c r="M168" s="79"/>
      <c r="N168" s="79"/>
      <c r="O168" s="79"/>
      <c r="P168" s="87"/>
    </row>
    <row r="169" spans="1:16" ht="15">
      <c r="A169" s="9"/>
      <c r="B169" s="13"/>
      <c r="C169" s="79"/>
      <c r="D169" s="79"/>
      <c r="E169" s="79"/>
      <c r="F169" s="79"/>
      <c r="G169" s="79"/>
      <c r="H169" s="79"/>
      <c r="I169" s="13"/>
      <c r="J169" s="79"/>
      <c r="K169" s="79"/>
      <c r="L169" s="79"/>
      <c r="M169" s="79"/>
      <c r="N169" s="79"/>
      <c r="O169" s="79"/>
      <c r="P169" s="87"/>
    </row>
    <row r="170" spans="1:16" ht="15">
      <c r="A170" s="9"/>
      <c r="B170" s="13"/>
      <c r="C170" s="79"/>
      <c r="D170" s="79"/>
      <c r="E170" s="79"/>
      <c r="F170" s="79"/>
      <c r="G170" s="79"/>
      <c r="H170" s="79"/>
      <c r="I170" s="13"/>
      <c r="J170" s="79"/>
      <c r="K170" s="79"/>
      <c r="L170" s="79"/>
      <c r="M170" s="79"/>
      <c r="N170" s="79"/>
      <c r="O170" s="79"/>
      <c r="P170" s="87"/>
    </row>
    <row r="171" spans="1:16" ht="15">
      <c r="A171" s="9"/>
      <c r="B171" s="13"/>
      <c r="C171" s="79"/>
      <c r="D171" s="79"/>
      <c r="E171" s="79"/>
      <c r="F171" s="79"/>
      <c r="G171" s="79"/>
      <c r="H171" s="79"/>
      <c r="I171" s="13"/>
      <c r="J171" s="79"/>
      <c r="K171" s="79"/>
      <c r="L171" s="79"/>
      <c r="M171" s="79"/>
      <c r="N171" s="79"/>
      <c r="O171" s="79"/>
      <c r="P171" s="87"/>
    </row>
    <row r="172" spans="1:16" ht="15">
      <c r="A172" s="9"/>
      <c r="B172" s="13"/>
      <c r="C172" s="79"/>
      <c r="D172" s="79"/>
      <c r="E172" s="79"/>
      <c r="F172" s="79"/>
      <c r="G172" s="79"/>
      <c r="H172" s="79"/>
      <c r="I172" s="13"/>
      <c r="J172" s="79"/>
      <c r="K172" s="79"/>
      <c r="L172" s="79"/>
      <c r="M172" s="79"/>
      <c r="N172" s="79"/>
      <c r="O172" s="79"/>
      <c r="P172" s="87"/>
    </row>
    <row r="173" spans="1:16" ht="15">
      <c r="A173" s="25" t="s">
        <v>141</v>
      </c>
      <c r="B173" s="27">
        <f>SUM(B162:B164)</f>
        <v>4687.8</v>
      </c>
      <c r="C173" s="27">
        <f aca="true" t="shared" si="35" ref="C173:O173">SUM(C162:C164)</f>
        <v>0</v>
      </c>
      <c r="D173" s="27">
        <f t="shared" si="35"/>
        <v>4687.8</v>
      </c>
      <c r="E173" s="27">
        <f t="shared" si="35"/>
        <v>0</v>
      </c>
      <c r="F173" s="27">
        <f t="shared" si="35"/>
        <v>0</v>
      </c>
      <c r="G173" s="27">
        <f t="shared" si="35"/>
        <v>0</v>
      </c>
      <c r="H173" s="27">
        <f t="shared" si="35"/>
        <v>0</v>
      </c>
      <c r="I173" s="27">
        <f t="shared" si="35"/>
        <v>3145.3</v>
      </c>
      <c r="J173" s="27">
        <f t="shared" si="35"/>
        <v>0</v>
      </c>
      <c r="K173" s="27">
        <f t="shared" si="35"/>
        <v>3145.3</v>
      </c>
      <c r="L173" s="27">
        <f t="shared" si="35"/>
        <v>0</v>
      </c>
      <c r="M173" s="27">
        <f t="shared" si="35"/>
        <v>0</v>
      </c>
      <c r="N173" s="27">
        <f t="shared" si="35"/>
        <v>0</v>
      </c>
      <c r="O173" s="27">
        <f t="shared" si="35"/>
        <v>0</v>
      </c>
      <c r="P173" s="36">
        <f>I173/B173*100</f>
        <v>67.09543922522292</v>
      </c>
    </row>
    <row r="174" spans="1:16" ht="15">
      <c r="A174" s="131" t="s">
        <v>147</v>
      </c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3"/>
    </row>
    <row r="175" spans="1:16" ht="25.5">
      <c r="A175" s="18" t="s">
        <v>148</v>
      </c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1"/>
    </row>
    <row r="176" spans="1:16" ht="36.75" customHeight="1">
      <c r="A176" s="85" t="s">
        <v>149</v>
      </c>
      <c r="B176" s="13">
        <f>C176+D176+E176+F176+G176+H176</f>
        <v>860</v>
      </c>
      <c r="C176" s="79"/>
      <c r="D176" s="79">
        <v>860</v>
      </c>
      <c r="E176" s="79"/>
      <c r="F176" s="79"/>
      <c r="G176" s="79"/>
      <c r="H176" s="79"/>
      <c r="I176" s="13">
        <f>J176+K176+L176+M176+N176+O176</f>
        <v>854</v>
      </c>
      <c r="J176" s="83"/>
      <c r="K176" s="89">
        <v>854</v>
      </c>
      <c r="L176" s="83"/>
      <c r="M176" s="83"/>
      <c r="N176" s="83"/>
      <c r="O176" s="83"/>
      <c r="P176" s="87">
        <f>I176/B176*100</f>
        <v>99.30232558139535</v>
      </c>
    </row>
    <row r="177" spans="1:16" ht="15">
      <c r="A177" s="25" t="s">
        <v>150</v>
      </c>
      <c r="B177" s="27">
        <f>B176</f>
        <v>860</v>
      </c>
      <c r="C177" s="27">
        <f>C176</f>
        <v>0</v>
      </c>
      <c r="D177" s="27">
        <f>D176</f>
        <v>860</v>
      </c>
      <c r="E177" s="27">
        <f aca="true" t="shared" si="36" ref="E177:O177">E176</f>
        <v>0</v>
      </c>
      <c r="F177" s="27">
        <f t="shared" si="36"/>
        <v>0</v>
      </c>
      <c r="G177" s="27">
        <f t="shared" si="36"/>
        <v>0</v>
      </c>
      <c r="H177" s="27">
        <f t="shared" si="36"/>
        <v>0</v>
      </c>
      <c r="I177" s="27">
        <f t="shared" si="36"/>
        <v>854</v>
      </c>
      <c r="J177" s="27">
        <f t="shared" si="36"/>
        <v>0</v>
      </c>
      <c r="K177" s="27">
        <f t="shared" si="36"/>
        <v>854</v>
      </c>
      <c r="L177" s="27">
        <f t="shared" si="36"/>
        <v>0</v>
      </c>
      <c r="M177" s="27">
        <f t="shared" si="36"/>
        <v>0</v>
      </c>
      <c r="N177" s="27">
        <f t="shared" si="36"/>
        <v>0</v>
      </c>
      <c r="O177" s="27">
        <f t="shared" si="36"/>
        <v>0</v>
      </c>
      <c r="P177" s="36"/>
    </row>
    <row r="178" spans="1:16" ht="15">
      <c r="A178" s="25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36"/>
    </row>
    <row r="179" spans="1:16" ht="15">
      <c r="A179" s="25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36"/>
    </row>
    <row r="180" spans="1:16" ht="15">
      <c r="A180" s="25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36"/>
    </row>
    <row r="181" spans="1:16" ht="15">
      <c r="A181" s="25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36"/>
    </row>
    <row r="182" spans="1:16" ht="47.25">
      <c r="A182" s="24" t="s">
        <v>145</v>
      </c>
      <c r="B182" s="37">
        <f>B57+B79+B84+B94+B103+B107+B111+B115+B120+B133+B138+B148+B154+B160+B173+B177</f>
        <v>926707.9999999999</v>
      </c>
      <c r="C182" s="37">
        <f>C57+C79+C84+C94+C103+C107+C111+C115+C120+C133+C138+C148+C154+C160+C173+C177</f>
        <v>516548.6999999999</v>
      </c>
      <c r="D182" s="37">
        <f>D57+D79+D84+D94+D103+D107+D111+D115+D120+D133+D138+D148+D154+D160+D173+D177</f>
        <v>72612.5</v>
      </c>
      <c r="E182" s="37">
        <f aca="true" t="shared" si="37" ref="E182:O182">E57+E79+E84+E94+E103+E107+E111+E115+E120+E133+E138+E148+E154+E160+E173+E177</f>
        <v>1790</v>
      </c>
      <c r="F182" s="37">
        <f t="shared" si="37"/>
        <v>264</v>
      </c>
      <c r="G182" s="37">
        <f t="shared" si="37"/>
        <v>325427.30000000005</v>
      </c>
      <c r="H182" s="37">
        <f t="shared" si="37"/>
        <v>10065.5</v>
      </c>
      <c r="I182" s="37">
        <f t="shared" si="37"/>
        <v>894392.2</v>
      </c>
      <c r="J182" s="37">
        <f t="shared" si="37"/>
        <v>499001.5</v>
      </c>
      <c r="K182" s="37">
        <f t="shared" si="37"/>
        <v>59830.59999999999</v>
      </c>
      <c r="L182" s="37">
        <f t="shared" si="37"/>
        <v>1757.8</v>
      </c>
      <c r="M182" s="37">
        <f t="shared" si="37"/>
        <v>264</v>
      </c>
      <c r="N182" s="37">
        <f t="shared" si="37"/>
        <v>324127.4</v>
      </c>
      <c r="O182" s="37">
        <f t="shared" si="37"/>
        <v>6093.200000000001</v>
      </c>
      <c r="P182" s="38">
        <f>I182/B182*100</f>
        <v>96.5128389956707</v>
      </c>
    </row>
    <row r="183" spans="1:16" s="54" customFormat="1" ht="15">
      <c r="A183" s="53"/>
      <c r="B183" s="53"/>
      <c r="C183" s="90">
        <f>C182+D182</f>
        <v>589161.2</v>
      </c>
      <c r="D183" s="53"/>
      <c r="E183" s="90">
        <f>E182+F182</f>
        <v>2054</v>
      </c>
      <c r="F183" s="53"/>
      <c r="G183" s="90">
        <f>G182+H182</f>
        <v>335492.80000000005</v>
      </c>
      <c r="H183" s="53"/>
      <c r="I183" s="53"/>
      <c r="J183" s="53"/>
      <c r="K183" s="53"/>
      <c r="L183" s="53"/>
      <c r="M183" s="53"/>
      <c r="N183" s="53"/>
      <c r="O183" s="53"/>
      <c r="P183" s="53"/>
    </row>
    <row r="184" spans="1:16" s="54" customFormat="1" ht="15">
      <c r="A184" s="53"/>
      <c r="B184" s="90">
        <f>C184+D184</f>
        <v>926708</v>
      </c>
      <c r="C184" s="90">
        <f>C182+E182+G182</f>
        <v>843766</v>
      </c>
      <c r="D184" s="90">
        <f>D182+F182+H182</f>
        <v>82942</v>
      </c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</row>
    <row r="185" spans="1:16" ht="18.75">
      <c r="A185" s="51"/>
      <c r="B185" s="4"/>
      <c r="C185" s="78"/>
      <c r="D185" s="78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1:16" ht="18.75">
      <c r="A186" s="51" t="s">
        <v>44</v>
      </c>
      <c r="B186" s="50"/>
      <c r="C186" s="50"/>
      <c r="D186" s="50"/>
      <c r="E186" s="50"/>
      <c r="F186" s="50"/>
      <c r="G186" s="50"/>
      <c r="H186" s="50"/>
      <c r="I186" s="50"/>
      <c r="J186" s="50"/>
      <c r="K186" s="130" t="s">
        <v>45</v>
      </c>
      <c r="L186" s="130"/>
      <c r="M186" s="130"/>
      <c r="N186" s="130"/>
      <c r="O186" s="50"/>
      <c r="P186" s="50"/>
    </row>
    <row r="187" spans="1:16" ht="15.75">
      <c r="A187" s="52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1:16" ht="15.75">
      <c r="A188" s="52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ht="15.75">
      <c r="A189" s="52" t="s">
        <v>43</v>
      </c>
    </row>
    <row r="190" ht="15.75">
      <c r="A190" s="52" t="s">
        <v>153</v>
      </c>
    </row>
  </sheetData>
  <sheetProtection/>
  <mergeCells count="47">
    <mergeCell ref="A174:P174"/>
    <mergeCell ref="D10:J10"/>
    <mergeCell ref="D11:J11"/>
    <mergeCell ref="D13:M13"/>
    <mergeCell ref="N1:P1"/>
    <mergeCell ref="N2:P2"/>
    <mergeCell ref="A5:P5"/>
    <mergeCell ref="A6:P6"/>
    <mergeCell ref="D8:J8"/>
    <mergeCell ref="D9:J9"/>
    <mergeCell ref="A104:P104"/>
    <mergeCell ref="A112:P112"/>
    <mergeCell ref="K186:N186"/>
    <mergeCell ref="A134:P134"/>
    <mergeCell ref="A149:P149"/>
    <mergeCell ref="A116:P116"/>
    <mergeCell ref="A108:P108"/>
    <mergeCell ref="A139:P139"/>
    <mergeCell ref="A155:P155"/>
    <mergeCell ref="A121:P121"/>
    <mergeCell ref="B34:B37"/>
    <mergeCell ref="A85:P85"/>
    <mergeCell ref="A95:P95"/>
    <mergeCell ref="A39:P39"/>
    <mergeCell ref="C36:D36"/>
    <mergeCell ref="E36:F36"/>
    <mergeCell ref="A32:A37"/>
    <mergeCell ref="A58:P58"/>
    <mergeCell ref="A80:P80"/>
    <mergeCell ref="J35:M35"/>
    <mergeCell ref="J34:O34"/>
    <mergeCell ref="P32:P33"/>
    <mergeCell ref="L36:M36"/>
    <mergeCell ref="G35:H36"/>
    <mergeCell ref="C35:F35"/>
    <mergeCell ref="I34:I37"/>
    <mergeCell ref="J36:K36"/>
    <mergeCell ref="A161:P161"/>
    <mergeCell ref="I33:O33"/>
    <mergeCell ref="D12:M12"/>
    <mergeCell ref="I32:O32"/>
    <mergeCell ref="N35:O36"/>
    <mergeCell ref="C34:H34"/>
    <mergeCell ref="D14:M14"/>
    <mergeCell ref="B32:H32"/>
    <mergeCell ref="B33:H33"/>
    <mergeCell ref="P34:P37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0"/>
  <sheetViews>
    <sheetView zoomScale="84" zoomScaleNormal="84" zoomScalePageLayoutView="0" workbookViewId="0" topLeftCell="A1">
      <selection activeCell="D13" sqref="D13:P13"/>
    </sheetView>
  </sheetViews>
  <sheetFormatPr defaultColWidth="9.140625" defaultRowHeight="15"/>
  <cols>
    <col min="1" max="1" width="46.8515625" style="0" customWidth="1"/>
    <col min="2" max="2" width="11.8515625" style="0" customWidth="1"/>
    <col min="3" max="3" width="9.57421875" style="0" bestFit="1" customWidth="1"/>
    <col min="16" max="16" width="18.7109375" style="0" customWidth="1"/>
    <col min="17" max="18" width="14.57421875" style="0" customWidth="1"/>
  </cols>
  <sheetData>
    <row r="1" spans="14:16" ht="15.75">
      <c r="N1" s="136" t="s">
        <v>32</v>
      </c>
      <c r="O1" s="136"/>
      <c r="P1" s="136"/>
    </row>
    <row r="2" spans="12:16" ht="205.5" customHeight="1">
      <c r="L2" s="105"/>
      <c r="M2" s="105"/>
      <c r="N2" s="142" t="s">
        <v>176</v>
      </c>
      <c r="O2" s="142"/>
      <c r="P2" s="142"/>
    </row>
    <row r="3" spans="14:16" ht="23.25" customHeight="1">
      <c r="N3" s="29" t="s">
        <v>181</v>
      </c>
      <c r="O3" s="29"/>
      <c r="P3" s="29"/>
    </row>
    <row r="4" spans="14:16" ht="15.75">
      <c r="N4" s="29"/>
      <c r="O4" s="29"/>
      <c r="P4" s="29"/>
    </row>
    <row r="5" spans="1:16" ht="18.75">
      <c r="A5" s="138" t="s">
        <v>33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6" ht="38.25" customHeight="1">
      <c r="A6" s="139" t="s">
        <v>177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1:16" ht="18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8.75">
      <c r="A8" s="31" t="s">
        <v>34</v>
      </c>
      <c r="B8" s="31">
        <v>10</v>
      </c>
      <c r="C8" s="31"/>
      <c r="D8" s="134" t="s">
        <v>35</v>
      </c>
      <c r="E8" s="134"/>
      <c r="F8" s="134"/>
      <c r="G8" s="134"/>
      <c r="H8" s="134"/>
      <c r="I8" s="134"/>
      <c r="J8" s="134"/>
      <c r="K8" s="31"/>
      <c r="L8" s="31"/>
      <c r="M8" s="31"/>
      <c r="N8" s="31"/>
      <c r="O8" s="31"/>
      <c r="P8" s="31"/>
    </row>
    <row r="9" spans="1:16" ht="18.75">
      <c r="A9" s="31"/>
      <c r="B9" s="31" t="s">
        <v>36</v>
      </c>
      <c r="C9" s="31"/>
      <c r="D9" s="140" t="s">
        <v>37</v>
      </c>
      <c r="E9" s="140"/>
      <c r="F9" s="140"/>
      <c r="G9" s="140"/>
      <c r="H9" s="140"/>
      <c r="I9" s="140"/>
      <c r="J9" s="140"/>
      <c r="K9" s="31"/>
      <c r="L9" s="31"/>
      <c r="M9" s="31"/>
      <c r="N9" s="31"/>
      <c r="O9" s="31"/>
      <c r="P9" s="31"/>
    </row>
    <row r="10" spans="1:16" ht="18.75">
      <c r="A10" s="31" t="s">
        <v>38</v>
      </c>
      <c r="B10" s="31"/>
      <c r="C10" s="31"/>
      <c r="D10" s="134" t="s">
        <v>35</v>
      </c>
      <c r="E10" s="134"/>
      <c r="F10" s="134"/>
      <c r="G10" s="134"/>
      <c r="H10" s="134"/>
      <c r="I10" s="134"/>
      <c r="J10" s="134"/>
      <c r="K10" s="31"/>
      <c r="L10" s="31"/>
      <c r="M10" s="31"/>
      <c r="N10" s="31"/>
      <c r="O10" s="31"/>
      <c r="P10" s="31"/>
    </row>
    <row r="11" spans="4:10" ht="15">
      <c r="D11" s="126" t="s">
        <v>39</v>
      </c>
      <c r="E11" s="126"/>
      <c r="F11" s="126"/>
      <c r="G11" s="126"/>
      <c r="H11" s="126"/>
      <c r="I11" s="126"/>
      <c r="J11" s="126"/>
    </row>
    <row r="12" spans="1:16" ht="18.75">
      <c r="A12" s="32" t="s">
        <v>40</v>
      </c>
      <c r="B12" s="34">
        <v>611010</v>
      </c>
      <c r="D12" s="141" t="s">
        <v>180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</row>
    <row r="13" spans="1:16" ht="18.75">
      <c r="A13" s="28"/>
      <c r="B13" s="34">
        <v>611020</v>
      </c>
      <c r="D13" s="134" t="s">
        <v>179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</row>
    <row r="14" spans="1:16" ht="15.75">
      <c r="A14" s="28"/>
      <c r="B14" s="34">
        <v>611030</v>
      </c>
      <c r="D14" s="136" t="s">
        <v>41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</row>
    <row r="15" spans="1:2" ht="15">
      <c r="A15" s="28"/>
      <c r="B15" s="34">
        <v>611070</v>
      </c>
    </row>
    <row r="16" spans="1:2" ht="15">
      <c r="A16" s="28"/>
      <c r="B16" s="34">
        <v>611090</v>
      </c>
    </row>
    <row r="17" spans="1:2" ht="15">
      <c r="A17" s="28"/>
      <c r="B17" s="34">
        <v>611150</v>
      </c>
    </row>
    <row r="18" spans="1:2" ht="15">
      <c r="A18" s="28"/>
      <c r="B18" s="34">
        <v>611160</v>
      </c>
    </row>
    <row r="19" spans="1:2" ht="15">
      <c r="A19" s="28"/>
      <c r="B19" s="34">
        <v>611161</v>
      </c>
    </row>
    <row r="20" spans="1:2" ht="15">
      <c r="A20" s="28"/>
      <c r="B20" s="34">
        <v>611162</v>
      </c>
    </row>
    <row r="21" spans="1:2" ht="15">
      <c r="A21" s="28"/>
      <c r="B21" s="34">
        <v>611110</v>
      </c>
    </row>
    <row r="22" spans="1:2" ht="15">
      <c r="A22" s="28"/>
      <c r="B22" s="35">
        <v>617363</v>
      </c>
    </row>
    <row r="23" spans="1:2" ht="15">
      <c r="A23" s="28"/>
      <c r="B23" s="35">
        <v>611170</v>
      </c>
    </row>
    <row r="24" spans="1:2" ht="15">
      <c r="A24" s="28"/>
      <c r="B24" s="35">
        <v>617321</v>
      </c>
    </row>
    <row r="25" spans="1:2" ht="15">
      <c r="A25" s="28"/>
      <c r="B25" s="35">
        <v>619770</v>
      </c>
    </row>
    <row r="26" spans="1:2" ht="15">
      <c r="A26" s="28"/>
      <c r="B26" s="35">
        <v>619310</v>
      </c>
    </row>
    <row r="27" spans="1:2" ht="15">
      <c r="A27" s="28"/>
      <c r="B27" s="35">
        <v>611180</v>
      </c>
    </row>
    <row r="28" ht="15">
      <c r="B28" s="33" t="s">
        <v>42</v>
      </c>
    </row>
    <row r="29" ht="15">
      <c r="B29" s="33"/>
    </row>
    <row r="30" ht="15">
      <c r="B30" s="33"/>
    </row>
    <row r="32" spans="1:16" ht="22.5" customHeight="1">
      <c r="A32" s="124" t="s">
        <v>0</v>
      </c>
      <c r="B32" s="124" t="s">
        <v>1</v>
      </c>
      <c r="C32" s="124"/>
      <c r="D32" s="124"/>
      <c r="E32" s="124"/>
      <c r="F32" s="124"/>
      <c r="G32" s="124"/>
      <c r="H32" s="124"/>
      <c r="I32" s="124" t="s">
        <v>2</v>
      </c>
      <c r="J32" s="124"/>
      <c r="K32" s="124"/>
      <c r="L32" s="124"/>
      <c r="M32" s="124"/>
      <c r="N32" s="124"/>
      <c r="O32" s="124"/>
      <c r="P32" s="124" t="s">
        <v>3</v>
      </c>
    </row>
    <row r="33" spans="1:16" ht="24.75" customHeight="1">
      <c r="A33" s="124"/>
      <c r="B33" s="124" t="s">
        <v>151</v>
      </c>
      <c r="C33" s="124"/>
      <c r="D33" s="124"/>
      <c r="E33" s="124"/>
      <c r="F33" s="124"/>
      <c r="G33" s="124"/>
      <c r="H33" s="124"/>
      <c r="I33" s="124" t="s">
        <v>151</v>
      </c>
      <c r="J33" s="124"/>
      <c r="K33" s="124"/>
      <c r="L33" s="124"/>
      <c r="M33" s="124"/>
      <c r="N33" s="124"/>
      <c r="O33" s="124"/>
      <c r="P33" s="124"/>
    </row>
    <row r="34" spans="1:16" ht="15.75" customHeight="1">
      <c r="A34" s="124"/>
      <c r="B34" s="127" t="s">
        <v>4</v>
      </c>
      <c r="C34" s="124" t="s">
        <v>5</v>
      </c>
      <c r="D34" s="124"/>
      <c r="E34" s="124"/>
      <c r="F34" s="124"/>
      <c r="G34" s="124"/>
      <c r="H34" s="124"/>
      <c r="I34" s="124" t="s">
        <v>4</v>
      </c>
      <c r="J34" s="124" t="s">
        <v>5</v>
      </c>
      <c r="K34" s="124"/>
      <c r="L34" s="124"/>
      <c r="M34" s="124"/>
      <c r="N34" s="124"/>
      <c r="O34" s="124"/>
      <c r="P34" s="124"/>
    </row>
    <row r="35" spans="1:16" ht="22.5" customHeight="1">
      <c r="A35" s="124"/>
      <c r="B35" s="127"/>
      <c r="C35" s="124" t="s">
        <v>10</v>
      </c>
      <c r="D35" s="124"/>
      <c r="E35" s="124"/>
      <c r="F35" s="124"/>
      <c r="G35" s="124" t="s">
        <v>11</v>
      </c>
      <c r="H35" s="124"/>
      <c r="I35" s="124"/>
      <c r="J35" s="124" t="s">
        <v>10</v>
      </c>
      <c r="K35" s="124"/>
      <c r="L35" s="124"/>
      <c r="M35" s="124"/>
      <c r="N35" s="124" t="s">
        <v>11</v>
      </c>
      <c r="O35" s="124"/>
      <c r="P35" s="124"/>
    </row>
    <row r="36" spans="1:16" ht="15" customHeight="1">
      <c r="A36" s="124"/>
      <c r="B36" s="127"/>
      <c r="C36" s="124" t="s">
        <v>152</v>
      </c>
      <c r="D36" s="124"/>
      <c r="E36" s="124" t="s">
        <v>7</v>
      </c>
      <c r="F36" s="124"/>
      <c r="G36" s="124"/>
      <c r="H36" s="124"/>
      <c r="I36" s="124"/>
      <c r="J36" s="124" t="s">
        <v>6</v>
      </c>
      <c r="K36" s="124"/>
      <c r="L36" s="124" t="s">
        <v>7</v>
      </c>
      <c r="M36" s="124"/>
      <c r="N36" s="124"/>
      <c r="O36" s="124"/>
      <c r="P36" s="124"/>
    </row>
    <row r="37" spans="1:16" ht="45.75" customHeight="1">
      <c r="A37" s="124"/>
      <c r="B37" s="127"/>
      <c r="C37" s="106" t="s">
        <v>8</v>
      </c>
      <c r="D37" s="106" t="s">
        <v>9</v>
      </c>
      <c r="E37" s="106" t="s">
        <v>8</v>
      </c>
      <c r="F37" s="106" t="s">
        <v>9</v>
      </c>
      <c r="G37" s="106" t="s">
        <v>8</v>
      </c>
      <c r="H37" s="106" t="s">
        <v>9</v>
      </c>
      <c r="I37" s="124"/>
      <c r="J37" s="106" t="s">
        <v>8</v>
      </c>
      <c r="K37" s="106" t="s">
        <v>9</v>
      </c>
      <c r="L37" s="106" t="s">
        <v>8</v>
      </c>
      <c r="M37" s="106" t="s">
        <v>9</v>
      </c>
      <c r="N37" s="106" t="s">
        <v>8</v>
      </c>
      <c r="O37" s="106" t="s">
        <v>9</v>
      </c>
      <c r="P37" s="124"/>
    </row>
    <row r="38" spans="1:16" ht="15">
      <c r="A38" s="2">
        <v>1</v>
      </c>
      <c r="B38" s="2">
        <v>2</v>
      </c>
      <c r="C38" s="2">
        <v>3</v>
      </c>
      <c r="D38" s="2">
        <v>4</v>
      </c>
      <c r="E38" s="2">
        <v>5</v>
      </c>
      <c r="F38" s="2">
        <v>6</v>
      </c>
      <c r="G38" s="2">
        <v>7</v>
      </c>
      <c r="H38" s="2">
        <v>8</v>
      </c>
      <c r="I38" s="2">
        <v>9</v>
      </c>
      <c r="J38" s="2">
        <v>10</v>
      </c>
      <c r="K38" s="2">
        <v>11</v>
      </c>
      <c r="L38" s="2">
        <v>12</v>
      </c>
      <c r="M38" s="2">
        <v>13</v>
      </c>
      <c r="N38" s="2">
        <v>14</v>
      </c>
      <c r="O38" s="2">
        <v>15</v>
      </c>
      <c r="P38" s="2">
        <v>16</v>
      </c>
    </row>
    <row r="39" spans="1:16" ht="15">
      <c r="A39" s="129" t="s">
        <v>48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</row>
    <row r="40" spans="1:16" ht="17.25" customHeight="1">
      <c r="A40" s="15" t="s">
        <v>49</v>
      </c>
      <c r="B40" s="11">
        <f>C40+D40+E40+F40+G40+H40</f>
        <v>0</v>
      </c>
      <c r="C40" s="11"/>
      <c r="D40" s="11"/>
      <c r="E40" s="11"/>
      <c r="F40" s="11"/>
      <c r="G40" s="11"/>
      <c r="H40" s="11"/>
      <c r="I40" s="11">
        <f aca="true" t="shared" si="0" ref="I40:I51">J40+K40+L40+M40+N40+O40</f>
        <v>0</v>
      </c>
      <c r="J40" s="11"/>
      <c r="K40" s="11"/>
      <c r="L40" s="11"/>
      <c r="M40" s="11"/>
      <c r="N40" s="11"/>
      <c r="O40" s="11"/>
      <c r="P40" s="17"/>
    </row>
    <row r="41" spans="1:16" ht="30.75" customHeight="1">
      <c r="A41" s="6" t="s">
        <v>50</v>
      </c>
      <c r="B41" s="10">
        <f aca="true" t="shared" si="1" ref="B41:B57">C41+D41+E41+F41+G41+H41</f>
        <v>195080.9</v>
      </c>
      <c r="C41" s="10">
        <f>194247.7+670.3</f>
        <v>194918</v>
      </c>
      <c r="D41" s="10"/>
      <c r="E41" s="10"/>
      <c r="F41" s="10"/>
      <c r="G41" s="10">
        <f>176.4-13.5</f>
        <v>162.9</v>
      </c>
      <c r="H41" s="10"/>
      <c r="I41" s="10">
        <f t="shared" si="0"/>
        <v>194944.9</v>
      </c>
      <c r="J41" s="10">
        <v>194861.8</v>
      </c>
      <c r="K41" s="10"/>
      <c r="L41" s="10"/>
      <c r="M41" s="10"/>
      <c r="N41" s="10">
        <v>83.1</v>
      </c>
      <c r="O41" s="10"/>
      <c r="P41" s="6"/>
    </row>
    <row r="42" spans="1:16" ht="30.75" customHeight="1">
      <c r="A42" s="6" t="s">
        <v>51</v>
      </c>
      <c r="B42" s="10">
        <f t="shared" si="1"/>
        <v>19619.6</v>
      </c>
      <c r="C42" s="10">
        <f>16113.7-3000-3633.7</f>
        <v>9480</v>
      </c>
      <c r="D42" s="10">
        <f>16325.7-6186.1</f>
        <v>10139.6</v>
      </c>
      <c r="E42" s="10"/>
      <c r="F42" s="10"/>
      <c r="G42" s="10"/>
      <c r="H42" s="10"/>
      <c r="I42" s="10">
        <f t="shared" si="0"/>
        <v>17506.7</v>
      </c>
      <c r="J42" s="43">
        <v>8648.5</v>
      </c>
      <c r="K42" s="10">
        <v>8858.2</v>
      </c>
      <c r="L42" s="10"/>
      <c r="M42" s="10"/>
      <c r="N42" s="10"/>
      <c r="O42" s="10"/>
      <c r="P42" s="6"/>
    </row>
    <row r="43" spans="1:16" ht="30.75" customHeight="1">
      <c r="A43" s="6" t="s">
        <v>52</v>
      </c>
      <c r="B43" s="10">
        <f t="shared" si="1"/>
        <v>32966</v>
      </c>
      <c r="C43" s="10">
        <f>36409.7-3609.7</f>
        <v>32800</v>
      </c>
      <c r="D43" s="10"/>
      <c r="E43" s="10">
        <v>166</v>
      </c>
      <c r="F43" s="10"/>
      <c r="G43" s="10"/>
      <c r="H43" s="10"/>
      <c r="I43" s="39">
        <f>J43+K43+L43+M43+N43+O43</f>
        <v>26753.5</v>
      </c>
      <c r="J43" s="39">
        <v>26753.5</v>
      </c>
      <c r="K43" s="10"/>
      <c r="L43" s="10"/>
      <c r="M43" s="10"/>
      <c r="N43" s="10"/>
      <c r="O43" s="10"/>
      <c r="P43" s="6"/>
    </row>
    <row r="44" spans="1:16" ht="27" customHeight="1">
      <c r="A44" s="5" t="s">
        <v>53</v>
      </c>
      <c r="B44" s="10">
        <f t="shared" si="1"/>
        <v>503.6</v>
      </c>
      <c r="C44" s="10">
        <v>503.6</v>
      </c>
      <c r="D44" s="10"/>
      <c r="E44" s="10"/>
      <c r="F44" s="10"/>
      <c r="G44" s="10"/>
      <c r="H44" s="10"/>
      <c r="I44" s="10">
        <f t="shared" si="0"/>
        <v>503.6</v>
      </c>
      <c r="J44" s="10">
        <v>503.6</v>
      </c>
      <c r="K44" s="10"/>
      <c r="L44" s="10"/>
      <c r="M44" s="10"/>
      <c r="N44" s="10"/>
      <c r="O44" s="10"/>
      <c r="P44" s="6"/>
    </row>
    <row r="45" spans="1:16" ht="30.75" customHeight="1">
      <c r="A45" s="6" t="s">
        <v>54</v>
      </c>
      <c r="B45" s="10">
        <f t="shared" si="1"/>
        <v>1728.6</v>
      </c>
      <c r="C45" s="10"/>
      <c r="D45" s="10">
        <v>1600</v>
      </c>
      <c r="E45" s="10"/>
      <c r="F45" s="10">
        <v>48</v>
      </c>
      <c r="G45" s="10"/>
      <c r="H45" s="10">
        <f>88.2-7.6</f>
        <v>80.60000000000001</v>
      </c>
      <c r="I45" s="10">
        <f t="shared" si="0"/>
        <v>981.2</v>
      </c>
      <c r="J45" s="10"/>
      <c r="K45" s="10">
        <v>900.6</v>
      </c>
      <c r="L45" s="10"/>
      <c r="M45" s="10"/>
      <c r="N45" s="10"/>
      <c r="O45" s="10">
        <v>80.6</v>
      </c>
      <c r="P45" s="6"/>
    </row>
    <row r="46" spans="1:16" ht="30.75" customHeight="1">
      <c r="A46" s="6" t="s">
        <v>55</v>
      </c>
      <c r="B46" s="10">
        <f t="shared" si="1"/>
        <v>0</v>
      </c>
      <c r="C46" s="10"/>
      <c r="D46" s="10">
        <f>6000-6000</f>
        <v>0</v>
      </c>
      <c r="E46" s="10"/>
      <c r="F46" s="10"/>
      <c r="G46" s="10"/>
      <c r="H46" s="10"/>
      <c r="I46" s="10">
        <f t="shared" si="0"/>
        <v>0</v>
      </c>
      <c r="J46" s="10"/>
      <c r="K46" s="10"/>
      <c r="L46" s="10"/>
      <c r="M46" s="10"/>
      <c r="N46" s="10"/>
      <c r="O46" s="10"/>
      <c r="P46" s="6"/>
    </row>
    <row r="47" spans="1:16" ht="30.75" customHeight="1">
      <c r="A47" s="6" t="s">
        <v>56</v>
      </c>
      <c r="B47" s="10">
        <f t="shared" si="1"/>
        <v>0</v>
      </c>
      <c r="C47" s="10"/>
      <c r="D47" s="10">
        <f>700-700</f>
        <v>0</v>
      </c>
      <c r="E47" s="10"/>
      <c r="F47" s="10"/>
      <c r="G47" s="10"/>
      <c r="H47" s="10"/>
      <c r="I47" s="10">
        <f t="shared" si="0"/>
        <v>0</v>
      </c>
      <c r="J47" s="10"/>
      <c r="K47" s="10"/>
      <c r="L47" s="10"/>
      <c r="M47" s="10"/>
      <c r="N47" s="10"/>
      <c r="O47" s="10"/>
      <c r="P47" s="6"/>
    </row>
    <row r="48" spans="1:16" ht="39.75" customHeight="1">
      <c r="A48" s="15" t="s">
        <v>57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58"/>
    </row>
    <row r="49" spans="1:16" ht="40.5" customHeight="1">
      <c r="A49" s="6" t="s">
        <v>65</v>
      </c>
      <c r="B49" s="10">
        <f t="shared" si="1"/>
        <v>0</v>
      </c>
      <c r="C49" s="10">
        <v>0</v>
      </c>
      <c r="D49" s="10"/>
      <c r="E49" s="10"/>
      <c r="F49" s="10"/>
      <c r="G49" s="10"/>
      <c r="H49" s="10"/>
      <c r="I49" s="10">
        <f t="shared" si="0"/>
        <v>0</v>
      </c>
      <c r="J49" s="10"/>
      <c r="K49" s="10"/>
      <c r="L49" s="10"/>
      <c r="M49" s="10"/>
      <c r="N49" s="10"/>
      <c r="O49" s="10"/>
      <c r="P49" s="6"/>
    </row>
    <row r="50" spans="1:16" ht="49.5" customHeight="1">
      <c r="A50" s="18" t="s">
        <v>58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58"/>
    </row>
    <row r="51" spans="1:16" ht="66" customHeight="1">
      <c r="A51" s="57" t="s">
        <v>59</v>
      </c>
      <c r="B51" s="10">
        <f t="shared" si="1"/>
        <v>0</v>
      </c>
      <c r="C51" s="10">
        <v>0</v>
      </c>
      <c r="D51" s="10"/>
      <c r="E51" s="10"/>
      <c r="F51" s="10"/>
      <c r="G51" s="10"/>
      <c r="H51" s="10"/>
      <c r="I51" s="10">
        <f t="shared" si="0"/>
        <v>0</v>
      </c>
      <c r="J51" s="10"/>
      <c r="K51" s="10"/>
      <c r="L51" s="10"/>
      <c r="M51" s="10"/>
      <c r="N51" s="10"/>
      <c r="O51" s="10"/>
      <c r="P51" s="6"/>
    </row>
    <row r="52" spans="1:16" ht="24.75" customHeight="1">
      <c r="A52" s="20" t="s">
        <v>182</v>
      </c>
      <c r="B52" s="11">
        <f>C52+D52+E52+F52+G52+H52</f>
        <v>0</v>
      </c>
      <c r="C52" s="11"/>
      <c r="D52" s="11"/>
      <c r="E52" s="11"/>
      <c r="F52" s="11"/>
      <c r="G52" s="11"/>
      <c r="H52" s="11"/>
      <c r="I52" s="11">
        <f>J52+K52+L52+M52+N52+O52</f>
        <v>0</v>
      </c>
      <c r="J52" s="11"/>
      <c r="K52" s="11"/>
      <c r="L52" s="11"/>
      <c r="M52" s="11"/>
      <c r="N52" s="11"/>
      <c r="O52" s="11"/>
      <c r="P52" s="58"/>
    </row>
    <row r="53" spans="1:16" ht="55.5" customHeight="1">
      <c r="A53" s="6" t="s">
        <v>61</v>
      </c>
      <c r="B53" s="10">
        <f>C53+D53+E53+F53+G53+H53</f>
        <v>0</v>
      </c>
      <c r="C53" s="10"/>
      <c r="D53" s="10"/>
      <c r="E53" s="10"/>
      <c r="F53" s="10"/>
      <c r="G53" s="10"/>
      <c r="H53" s="10"/>
      <c r="I53" s="10">
        <f>J53+K53+L53+M53+N53+O53</f>
        <v>0</v>
      </c>
      <c r="J53" s="10"/>
      <c r="K53" s="10"/>
      <c r="L53" s="10"/>
      <c r="M53" s="10"/>
      <c r="N53" s="10"/>
      <c r="O53" s="10"/>
      <c r="P53" s="6"/>
    </row>
    <row r="54" spans="1:16" ht="31.5" customHeight="1">
      <c r="A54" s="6" t="s">
        <v>62</v>
      </c>
      <c r="B54" s="10">
        <f>C54+D54+E54+F54+G54+H54</f>
        <v>0</v>
      </c>
      <c r="C54" s="10"/>
      <c r="D54" s="10"/>
      <c r="E54" s="10"/>
      <c r="F54" s="10"/>
      <c r="G54" s="10"/>
      <c r="H54" s="10"/>
      <c r="I54" s="10">
        <f>J54+K54+L54+M54+N54+O54</f>
        <v>0</v>
      </c>
      <c r="J54" s="10"/>
      <c r="K54" s="10"/>
      <c r="L54" s="10"/>
      <c r="M54" s="10"/>
      <c r="N54" s="10"/>
      <c r="O54" s="10"/>
      <c r="P54" s="6"/>
    </row>
    <row r="55" spans="1:16" ht="45" customHeight="1">
      <c r="A55" s="6" t="s">
        <v>63</v>
      </c>
      <c r="B55" s="10">
        <f t="shared" si="1"/>
        <v>0</v>
      </c>
      <c r="C55" s="10"/>
      <c r="D55" s="10"/>
      <c r="E55" s="10"/>
      <c r="F55" s="10"/>
      <c r="G55" s="10"/>
      <c r="H55" s="10"/>
      <c r="I55" s="10">
        <f>J55+K55+L55+M55+N55+O55</f>
        <v>0</v>
      </c>
      <c r="J55" s="10"/>
      <c r="K55" s="10"/>
      <c r="L55" s="10"/>
      <c r="M55" s="10"/>
      <c r="N55" s="10"/>
      <c r="O55" s="10"/>
      <c r="P55" s="55"/>
    </row>
    <row r="56" spans="1:16" ht="59.25" customHeight="1">
      <c r="A56" s="6" t="s">
        <v>64</v>
      </c>
      <c r="B56" s="10">
        <f t="shared" si="1"/>
        <v>0</v>
      </c>
      <c r="C56" s="10"/>
      <c r="D56" s="10"/>
      <c r="E56" s="10"/>
      <c r="F56" s="10"/>
      <c r="G56" s="10"/>
      <c r="H56" s="10"/>
      <c r="I56" s="10">
        <f>J56+K56+L56+M56+N56+O56</f>
        <v>0</v>
      </c>
      <c r="J56" s="10"/>
      <c r="K56" s="10"/>
      <c r="L56" s="10"/>
      <c r="M56" s="10"/>
      <c r="N56" s="10"/>
      <c r="O56" s="10"/>
      <c r="P56" s="6"/>
    </row>
    <row r="57" spans="1:18" ht="15">
      <c r="A57" s="25" t="s">
        <v>12</v>
      </c>
      <c r="B57" s="27">
        <f t="shared" si="1"/>
        <v>249898.7</v>
      </c>
      <c r="C57" s="27">
        <f aca="true" t="shared" si="2" ref="C57:O57">SUM(C40:C56)</f>
        <v>237701.6</v>
      </c>
      <c r="D57" s="27">
        <f t="shared" si="2"/>
        <v>11739.6</v>
      </c>
      <c r="E57" s="27">
        <f t="shared" si="2"/>
        <v>166</v>
      </c>
      <c r="F57" s="27">
        <f t="shared" si="2"/>
        <v>48</v>
      </c>
      <c r="G57" s="27">
        <f t="shared" si="2"/>
        <v>162.9</v>
      </c>
      <c r="H57" s="27">
        <f t="shared" si="2"/>
        <v>80.60000000000001</v>
      </c>
      <c r="I57" s="27">
        <f t="shared" si="2"/>
        <v>240689.90000000002</v>
      </c>
      <c r="J57" s="27">
        <f t="shared" si="2"/>
        <v>230767.4</v>
      </c>
      <c r="K57" s="27">
        <f t="shared" si="2"/>
        <v>9758.800000000001</v>
      </c>
      <c r="L57" s="27">
        <f t="shared" si="2"/>
        <v>0</v>
      </c>
      <c r="M57" s="27">
        <f t="shared" si="2"/>
        <v>0</v>
      </c>
      <c r="N57" s="27">
        <f t="shared" si="2"/>
        <v>83.1</v>
      </c>
      <c r="O57" s="27">
        <f t="shared" si="2"/>
        <v>80.6</v>
      </c>
      <c r="P57" s="36">
        <f>I57/B57*100</f>
        <v>96.3149868326646</v>
      </c>
      <c r="Q57" s="86">
        <f>C57+E57+G57</f>
        <v>238030.5</v>
      </c>
      <c r="R57" s="86">
        <f>D57+F57+H57</f>
        <v>11868.2</v>
      </c>
    </row>
    <row r="58" spans="1:16" ht="15.75">
      <c r="A58" s="128" t="s">
        <v>66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</row>
    <row r="59" spans="1:16" ht="21" customHeight="1">
      <c r="A59" s="15" t="s">
        <v>67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30.75" customHeight="1">
      <c r="A60" s="73" t="s">
        <v>68</v>
      </c>
      <c r="B60" s="39">
        <f aca="true" t="shared" si="3" ref="B60:B73">C60+D60+E60+F60+G60+H60</f>
        <v>468010.30000000005</v>
      </c>
      <c r="C60" s="39">
        <f>120282.7-10282.7</f>
        <v>110000</v>
      </c>
      <c r="D60" s="39">
        <v>2100</v>
      </c>
      <c r="E60" s="40"/>
      <c r="F60" s="40"/>
      <c r="G60" s="39">
        <f>338122.7+2067+2738.9+9026.7+3973.7-18.7</f>
        <v>355910.30000000005</v>
      </c>
      <c r="H60" s="40"/>
      <c r="I60" s="10">
        <v>465180.4</v>
      </c>
      <c r="J60" s="10">
        <v>109129.8</v>
      </c>
      <c r="K60" s="8">
        <v>1444.6</v>
      </c>
      <c r="L60" s="8"/>
      <c r="M60" s="8"/>
      <c r="N60" s="10">
        <f>I60-J60-K60</f>
        <v>354606.00000000006</v>
      </c>
      <c r="O60" s="8"/>
      <c r="P60" s="60"/>
    </row>
    <row r="61" spans="1:16" ht="41.25" customHeight="1">
      <c r="A61" s="73" t="s">
        <v>183</v>
      </c>
      <c r="B61" s="39">
        <f>C61+D61+E61+F61+G61+H61</f>
        <v>1605</v>
      </c>
      <c r="C61" s="39"/>
      <c r="D61" s="40"/>
      <c r="E61" s="40"/>
      <c r="F61" s="40"/>
      <c r="G61" s="39">
        <f>1396.3+208.7</f>
        <v>1605</v>
      </c>
      <c r="H61" s="40"/>
      <c r="I61" s="10">
        <f>J61+K61+L61+M61+N61+O61</f>
        <v>834.7</v>
      </c>
      <c r="J61" s="10"/>
      <c r="K61" s="8"/>
      <c r="L61" s="8"/>
      <c r="M61" s="8"/>
      <c r="N61" s="8">
        <v>834.7</v>
      </c>
      <c r="O61" s="8"/>
      <c r="P61" s="60"/>
    </row>
    <row r="62" spans="1:16" ht="44.25" customHeight="1">
      <c r="A62" s="73" t="s">
        <v>184</v>
      </c>
      <c r="B62" s="39">
        <f>C62+D62+E62+F62+G62+H62</f>
        <v>18876.299999999996</v>
      </c>
      <c r="C62" s="39">
        <f>19570.1-6770.1-2600</f>
        <v>10199.999999999998</v>
      </c>
      <c r="D62" s="40">
        <f>26675-17998.7</f>
        <v>8676.3</v>
      </c>
      <c r="E62" s="40"/>
      <c r="F62" s="40"/>
      <c r="G62" s="40"/>
      <c r="H62" s="40"/>
      <c r="I62" s="10">
        <f>J62+K62+L62+M62+N62+O62</f>
        <v>16728.699999999997</v>
      </c>
      <c r="J62" s="43">
        <v>9437.3</v>
      </c>
      <c r="K62" s="8">
        <v>7291.4</v>
      </c>
      <c r="L62" s="8"/>
      <c r="M62" s="8"/>
      <c r="N62" s="8"/>
      <c r="O62" s="8"/>
      <c r="P62" s="60"/>
    </row>
    <row r="63" spans="1:16" ht="27.75" customHeight="1">
      <c r="A63" s="48" t="s">
        <v>71</v>
      </c>
      <c r="B63" s="39">
        <f>C63+D63+E63+F63+G63+H63</f>
        <v>68906.6</v>
      </c>
      <c r="C63" s="39">
        <f>59580.5+419.5</f>
        <v>60000</v>
      </c>
      <c r="D63" s="40">
        <v>148</v>
      </c>
      <c r="E63" s="40">
        <v>106.7</v>
      </c>
      <c r="F63" s="40"/>
      <c r="G63" s="39">
        <f>5846+150.6-1214.5+182.3-101.8+3703.1+37.2+49</f>
        <v>8651.900000000001</v>
      </c>
      <c r="H63" s="40"/>
      <c r="I63" s="10">
        <f>J63+K63+L63+M63+N63+O63</f>
        <v>56661.500000000015</v>
      </c>
      <c r="J63" s="10">
        <f>58374.4-O63-J64-N63-834.7</f>
        <v>48013.70000000001</v>
      </c>
      <c r="K63" s="8"/>
      <c r="L63" s="8"/>
      <c r="M63" s="8"/>
      <c r="N63" s="8">
        <v>8647.8</v>
      </c>
      <c r="O63" s="8"/>
      <c r="P63" s="60"/>
    </row>
    <row r="64" spans="1:16" ht="20.25" customHeight="1">
      <c r="A64" s="74" t="s">
        <v>72</v>
      </c>
      <c r="B64" s="39">
        <f>C64+D64+E64+F64+G64+H64</f>
        <v>878.2</v>
      </c>
      <c r="C64" s="39">
        <v>878.2</v>
      </c>
      <c r="D64" s="40"/>
      <c r="E64" s="40"/>
      <c r="F64" s="40"/>
      <c r="G64" s="40"/>
      <c r="H64" s="40"/>
      <c r="I64" s="10">
        <f>J64+K64+L64+M64+N64+O64</f>
        <v>878.2</v>
      </c>
      <c r="J64" s="10">
        <v>878.2</v>
      </c>
      <c r="K64" s="8"/>
      <c r="L64" s="8"/>
      <c r="M64" s="8"/>
      <c r="N64" s="8"/>
      <c r="O64" s="8"/>
      <c r="P64" s="60"/>
    </row>
    <row r="65" spans="1:16" ht="30.75" customHeight="1">
      <c r="A65" s="73" t="s">
        <v>73</v>
      </c>
      <c r="B65" s="39">
        <f>C65+D65+E65+F65+G65+H65</f>
        <v>5949</v>
      </c>
      <c r="C65" s="39"/>
      <c r="D65" s="39">
        <f>3000+200+200+400</f>
        <v>3800</v>
      </c>
      <c r="E65" s="39"/>
      <c r="F65" s="39">
        <v>35</v>
      </c>
      <c r="G65" s="39"/>
      <c r="H65" s="39">
        <f>742.6+663.4-21.3+621.9+101.8+9.1+33.6-37.1</f>
        <v>2114</v>
      </c>
      <c r="I65" s="10">
        <f>J65+K65+L65+M65+N65+O65</f>
        <v>4534.9</v>
      </c>
      <c r="J65" s="10"/>
      <c r="K65" s="8">
        <v>2427.7</v>
      </c>
      <c r="L65" s="8"/>
      <c r="M65" s="8"/>
      <c r="N65" s="8"/>
      <c r="O65" s="8">
        <f>661.3+1445.9</f>
        <v>2107.2</v>
      </c>
      <c r="P65" s="60"/>
    </row>
    <row r="66" spans="1:16" ht="21.75" customHeight="1">
      <c r="A66" s="75" t="s">
        <v>74</v>
      </c>
      <c r="B66" s="39">
        <f t="shared" si="3"/>
        <v>0</v>
      </c>
      <c r="C66" s="39"/>
      <c r="D66" s="39">
        <f>12572.6-12572.6</f>
        <v>0</v>
      </c>
      <c r="E66" s="39"/>
      <c r="F66" s="39"/>
      <c r="G66" s="39"/>
      <c r="H66" s="39"/>
      <c r="I66" s="10">
        <f aca="true" t="shared" si="4" ref="I66:I73">J66+K66+L66+M66+N66+O66</f>
        <v>0</v>
      </c>
      <c r="J66" s="8"/>
      <c r="K66" s="8"/>
      <c r="L66" s="8"/>
      <c r="M66" s="8"/>
      <c r="N66" s="8"/>
      <c r="O66" s="8"/>
      <c r="P66" s="60"/>
    </row>
    <row r="67" spans="1:16" ht="30.75" customHeight="1">
      <c r="A67" s="48" t="s">
        <v>75</v>
      </c>
      <c r="B67" s="39">
        <f t="shared" si="3"/>
        <v>0</v>
      </c>
      <c r="C67" s="39"/>
      <c r="D67" s="39">
        <f>5517.4-5517.4</f>
        <v>0</v>
      </c>
      <c r="E67" s="40"/>
      <c r="F67" s="40"/>
      <c r="G67" s="40"/>
      <c r="H67" s="40"/>
      <c r="I67" s="10">
        <f t="shared" si="4"/>
        <v>0</v>
      </c>
      <c r="J67" s="8"/>
      <c r="K67" s="3"/>
      <c r="L67" s="3"/>
      <c r="M67" s="3"/>
      <c r="N67" s="3"/>
      <c r="O67" s="3"/>
      <c r="P67" s="6"/>
    </row>
    <row r="68" spans="1:16" ht="42" customHeight="1">
      <c r="A68" s="15" t="s">
        <v>57</v>
      </c>
      <c r="B68" s="12"/>
      <c r="C68" s="12"/>
      <c r="D68" s="17"/>
      <c r="E68" s="17"/>
      <c r="F68" s="17"/>
      <c r="G68" s="17"/>
      <c r="H68" s="17"/>
      <c r="I68" s="12"/>
      <c r="J68" s="17"/>
      <c r="K68" s="17"/>
      <c r="L68" s="17"/>
      <c r="M68" s="17"/>
      <c r="N68" s="17"/>
      <c r="O68" s="17"/>
      <c r="P68" s="17"/>
    </row>
    <row r="69" spans="1:16" ht="42.75" customHeight="1">
      <c r="A69" s="6" t="s">
        <v>76</v>
      </c>
      <c r="B69" s="10">
        <f t="shared" si="3"/>
        <v>0</v>
      </c>
      <c r="C69" s="10">
        <v>0</v>
      </c>
      <c r="D69" s="8"/>
      <c r="E69" s="8"/>
      <c r="F69" s="8"/>
      <c r="G69" s="8"/>
      <c r="H69" s="8"/>
      <c r="I69" s="10">
        <f t="shared" si="4"/>
        <v>0</v>
      </c>
      <c r="J69" s="8"/>
      <c r="K69" s="8"/>
      <c r="L69" s="8"/>
      <c r="M69" s="8"/>
      <c r="N69" s="8"/>
      <c r="O69" s="8"/>
      <c r="P69" s="60"/>
    </row>
    <row r="70" spans="1:16" ht="51" customHeight="1">
      <c r="A70" s="15" t="s">
        <v>77</v>
      </c>
      <c r="B70" s="11">
        <f t="shared" si="3"/>
        <v>0</v>
      </c>
      <c r="C70" s="12"/>
      <c r="D70" s="17"/>
      <c r="E70" s="17"/>
      <c r="F70" s="17"/>
      <c r="G70" s="17"/>
      <c r="H70" s="17"/>
      <c r="I70" s="11">
        <f t="shared" si="4"/>
        <v>0</v>
      </c>
      <c r="J70" s="17"/>
      <c r="K70" s="17"/>
      <c r="L70" s="17"/>
      <c r="M70" s="17"/>
      <c r="N70" s="17"/>
      <c r="O70" s="17"/>
      <c r="P70" s="62"/>
    </row>
    <row r="71" spans="1:16" ht="68.25" customHeight="1">
      <c r="A71" s="6" t="s">
        <v>185</v>
      </c>
      <c r="B71" s="10">
        <f t="shared" si="3"/>
        <v>0</v>
      </c>
      <c r="C71" s="10">
        <v>0</v>
      </c>
      <c r="D71" s="8"/>
      <c r="E71" s="8"/>
      <c r="F71" s="8"/>
      <c r="G71" s="8"/>
      <c r="H71" s="8"/>
      <c r="I71" s="10">
        <f t="shared" si="4"/>
        <v>0</v>
      </c>
      <c r="J71" s="8"/>
      <c r="K71" s="8"/>
      <c r="L71" s="8"/>
      <c r="M71" s="8"/>
      <c r="N71" s="8"/>
      <c r="O71" s="8"/>
      <c r="P71" s="60"/>
    </row>
    <row r="72" spans="1:16" ht="50.25" customHeight="1">
      <c r="A72" s="61" t="s">
        <v>80</v>
      </c>
      <c r="B72" s="11"/>
      <c r="C72" s="12"/>
      <c r="D72" s="17"/>
      <c r="E72" s="17"/>
      <c r="F72" s="17"/>
      <c r="G72" s="17"/>
      <c r="H72" s="17"/>
      <c r="I72" s="11"/>
      <c r="J72" s="17"/>
      <c r="K72" s="17"/>
      <c r="L72" s="17"/>
      <c r="M72" s="17"/>
      <c r="N72" s="17"/>
      <c r="O72" s="17"/>
      <c r="P72" s="58"/>
    </row>
    <row r="73" spans="1:16" ht="28.5">
      <c r="A73" s="63" t="s">
        <v>186</v>
      </c>
      <c r="B73" s="10">
        <f t="shared" si="3"/>
        <v>0</v>
      </c>
      <c r="C73" s="10">
        <v>0</v>
      </c>
      <c r="D73" s="10"/>
      <c r="E73" s="10"/>
      <c r="F73" s="10"/>
      <c r="G73" s="10"/>
      <c r="H73" s="10"/>
      <c r="I73" s="10">
        <f t="shared" si="4"/>
        <v>0</v>
      </c>
      <c r="J73" s="10"/>
      <c r="K73" s="10"/>
      <c r="L73" s="10"/>
      <c r="M73" s="10"/>
      <c r="N73" s="10"/>
      <c r="O73" s="10"/>
      <c r="P73" s="60"/>
    </row>
    <row r="74" spans="1:16" ht="38.25">
      <c r="A74" s="65" t="s">
        <v>81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64"/>
    </row>
    <row r="75" spans="1:16" ht="38.25">
      <c r="A75" s="7" t="s">
        <v>82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60"/>
    </row>
    <row r="76" spans="1:16" ht="26.25">
      <c r="A76" s="6" t="s">
        <v>83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60"/>
    </row>
    <row r="77" spans="1:16" ht="31.5" customHeight="1">
      <c r="A77" s="6" t="s">
        <v>84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60"/>
    </row>
    <row r="78" spans="1:16" ht="26.25">
      <c r="A78" s="6" t="s">
        <v>85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60"/>
    </row>
    <row r="79" spans="1:18" ht="20.25" customHeight="1">
      <c r="A79" s="25" t="s">
        <v>13</v>
      </c>
      <c r="B79" s="27">
        <f>C79+D79+E79+F79+G79+H79</f>
        <v>564225.4000000001</v>
      </c>
      <c r="C79" s="27">
        <f aca="true" t="shared" si="5" ref="C79:O79">SUM(C60:C73)</f>
        <v>181078.2</v>
      </c>
      <c r="D79" s="26">
        <f t="shared" si="5"/>
        <v>14724.3</v>
      </c>
      <c r="E79" s="27">
        <f t="shared" si="5"/>
        <v>106.7</v>
      </c>
      <c r="F79" s="27">
        <f t="shared" si="5"/>
        <v>35</v>
      </c>
      <c r="G79" s="27">
        <f t="shared" si="5"/>
        <v>366167.20000000007</v>
      </c>
      <c r="H79" s="26">
        <f t="shared" si="5"/>
        <v>2114</v>
      </c>
      <c r="I79" s="26">
        <f t="shared" si="5"/>
        <v>544818.4</v>
      </c>
      <c r="J79" s="26">
        <f t="shared" si="5"/>
        <v>167459.00000000003</v>
      </c>
      <c r="K79" s="26">
        <f t="shared" si="5"/>
        <v>11163.7</v>
      </c>
      <c r="L79" s="26">
        <f t="shared" si="5"/>
        <v>0</v>
      </c>
      <c r="M79" s="26">
        <f t="shared" si="5"/>
        <v>0</v>
      </c>
      <c r="N79" s="26">
        <f t="shared" si="5"/>
        <v>364088.50000000006</v>
      </c>
      <c r="O79" s="26">
        <f t="shared" si="5"/>
        <v>2107.2</v>
      </c>
      <c r="P79" s="36">
        <f>I79/B79*100</f>
        <v>96.5604171666146</v>
      </c>
      <c r="Q79" s="86">
        <f>C79+E79+G79</f>
        <v>547352.1000000001</v>
      </c>
      <c r="R79" s="86">
        <f>D79+F79+H79</f>
        <v>16873.3</v>
      </c>
    </row>
    <row r="80" spans="1:16" ht="15">
      <c r="A80" s="129" t="s">
        <v>86</v>
      </c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</row>
    <row r="81" spans="1:16" ht="25.5">
      <c r="A81" s="21" t="s">
        <v>14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ht="26.25">
      <c r="A82" s="9" t="s">
        <v>87</v>
      </c>
      <c r="B82" s="39">
        <f>C82+D82+E82+F82+G82+H82</f>
        <v>0</v>
      </c>
      <c r="C82" s="39"/>
      <c r="D82" s="39"/>
      <c r="E82" s="39"/>
      <c r="F82" s="39"/>
      <c r="G82" s="39"/>
      <c r="H82" s="39"/>
      <c r="I82" s="39">
        <f>J82+K82+L82+M82+N82+O82</f>
        <v>0</v>
      </c>
      <c r="J82" s="39"/>
      <c r="K82" s="39"/>
      <c r="L82" s="39"/>
      <c r="M82" s="39"/>
      <c r="N82" s="39"/>
      <c r="O82" s="39"/>
      <c r="P82" s="6"/>
    </row>
    <row r="83" spans="1:16" ht="30.75" customHeight="1">
      <c r="A83" s="9" t="s">
        <v>187</v>
      </c>
      <c r="B83" s="39">
        <f>C83+D83+E83+F83+G83+H83</f>
        <v>0</v>
      </c>
      <c r="C83" s="39"/>
      <c r="D83" s="39"/>
      <c r="E83" s="39"/>
      <c r="F83" s="39"/>
      <c r="G83" s="39"/>
      <c r="H83" s="39"/>
      <c r="I83" s="39">
        <f>J83+K83+L83+M83+N83+O83</f>
        <v>0</v>
      </c>
      <c r="J83" s="39"/>
      <c r="K83" s="39"/>
      <c r="L83" s="39"/>
      <c r="M83" s="39"/>
      <c r="N83" s="39"/>
      <c r="O83" s="39"/>
      <c r="P83" s="48"/>
    </row>
    <row r="84" spans="1:16" ht="15">
      <c r="A84" s="25" t="s">
        <v>15</v>
      </c>
      <c r="B84" s="27">
        <f>SUM(B82:B83)</f>
        <v>0</v>
      </c>
      <c r="C84" s="27">
        <f aca="true" t="shared" si="6" ref="C84:O84">SUM(C82:C83)</f>
        <v>0</v>
      </c>
      <c r="D84" s="27">
        <f t="shared" si="6"/>
        <v>0</v>
      </c>
      <c r="E84" s="27">
        <f t="shared" si="6"/>
        <v>0</v>
      </c>
      <c r="F84" s="27">
        <f t="shared" si="6"/>
        <v>0</v>
      </c>
      <c r="G84" s="27">
        <f t="shared" si="6"/>
        <v>0</v>
      </c>
      <c r="H84" s="27">
        <f t="shared" si="6"/>
        <v>0</v>
      </c>
      <c r="I84" s="27">
        <f t="shared" si="6"/>
        <v>0</v>
      </c>
      <c r="J84" s="27">
        <f t="shared" si="6"/>
        <v>0</v>
      </c>
      <c r="K84" s="27">
        <f t="shared" si="6"/>
        <v>0</v>
      </c>
      <c r="L84" s="27">
        <f t="shared" si="6"/>
        <v>0</v>
      </c>
      <c r="M84" s="27">
        <f t="shared" si="6"/>
        <v>0</v>
      </c>
      <c r="N84" s="27">
        <f t="shared" si="6"/>
        <v>0</v>
      </c>
      <c r="O84" s="27">
        <f t="shared" si="6"/>
        <v>0</v>
      </c>
      <c r="P84" s="25"/>
    </row>
    <row r="85" spans="1:16" ht="15.75">
      <c r="A85" s="128" t="s">
        <v>89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</row>
    <row r="86" spans="1:16" ht="26.25">
      <c r="A86" s="67" t="s">
        <v>95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</row>
    <row r="87" spans="1:16" ht="27.75" customHeight="1">
      <c r="A87" s="9" t="s">
        <v>90</v>
      </c>
      <c r="B87" s="10">
        <f aca="true" t="shared" si="7" ref="B87:B93">C87+D87+E87+F87+G87+H87</f>
        <v>13585.2</v>
      </c>
      <c r="C87" s="10">
        <f>1800+2660.1</f>
        <v>4460.1</v>
      </c>
      <c r="D87" s="10"/>
      <c r="E87" s="10"/>
      <c r="F87" s="10"/>
      <c r="G87" s="10">
        <f>6214.3+2891.2+19.6</f>
        <v>9125.1</v>
      </c>
      <c r="H87" s="10"/>
      <c r="I87" s="10">
        <f aca="true" t="shared" si="8" ref="I87:I93">J87+K87+L87+M87+N87+O87</f>
        <v>13529</v>
      </c>
      <c r="J87" s="10">
        <v>4459.9</v>
      </c>
      <c r="K87" s="10"/>
      <c r="L87" s="10"/>
      <c r="M87" s="10"/>
      <c r="N87" s="10">
        <v>9069.1</v>
      </c>
      <c r="O87" s="10"/>
      <c r="P87" s="6"/>
    </row>
    <row r="88" spans="1:16" ht="26.25">
      <c r="A88" s="9" t="s">
        <v>188</v>
      </c>
      <c r="B88" s="10">
        <f t="shared" si="7"/>
        <v>535.6</v>
      </c>
      <c r="C88" s="10">
        <f>362.3+173.3</f>
        <v>535.6</v>
      </c>
      <c r="D88" s="10"/>
      <c r="E88" s="10"/>
      <c r="F88" s="10"/>
      <c r="G88" s="10"/>
      <c r="H88" s="10"/>
      <c r="I88" s="10">
        <f t="shared" si="8"/>
        <v>504.3</v>
      </c>
      <c r="J88" s="10">
        <v>504.3</v>
      </c>
      <c r="K88" s="10"/>
      <c r="L88" s="10"/>
      <c r="M88" s="10"/>
      <c r="N88" s="10"/>
      <c r="O88" s="10"/>
      <c r="P88" s="6"/>
    </row>
    <row r="89" spans="1:16" ht="26.25">
      <c r="A89" s="9" t="s">
        <v>189</v>
      </c>
      <c r="B89" s="10">
        <f t="shared" si="7"/>
        <v>1846.8999999999999</v>
      </c>
      <c r="C89" s="10">
        <f>1226+521.8</f>
        <v>1747.8</v>
      </c>
      <c r="D89" s="10"/>
      <c r="E89" s="10"/>
      <c r="F89" s="10"/>
      <c r="G89" s="10">
        <f>26+73.1</f>
        <v>99.1</v>
      </c>
      <c r="H89" s="10"/>
      <c r="I89" s="10">
        <f t="shared" si="8"/>
        <v>1623.8999999999999</v>
      </c>
      <c r="J89" s="10">
        <f>1529.8-J90</f>
        <v>1524.8999999999999</v>
      </c>
      <c r="K89" s="10"/>
      <c r="L89" s="10"/>
      <c r="M89" s="10"/>
      <c r="N89" s="10">
        <v>99</v>
      </c>
      <c r="O89" s="10"/>
      <c r="P89" s="3"/>
    </row>
    <row r="90" spans="1:16" ht="15">
      <c r="A90" s="59" t="s">
        <v>53</v>
      </c>
      <c r="B90" s="10">
        <f t="shared" si="7"/>
        <v>4.9</v>
      </c>
      <c r="C90" s="10">
        <v>4.9</v>
      </c>
      <c r="D90" s="10"/>
      <c r="E90" s="10"/>
      <c r="F90" s="10"/>
      <c r="G90" s="10"/>
      <c r="H90" s="10"/>
      <c r="I90" s="10">
        <f t="shared" si="8"/>
        <v>4.9</v>
      </c>
      <c r="J90" s="10">
        <v>4.9</v>
      </c>
      <c r="K90" s="10"/>
      <c r="L90" s="10"/>
      <c r="M90" s="10"/>
      <c r="N90" s="10"/>
      <c r="O90" s="10"/>
      <c r="P90" s="3"/>
    </row>
    <row r="91" spans="1:16" ht="26.25">
      <c r="A91" s="73" t="s">
        <v>54</v>
      </c>
      <c r="B91" s="39">
        <f t="shared" si="7"/>
        <v>252.4</v>
      </c>
      <c r="C91" s="39"/>
      <c r="D91" s="39">
        <f>22+21+188.1</f>
        <v>231.1</v>
      </c>
      <c r="E91" s="10"/>
      <c r="F91" s="10"/>
      <c r="G91" s="10"/>
      <c r="H91" s="10">
        <v>21.3</v>
      </c>
      <c r="I91" s="10">
        <f t="shared" si="8"/>
        <v>51.3</v>
      </c>
      <c r="J91" s="10"/>
      <c r="K91" s="10">
        <v>30.8</v>
      </c>
      <c r="L91" s="10"/>
      <c r="M91" s="10"/>
      <c r="N91" s="10"/>
      <c r="O91" s="10">
        <v>20.5</v>
      </c>
      <c r="P91" s="3"/>
    </row>
    <row r="92" spans="1:16" ht="15">
      <c r="A92" s="75" t="s">
        <v>93</v>
      </c>
      <c r="B92" s="39">
        <f t="shared" si="7"/>
        <v>0</v>
      </c>
      <c r="C92" s="39"/>
      <c r="D92" s="39">
        <f>150-150</f>
        <v>0</v>
      </c>
      <c r="E92" s="10"/>
      <c r="F92" s="10"/>
      <c r="G92" s="10"/>
      <c r="H92" s="10"/>
      <c r="I92" s="10">
        <f t="shared" si="8"/>
        <v>0</v>
      </c>
      <c r="J92" s="10"/>
      <c r="K92" s="10"/>
      <c r="L92" s="10"/>
      <c r="M92" s="10"/>
      <c r="N92" s="10"/>
      <c r="O92" s="10"/>
      <c r="P92" s="3"/>
    </row>
    <row r="93" spans="1:16" ht="15">
      <c r="A93" s="5" t="s">
        <v>94</v>
      </c>
      <c r="B93" s="10">
        <f t="shared" si="7"/>
        <v>0</v>
      </c>
      <c r="C93" s="10"/>
      <c r="D93" s="10"/>
      <c r="E93" s="10"/>
      <c r="F93" s="10"/>
      <c r="G93" s="10"/>
      <c r="H93" s="10"/>
      <c r="I93" s="10">
        <f t="shared" si="8"/>
        <v>0</v>
      </c>
      <c r="J93" s="10"/>
      <c r="K93" s="10"/>
      <c r="L93" s="10"/>
      <c r="M93" s="10"/>
      <c r="N93" s="10"/>
      <c r="O93" s="10"/>
      <c r="P93" s="3"/>
    </row>
    <row r="94" spans="1:18" ht="15">
      <c r="A94" s="25" t="s">
        <v>17</v>
      </c>
      <c r="B94" s="27">
        <f>SUM(B87:B93)</f>
        <v>16225</v>
      </c>
      <c r="C94" s="27">
        <f aca="true" t="shared" si="9" ref="C94:O94">SUM(C87:C93)</f>
        <v>6748.400000000001</v>
      </c>
      <c r="D94" s="27">
        <f t="shared" si="9"/>
        <v>231.1</v>
      </c>
      <c r="E94" s="27">
        <f t="shared" si="9"/>
        <v>0</v>
      </c>
      <c r="F94" s="27">
        <f t="shared" si="9"/>
        <v>0</v>
      </c>
      <c r="G94" s="27">
        <f t="shared" si="9"/>
        <v>9224.2</v>
      </c>
      <c r="H94" s="27">
        <f t="shared" si="9"/>
        <v>21.3</v>
      </c>
      <c r="I94" s="27">
        <f t="shared" si="9"/>
        <v>15713.399999999998</v>
      </c>
      <c r="J94" s="27">
        <f t="shared" si="9"/>
        <v>6493.999999999999</v>
      </c>
      <c r="K94" s="27">
        <f t="shared" si="9"/>
        <v>30.8</v>
      </c>
      <c r="L94" s="27">
        <f t="shared" si="9"/>
        <v>0</v>
      </c>
      <c r="M94" s="27">
        <f t="shared" si="9"/>
        <v>0</v>
      </c>
      <c r="N94" s="27">
        <f t="shared" si="9"/>
        <v>9168.1</v>
      </c>
      <c r="O94" s="27">
        <f t="shared" si="9"/>
        <v>20.5</v>
      </c>
      <c r="P94" s="36">
        <f>I94/B94*100</f>
        <v>96.84684129429891</v>
      </c>
      <c r="Q94" s="86">
        <f>C94+E94+G94</f>
        <v>15972.600000000002</v>
      </c>
      <c r="R94" s="86">
        <f>D94+F94+H94</f>
        <v>252.4</v>
      </c>
    </row>
    <row r="95" spans="1:16" ht="15.75">
      <c r="A95" s="128" t="s">
        <v>96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</row>
    <row r="96" spans="1:16" ht="15">
      <c r="A96" s="15" t="s">
        <v>97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ht="26.25">
      <c r="A97" s="9" t="s">
        <v>98</v>
      </c>
      <c r="B97" s="39">
        <f aca="true" t="shared" si="10" ref="B97:B102">C97+D97+E97+F97+G97+H97</f>
        <v>24650.1</v>
      </c>
      <c r="C97" s="40">
        <f>25650.1-1000</f>
        <v>24650.1</v>
      </c>
      <c r="D97" s="39"/>
      <c r="E97" s="39"/>
      <c r="F97" s="39"/>
      <c r="G97" s="39"/>
      <c r="H97" s="39"/>
      <c r="I97" s="39">
        <f aca="true" t="shared" si="11" ref="I97:I102">J97+K97+L97+M97+N97+O97</f>
        <v>24004.9</v>
      </c>
      <c r="J97" s="39">
        <v>24004.9</v>
      </c>
      <c r="K97" s="39"/>
      <c r="L97" s="39"/>
      <c r="M97" s="39"/>
      <c r="N97" s="39"/>
      <c r="O97" s="39"/>
      <c r="P97" s="6"/>
    </row>
    <row r="98" spans="1:16" ht="26.25">
      <c r="A98" s="9" t="s">
        <v>190</v>
      </c>
      <c r="B98" s="39">
        <f t="shared" si="10"/>
        <v>4231</v>
      </c>
      <c r="C98" s="40">
        <v>4231</v>
      </c>
      <c r="D98" s="39"/>
      <c r="E98" s="39"/>
      <c r="F98" s="39"/>
      <c r="G98" s="39"/>
      <c r="H98" s="39"/>
      <c r="I98" s="39">
        <f t="shared" si="11"/>
        <v>3212.7000000000003</v>
      </c>
      <c r="J98" s="39">
        <f>3311.9-J99</f>
        <v>3212.7000000000003</v>
      </c>
      <c r="K98" s="39"/>
      <c r="L98" s="39"/>
      <c r="M98" s="39"/>
      <c r="N98" s="39"/>
      <c r="O98" s="39"/>
      <c r="P98" s="6"/>
    </row>
    <row r="99" spans="1:16" ht="15">
      <c r="A99" s="59" t="s">
        <v>100</v>
      </c>
      <c r="B99" s="39">
        <f t="shared" si="10"/>
        <v>99.2</v>
      </c>
      <c r="C99" s="39">
        <v>99.2</v>
      </c>
      <c r="D99" s="39"/>
      <c r="E99" s="39"/>
      <c r="F99" s="39"/>
      <c r="G99" s="39"/>
      <c r="H99" s="39"/>
      <c r="I99" s="39">
        <f t="shared" si="11"/>
        <v>99.2</v>
      </c>
      <c r="J99" s="39">
        <v>99.2</v>
      </c>
      <c r="K99" s="39"/>
      <c r="L99" s="39"/>
      <c r="M99" s="39"/>
      <c r="N99" s="39"/>
      <c r="O99" s="39"/>
      <c r="P99" s="6"/>
    </row>
    <row r="100" spans="1:16" ht="26.25">
      <c r="A100" s="9" t="s">
        <v>101</v>
      </c>
      <c r="B100" s="39">
        <f t="shared" si="10"/>
        <v>226.2</v>
      </c>
      <c r="C100" s="40"/>
      <c r="D100" s="40">
        <v>226.2</v>
      </c>
      <c r="E100" s="39"/>
      <c r="F100" s="39"/>
      <c r="G100" s="39"/>
      <c r="H100" s="39"/>
      <c r="I100" s="39">
        <f t="shared" si="11"/>
        <v>15</v>
      </c>
      <c r="J100" s="39"/>
      <c r="K100" s="39">
        <v>15</v>
      </c>
      <c r="L100" s="39"/>
      <c r="M100" s="39"/>
      <c r="N100" s="39"/>
      <c r="O100" s="39"/>
      <c r="P100" s="6"/>
    </row>
    <row r="101" spans="1:16" ht="15">
      <c r="A101" s="5" t="s">
        <v>102</v>
      </c>
      <c r="B101" s="39">
        <f t="shared" si="10"/>
        <v>0</v>
      </c>
      <c r="C101" s="39"/>
      <c r="D101" s="39">
        <f>600-600</f>
        <v>0</v>
      </c>
      <c r="E101" s="39"/>
      <c r="F101" s="39"/>
      <c r="G101" s="39"/>
      <c r="H101" s="39"/>
      <c r="I101" s="39">
        <f t="shared" si="11"/>
        <v>0</v>
      </c>
      <c r="J101" s="39"/>
      <c r="K101" s="39"/>
      <c r="L101" s="39"/>
      <c r="M101" s="39"/>
      <c r="N101" s="39"/>
      <c r="O101" s="39"/>
      <c r="P101" s="6"/>
    </row>
    <row r="102" spans="1:16" ht="26.25">
      <c r="A102" s="6" t="s">
        <v>103</v>
      </c>
      <c r="B102" s="39">
        <f t="shared" si="10"/>
        <v>0</v>
      </c>
      <c r="C102" s="40"/>
      <c r="D102" s="40">
        <f>500-500</f>
        <v>0</v>
      </c>
      <c r="E102" s="39"/>
      <c r="F102" s="39"/>
      <c r="G102" s="39"/>
      <c r="H102" s="39"/>
      <c r="I102" s="39">
        <f t="shared" si="11"/>
        <v>0</v>
      </c>
      <c r="J102" s="39"/>
      <c r="K102" s="39"/>
      <c r="L102" s="39"/>
      <c r="M102" s="39"/>
      <c r="N102" s="39"/>
      <c r="O102" s="39"/>
      <c r="P102" s="6"/>
    </row>
    <row r="103" spans="1:18" ht="15">
      <c r="A103" s="25" t="s">
        <v>18</v>
      </c>
      <c r="B103" s="27">
        <f aca="true" t="shared" si="12" ref="B103:O103">SUM(B97:B102)</f>
        <v>29206.5</v>
      </c>
      <c r="C103" s="27">
        <f t="shared" si="12"/>
        <v>28980.3</v>
      </c>
      <c r="D103" s="27">
        <f t="shared" si="12"/>
        <v>226.2</v>
      </c>
      <c r="E103" s="27">
        <f t="shared" si="12"/>
        <v>0</v>
      </c>
      <c r="F103" s="27">
        <f t="shared" si="12"/>
        <v>0</v>
      </c>
      <c r="G103" s="27">
        <f t="shared" si="12"/>
        <v>0</v>
      </c>
      <c r="H103" s="27">
        <f t="shared" si="12"/>
        <v>0</v>
      </c>
      <c r="I103" s="27">
        <f t="shared" si="12"/>
        <v>27331.800000000003</v>
      </c>
      <c r="J103" s="27">
        <f t="shared" si="12"/>
        <v>27316.800000000003</v>
      </c>
      <c r="K103" s="27">
        <f t="shared" si="12"/>
        <v>15</v>
      </c>
      <c r="L103" s="27">
        <f t="shared" si="12"/>
        <v>0</v>
      </c>
      <c r="M103" s="27">
        <f t="shared" si="12"/>
        <v>0</v>
      </c>
      <c r="N103" s="27">
        <f t="shared" si="12"/>
        <v>0</v>
      </c>
      <c r="O103" s="27">
        <f t="shared" si="12"/>
        <v>0</v>
      </c>
      <c r="P103" s="36">
        <f>I103/B103*100</f>
        <v>93.5812233578142</v>
      </c>
      <c r="Q103" s="86">
        <f>C103+E103+G103</f>
        <v>28980.3</v>
      </c>
      <c r="R103" s="86">
        <f>D103+F103+H103</f>
        <v>226.2</v>
      </c>
    </row>
    <row r="104" spans="1:16" ht="15.75">
      <c r="A104" s="128" t="s">
        <v>104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</row>
    <row r="105" spans="1:16" ht="30" customHeight="1">
      <c r="A105" s="15" t="s">
        <v>105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ht="64.5">
      <c r="A106" s="6" t="s">
        <v>106</v>
      </c>
      <c r="B106" s="43">
        <f>C106+D106+E106+F106+G106+H106</f>
        <v>3975</v>
      </c>
      <c r="C106" s="43">
        <f>3942+12</f>
        <v>3954</v>
      </c>
      <c r="D106" s="43">
        <v>21</v>
      </c>
      <c r="E106" s="43"/>
      <c r="F106" s="43"/>
      <c r="G106" s="43"/>
      <c r="H106" s="43"/>
      <c r="I106" s="43">
        <f>J106+K106+L106+M106+N106+O106</f>
        <v>3918.1</v>
      </c>
      <c r="J106" s="43">
        <v>3918.1</v>
      </c>
      <c r="K106" s="43"/>
      <c r="L106" s="43"/>
      <c r="M106" s="43"/>
      <c r="N106" s="43"/>
      <c r="O106" s="43"/>
      <c r="P106" s="6"/>
    </row>
    <row r="107" spans="1:16" ht="15">
      <c r="A107" s="25" t="s">
        <v>19</v>
      </c>
      <c r="B107" s="27">
        <f aca="true" t="shared" si="13" ref="B107:O107">SUM(B106:B106)</f>
        <v>3975</v>
      </c>
      <c r="C107" s="27">
        <f t="shared" si="13"/>
        <v>3954</v>
      </c>
      <c r="D107" s="27">
        <f t="shared" si="13"/>
        <v>21</v>
      </c>
      <c r="E107" s="27">
        <f t="shared" si="13"/>
        <v>0</v>
      </c>
      <c r="F107" s="27">
        <f t="shared" si="13"/>
        <v>0</v>
      </c>
      <c r="G107" s="27">
        <f t="shared" si="13"/>
        <v>0</v>
      </c>
      <c r="H107" s="27">
        <f t="shared" si="13"/>
        <v>0</v>
      </c>
      <c r="I107" s="27">
        <f t="shared" si="13"/>
        <v>3918.1</v>
      </c>
      <c r="J107" s="27">
        <f t="shared" si="13"/>
        <v>3918.1</v>
      </c>
      <c r="K107" s="27">
        <f t="shared" si="13"/>
        <v>0</v>
      </c>
      <c r="L107" s="27">
        <f t="shared" si="13"/>
        <v>0</v>
      </c>
      <c r="M107" s="27">
        <f t="shared" si="13"/>
        <v>0</v>
      </c>
      <c r="N107" s="27">
        <f t="shared" si="13"/>
        <v>0</v>
      </c>
      <c r="O107" s="27">
        <f t="shared" si="13"/>
        <v>0</v>
      </c>
      <c r="P107" s="36">
        <f>I107/B107*100</f>
        <v>98.56855345911949</v>
      </c>
    </row>
    <row r="108" spans="1:16" ht="15.75">
      <c r="A108" s="128" t="s">
        <v>107</v>
      </c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</row>
    <row r="109" spans="1:16" ht="26.25">
      <c r="A109" s="15" t="s">
        <v>108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ht="51.75">
      <c r="A110" s="6" t="s">
        <v>109</v>
      </c>
      <c r="B110" s="13">
        <f>C110+D110+E110+F110+G110+H110</f>
        <v>597.3</v>
      </c>
      <c r="C110" s="43">
        <v>573.8</v>
      </c>
      <c r="D110" s="43">
        <v>23.5</v>
      </c>
      <c r="E110" s="13"/>
      <c r="F110" s="13"/>
      <c r="G110" s="13"/>
      <c r="H110" s="13"/>
      <c r="I110" s="13">
        <f>J110+K110+L110+M110+N110+O110</f>
        <v>454.2</v>
      </c>
      <c r="J110" s="13">
        <v>454.2</v>
      </c>
      <c r="K110" s="13"/>
      <c r="L110" s="13"/>
      <c r="M110" s="13"/>
      <c r="N110" s="13"/>
      <c r="O110" s="13"/>
      <c r="P110" s="8"/>
    </row>
    <row r="111" spans="1:18" ht="15">
      <c r="A111" s="25" t="s">
        <v>20</v>
      </c>
      <c r="B111" s="27">
        <f aca="true" t="shared" si="14" ref="B111:O111">SUM(B110:B110)</f>
        <v>597.3</v>
      </c>
      <c r="C111" s="27">
        <f t="shared" si="14"/>
        <v>573.8</v>
      </c>
      <c r="D111" s="27">
        <f t="shared" si="14"/>
        <v>23.5</v>
      </c>
      <c r="E111" s="27">
        <f t="shared" si="14"/>
        <v>0</v>
      </c>
      <c r="F111" s="27">
        <f t="shared" si="14"/>
        <v>0</v>
      </c>
      <c r="G111" s="27">
        <f t="shared" si="14"/>
        <v>0</v>
      </c>
      <c r="H111" s="27">
        <f t="shared" si="14"/>
        <v>0</v>
      </c>
      <c r="I111" s="27">
        <f t="shared" si="14"/>
        <v>454.2</v>
      </c>
      <c r="J111" s="27">
        <f t="shared" si="14"/>
        <v>454.2</v>
      </c>
      <c r="K111" s="27">
        <f t="shared" si="14"/>
        <v>0</v>
      </c>
      <c r="L111" s="27">
        <f t="shared" si="14"/>
        <v>0</v>
      </c>
      <c r="M111" s="27">
        <f t="shared" si="14"/>
        <v>0</v>
      </c>
      <c r="N111" s="27">
        <f t="shared" si="14"/>
        <v>0</v>
      </c>
      <c r="O111" s="27">
        <f t="shared" si="14"/>
        <v>0</v>
      </c>
      <c r="P111" s="36">
        <f>I111/B111*100</f>
        <v>76.04218985434456</v>
      </c>
      <c r="Q111" s="86">
        <f>C111+E111+G111</f>
        <v>573.8</v>
      </c>
      <c r="R111" s="86">
        <f>D111+F111+H111</f>
        <v>23.5</v>
      </c>
    </row>
    <row r="112" spans="1:16" ht="15.75">
      <c r="A112" s="128" t="s">
        <v>110</v>
      </c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</row>
    <row r="113" spans="1:16" ht="25.5">
      <c r="A113" s="19" t="s">
        <v>108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ht="39">
      <c r="A114" s="57" t="s">
        <v>111</v>
      </c>
      <c r="B114" s="43">
        <f>C114+D114+E114+F114+G114+H114</f>
        <v>3028</v>
      </c>
      <c r="C114" s="43">
        <v>3000</v>
      </c>
      <c r="D114" s="43">
        <v>28</v>
      </c>
      <c r="E114" s="43"/>
      <c r="F114" s="43"/>
      <c r="G114" s="43"/>
      <c r="H114" s="43"/>
      <c r="I114" s="43">
        <f>J114+K114+L114+M114+N114+O114</f>
        <v>2331</v>
      </c>
      <c r="J114" s="43">
        <v>2331</v>
      </c>
      <c r="K114" s="43"/>
      <c r="L114" s="43"/>
      <c r="M114" s="43"/>
      <c r="N114" s="43"/>
      <c r="O114" s="43"/>
      <c r="P114" s="44"/>
    </row>
    <row r="115" spans="1:16" ht="15">
      <c r="A115" s="25" t="s">
        <v>21</v>
      </c>
      <c r="B115" s="27">
        <f aca="true" t="shared" si="15" ref="B115:O115">SUM(B114:B114)</f>
        <v>3028</v>
      </c>
      <c r="C115" s="27">
        <f t="shared" si="15"/>
        <v>3000</v>
      </c>
      <c r="D115" s="27">
        <f t="shared" si="15"/>
        <v>28</v>
      </c>
      <c r="E115" s="27">
        <f t="shared" si="15"/>
        <v>0</v>
      </c>
      <c r="F115" s="27">
        <f t="shared" si="15"/>
        <v>0</v>
      </c>
      <c r="G115" s="27">
        <f t="shared" si="15"/>
        <v>0</v>
      </c>
      <c r="H115" s="27">
        <f t="shared" si="15"/>
        <v>0</v>
      </c>
      <c r="I115" s="27">
        <f t="shared" si="15"/>
        <v>2331</v>
      </c>
      <c r="J115" s="27">
        <f t="shared" si="15"/>
        <v>2331</v>
      </c>
      <c r="K115" s="27">
        <f t="shared" si="15"/>
        <v>0</v>
      </c>
      <c r="L115" s="27">
        <f t="shared" si="15"/>
        <v>0</v>
      </c>
      <c r="M115" s="27">
        <f t="shared" si="15"/>
        <v>0</v>
      </c>
      <c r="N115" s="27">
        <f t="shared" si="15"/>
        <v>0</v>
      </c>
      <c r="O115" s="27">
        <f t="shared" si="15"/>
        <v>0</v>
      </c>
      <c r="P115" s="36">
        <f>I115/B115*100</f>
        <v>76.98150594451783</v>
      </c>
    </row>
    <row r="116" spans="1:16" ht="15.75">
      <c r="A116" s="128" t="s">
        <v>112</v>
      </c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1:16" ht="51.75" customHeight="1">
      <c r="A117" s="18" t="s">
        <v>113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 ht="26.25">
      <c r="A118" s="6" t="s">
        <v>114</v>
      </c>
      <c r="B118" s="41">
        <f>C118+D118+E118+F118+G118+H118</f>
        <v>85</v>
      </c>
      <c r="C118" s="41">
        <v>85</v>
      </c>
      <c r="D118" s="41"/>
      <c r="E118" s="41"/>
      <c r="F118" s="41"/>
      <c r="G118" s="68"/>
      <c r="H118" s="41"/>
      <c r="I118" s="43">
        <f>J118+K118+L118+M118+N118+O118</f>
        <v>85</v>
      </c>
      <c r="J118" s="43">
        <v>85</v>
      </c>
      <c r="K118" s="43"/>
      <c r="L118" s="43"/>
      <c r="M118" s="41"/>
      <c r="N118" s="41"/>
      <c r="O118" s="41"/>
      <c r="P118" s="45"/>
    </row>
    <row r="119" spans="1:16" ht="23.25" customHeight="1">
      <c r="A119" s="49" t="s">
        <v>16</v>
      </c>
      <c r="B119" s="41">
        <f>C119+D119+E119+F119+G119+H119</f>
        <v>22.4</v>
      </c>
      <c r="C119" s="42">
        <v>22.4</v>
      </c>
      <c r="D119" s="41"/>
      <c r="E119" s="41"/>
      <c r="F119" s="41"/>
      <c r="G119" s="41"/>
      <c r="H119" s="41"/>
      <c r="I119" s="41">
        <f>J119+K119+L119+M119+N119+O119</f>
        <v>22.4</v>
      </c>
      <c r="J119" s="41">
        <v>22.4</v>
      </c>
      <c r="K119" s="41"/>
      <c r="L119" s="41"/>
      <c r="M119" s="41"/>
      <c r="N119" s="41"/>
      <c r="O119" s="41"/>
      <c r="P119" s="45"/>
    </row>
    <row r="120" spans="1:16" ht="15">
      <c r="A120" s="25" t="s">
        <v>22</v>
      </c>
      <c r="B120" s="27">
        <f aca="true" t="shared" si="16" ref="B120:O120">SUM(B117:B119)</f>
        <v>107.4</v>
      </c>
      <c r="C120" s="27">
        <f t="shared" si="16"/>
        <v>107.4</v>
      </c>
      <c r="D120" s="27">
        <f t="shared" si="16"/>
        <v>0</v>
      </c>
      <c r="E120" s="27">
        <f t="shared" si="16"/>
        <v>0</v>
      </c>
      <c r="F120" s="27">
        <f t="shared" si="16"/>
        <v>0</v>
      </c>
      <c r="G120" s="27">
        <f t="shared" si="16"/>
        <v>0</v>
      </c>
      <c r="H120" s="27">
        <f t="shared" si="16"/>
        <v>0</v>
      </c>
      <c r="I120" s="27">
        <f t="shared" si="16"/>
        <v>107.4</v>
      </c>
      <c r="J120" s="27">
        <f t="shared" si="16"/>
        <v>107.4</v>
      </c>
      <c r="K120" s="27">
        <f t="shared" si="16"/>
        <v>0</v>
      </c>
      <c r="L120" s="27">
        <f t="shared" si="16"/>
        <v>0</v>
      </c>
      <c r="M120" s="27">
        <f t="shared" si="16"/>
        <v>0</v>
      </c>
      <c r="N120" s="27">
        <f t="shared" si="16"/>
        <v>0</v>
      </c>
      <c r="O120" s="27">
        <f t="shared" si="16"/>
        <v>0</v>
      </c>
      <c r="P120" s="36">
        <f>I120/B120*100</f>
        <v>100</v>
      </c>
    </row>
    <row r="121" spans="1:16" ht="15.75">
      <c r="A121" s="128" t="s">
        <v>115</v>
      </c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</row>
    <row r="122" spans="1:16" ht="26.25">
      <c r="A122" s="15" t="s">
        <v>116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 ht="26.25">
      <c r="A123" s="6" t="s">
        <v>117</v>
      </c>
      <c r="B123" s="13">
        <f aca="true" t="shared" si="17" ref="B123:B128">C123+D123+E123+F123+G123+H123</f>
        <v>2752.3</v>
      </c>
      <c r="C123" s="13">
        <f>2700.4+51.9</f>
        <v>2752.3</v>
      </c>
      <c r="D123" s="13"/>
      <c r="E123" s="13"/>
      <c r="F123" s="13"/>
      <c r="G123" s="13"/>
      <c r="H123" s="13"/>
      <c r="I123" s="13">
        <f aca="true" t="shared" si="18" ref="I123:I128">J123+K123+L123+M123+N123+O123</f>
        <v>2752.3</v>
      </c>
      <c r="J123" s="13">
        <v>2752.3</v>
      </c>
      <c r="K123" s="13"/>
      <c r="L123" s="13"/>
      <c r="M123" s="13"/>
      <c r="N123" s="13"/>
      <c r="O123" s="13"/>
      <c r="P123" s="3"/>
    </row>
    <row r="124" spans="1:16" ht="30.75" customHeight="1">
      <c r="A124" s="9" t="s">
        <v>191</v>
      </c>
      <c r="B124" s="13">
        <f t="shared" si="17"/>
        <v>907.8</v>
      </c>
      <c r="C124" s="13">
        <v>907.8</v>
      </c>
      <c r="D124" s="13"/>
      <c r="E124" s="13"/>
      <c r="F124" s="13"/>
      <c r="G124" s="13"/>
      <c r="H124" s="13"/>
      <c r="I124" s="13">
        <f t="shared" si="18"/>
        <v>540.9</v>
      </c>
      <c r="J124" s="13">
        <f>602.5-J125</f>
        <v>540.9</v>
      </c>
      <c r="K124" s="13"/>
      <c r="L124" s="13"/>
      <c r="M124" s="13"/>
      <c r="N124" s="13"/>
      <c r="O124" s="13"/>
      <c r="P124" s="3"/>
    </row>
    <row r="125" spans="1:16" ht="26.25">
      <c r="A125" s="9" t="s">
        <v>119</v>
      </c>
      <c r="B125" s="13">
        <f t="shared" si="17"/>
        <v>61.6</v>
      </c>
      <c r="C125" s="13">
        <v>61.6</v>
      </c>
      <c r="D125" s="13"/>
      <c r="E125" s="13"/>
      <c r="F125" s="13"/>
      <c r="G125" s="13"/>
      <c r="H125" s="13"/>
      <c r="I125" s="13">
        <f t="shared" si="18"/>
        <v>61.6</v>
      </c>
      <c r="J125" s="13">
        <v>61.6</v>
      </c>
      <c r="K125" s="13"/>
      <c r="L125" s="13"/>
      <c r="M125" s="13"/>
      <c r="N125" s="13"/>
      <c r="O125" s="13"/>
      <c r="P125" s="3"/>
    </row>
    <row r="126" spans="1:16" ht="26.25">
      <c r="A126" s="9" t="s">
        <v>120</v>
      </c>
      <c r="B126" s="13">
        <f t="shared" si="17"/>
        <v>240</v>
      </c>
      <c r="C126" s="13"/>
      <c r="D126" s="13">
        <v>240</v>
      </c>
      <c r="E126" s="13"/>
      <c r="F126" s="13"/>
      <c r="G126" s="13"/>
      <c r="H126" s="13"/>
      <c r="I126" s="13">
        <f t="shared" si="18"/>
        <v>132</v>
      </c>
      <c r="J126" s="13"/>
      <c r="K126" s="13">
        <v>132</v>
      </c>
      <c r="L126" s="13"/>
      <c r="M126" s="13"/>
      <c r="N126" s="13"/>
      <c r="O126" s="13"/>
      <c r="P126" s="3"/>
    </row>
    <row r="127" spans="1:16" ht="30.75" customHeight="1">
      <c r="A127" s="7" t="s">
        <v>121</v>
      </c>
      <c r="B127" s="13">
        <f t="shared" si="17"/>
        <v>0</v>
      </c>
      <c r="C127" s="13"/>
      <c r="D127" s="13">
        <f>215+85-300</f>
        <v>0</v>
      </c>
      <c r="E127" s="13"/>
      <c r="F127" s="13"/>
      <c r="G127" s="13"/>
      <c r="H127" s="13"/>
      <c r="I127" s="13">
        <f t="shared" si="18"/>
        <v>0</v>
      </c>
      <c r="J127" s="13"/>
      <c r="K127" s="13"/>
      <c r="L127" s="13"/>
      <c r="M127" s="13"/>
      <c r="N127" s="13"/>
      <c r="O127" s="13"/>
      <c r="P127" s="3"/>
    </row>
    <row r="128" spans="1:16" ht="26.25">
      <c r="A128" s="6" t="s">
        <v>122</v>
      </c>
      <c r="B128" s="13">
        <f t="shared" si="17"/>
        <v>0</v>
      </c>
      <c r="C128" s="13"/>
      <c r="D128" s="13">
        <f>300-300</f>
        <v>0</v>
      </c>
      <c r="E128" s="13"/>
      <c r="F128" s="13"/>
      <c r="G128" s="13"/>
      <c r="H128" s="13"/>
      <c r="I128" s="13">
        <f t="shared" si="18"/>
        <v>0</v>
      </c>
      <c r="J128" s="13"/>
      <c r="K128" s="13"/>
      <c r="L128" s="13"/>
      <c r="M128" s="13"/>
      <c r="N128" s="13"/>
      <c r="O128" s="13"/>
      <c r="P128" s="3"/>
    </row>
    <row r="129" spans="1:16" ht="15">
      <c r="A129" s="15" t="s">
        <v>123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6" ht="26.25">
      <c r="A130" s="56" t="s">
        <v>124</v>
      </c>
      <c r="B130" s="100">
        <f>C130+D130+E130+F130+G130+H130</f>
        <v>1730.6</v>
      </c>
      <c r="C130" s="14">
        <v>1730.6</v>
      </c>
      <c r="D130" s="13"/>
      <c r="E130" s="13"/>
      <c r="F130" s="13"/>
      <c r="G130" s="13"/>
      <c r="H130" s="13"/>
      <c r="I130" s="13">
        <f>J130+K130+L130+M130+N130+O130</f>
        <v>1616</v>
      </c>
      <c r="J130" s="13">
        <f>1575.1+40.9</f>
        <v>1616</v>
      </c>
      <c r="K130" s="13"/>
      <c r="L130" s="13"/>
      <c r="M130" s="13"/>
      <c r="N130" s="13"/>
      <c r="O130" s="13"/>
      <c r="P130" s="3"/>
    </row>
    <row r="131" spans="1:16" ht="26.25">
      <c r="A131" s="22" t="s">
        <v>167</v>
      </c>
      <c r="B131" s="11"/>
      <c r="C131" s="16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7"/>
    </row>
    <row r="132" spans="1:16" ht="26.25">
      <c r="A132" s="9" t="s">
        <v>168</v>
      </c>
      <c r="B132" s="100">
        <f>C132+D132+E132+F132+G132+H132</f>
        <v>492.6</v>
      </c>
      <c r="C132" s="14">
        <v>492.6</v>
      </c>
      <c r="D132" s="13"/>
      <c r="E132" s="13"/>
      <c r="F132" s="13"/>
      <c r="G132" s="13"/>
      <c r="H132" s="13"/>
      <c r="I132" s="13">
        <f>J132+K132+L132+M132+N132+O132</f>
        <v>479.7</v>
      </c>
      <c r="J132" s="13">
        <v>479.7</v>
      </c>
      <c r="K132" s="13"/>
      <c r="L132" s="13"/>
      <c r="M132" s="13"/>
      <c r="N132" s="13"/>
      <c r="O132" s="13"/>
      <c r="P132" s="3"/>
    </row>
    <row r="133" spans="1:16" ht="15">
      <c r="A133" s="25" t="s">
        <v>23</v>
      </c>
      <c r="B133" s="26">
        <f>SUM(B122:B132)</f>
        <v>6184.900000000001</v>
      </c>
      <c r="C133" s="26">
        <f>SUM(C122:C132)</f>
        <v>5944.900000000001</v>
      </c>
      <c r="D133" s="26">
        <f aca="true" t="shared" si="19" ref="D133:O133">SUM(D122:D132)</f>
        <v>240</v>
      </c>
      <c r="E133" s="26">
        <f t="shared" si="19"/>
        <v>0</v>
      </c>
      <c r="F133" s="26">
        <f t="shared" si="19"/>
        <v>0</v>
      </c>
      <c r="G133" s="26">
        <f t="shared" si="19"/>
        <v>0</v>
      </c>
      <c r="H133" s="26">
        <f t="shared" si="19"/>
        <v>0</v>
      </c>
      <c r="I133" s="26">
        <f t="shared" si="19"/>
        <v>5582.5</v>
      </c>
      <c r="J133" s="26">
        <f t="shared" si="19"/>
        <v>5450.5</v>
      </c>
      <c r="K133" s="26">
        <f t="shared" si="19"/>
        <v>132</v>
      </c>
      <c r="L133" s="26">
        <f t="shared" si="19"/>
        <v>0</v>
      </c>
      <c r="M133" s="26">
        <f t="shared" si="19"/>
        <v>0</v>
      </c>
      <c r="N133" s="26">
        <f t="shared" si="19"/>
        <v>0</v>
      </c>
      <c r="O133" s="26">
        <f t="shared" si="19"/>
        <v>0</v>
      </c>
      <c r="P133" s="36">
        <f>I133/B133*100</f>
        <v>90.26014971947808</v>
      </c>
    </row>
    <row r="134" spans="1:16" ht="15.75">
      <c r="A134" s="128" t="s">
        <v>24</v>
      </c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</row>
    <row r="135" spans="1:16" ht="64.5">
      <c r="A135" s="22" t="s">
        <v>25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1:16" ht="25.5">
      <c r="A136" s="7" t="s">
        <v>26</v>
      </c>
      <c r="B136" s="13">
        <f>C136+D136+E136+F136+G136+H136</f>
        <v>334.7</v>
      </c>
      <c r="C136" s="14">
        <v>334.7</v>
      </c>
      <c r="D136" s="13"/>
      <c r="E136" s="13"/>
      <c r="F136" s="13"/>
      <c r="G136" s="13"/>
      <c r="H136" s="13"/>
      <c r="I136" s="39">
        <f>J136+K136+L136+M136+N136+O136</f>
        <v>183.7</v>
      </c>
      <c r="J136" s="40">
        <v>183.7</v>
      </c>
      <c r="K136" s="13"/>
      <c r="L136" s="13"/>
      <c r="M136" s="13"/>
      <c r="N136" s="13"/>
      <c r="O136" s="13"/>
      <c r="P136" s="3"/>
    </row>
    <row r="137" spans="1:16" ht="38.25">
      <c r="A137" s="23" t="s">
        <v>27</v>
      </c>
      <c r="B137" s="13">
        <f>C137+D137+E137+F137+G137+H137</f>
        <v>250.9</v>
      </c>
      <c r="C137" s="14">
        <v>250.9</v>
      </c>
      <c r="D137" s="13"/>
      <c r="E137" s="13"/>
      <c r="F137" s="13"/>
      <c r="G137" s="13"/>
      <c r="H137" s="13"/>
      <c r="I137" s="39">
        <f>J137+K137+L137+M137+N137+O137</f>
        <v>124.2</v>
      </c>
      <c r="J137" s="40">
        <v>124.2</v>
      </c>
      <c r="K137" s="13"/>
      <c r="L137" s="13"/>
      <c r="M137" s="13"/>
      <c r="N137" s="13"/>
      <c r="O137" s="13"/>
      <c r="P137" s="3"/>
    </row>
    <row r="138" spans="1:16" ht="15">
      <c r="A138" s="25" t="s">
        <v>28</v>
      </c>
      <c r="B138" s="27">
        <f>SUM(B136:B137)</f>
        <v>585.6</v>
      </c>
      <c r="C138" s="27">
        <f aca="true" t="shared" si="20" ref="C138:O138">SUM(C136:C137)</f>
        <v>585.6</v>
      </c>
      <c r="D138" s="27">
        <f t="shared" si="20"/>
        <v>0</v>
      </c>
      <c r="E138" s="27">
        <f t="shared" si="20"/>
        <v>0</v>
      </c>
      <c r="F138" s="27">
        <f t="shared" si="20"/>
        <v>0</v>
      </c>
      <c r="G138" s="27">
        <f t="shared" si="20"/>
        <v>0</v>
      </c>
      <c r="H138" s="27">
        <f t="shared" si="20"/>
        <v>0</v>
      </c>
      <c r="I138" s="27">
        <f t="shared" si="20"/>
        <v>307.9</v>
      </c>
      <c r="J138" s="27">
        <f t="shared" si="20"/>
        <v>307.9</v>
      </c>
      <c r="K138" s="27">
        <f t="shared" si="20"/>
        <v>0</v>
      </c>
      <c r="L138" s="27">
        <f t="shared" si="20"/>
        <v>0</v>
      </c>
      <c r="M138" s="27">
        <f t="shared" si="20"/>
        <v>0</v>
      </c>
      <c r="N138" s="27">
        <f t="shared" si="20"/>
        <v>0</v>
      </c>
      <c r="O138" s="27">
        <f t="shared" si="20"/>
        <v>0</v>
      </c>
      <c r="P138" s="36">
        <f>I138/B138*100</f>
        <v>52.57855191256831</v>
      </c>
    </row>
    <row r="139" spans="1:16" ht="15.75">
      <c r="A139" s="128" t="s">
        <v>126</v>
      </c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</row>
    <row r="140" spans="1:16" ht="21" customHeight="1">
      <c r="A140" s="72" t="s">
        <v>125</v>
      </c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1"/>
    </row>
    <row r="141" spans="1:16" ht="26.25">
      <c r="A141" s="9" t="s">
        <v>128</v>
      </c>
      <c r="B141" s="13">
        <f aca="true" t="shared" si="21" ref="B141:B147">C141+D141+E141+F141+G141+H141</f>
        <v>68837.8</v>
      </c>
      <c r="C141" s="13">
        <f>68000-10495.2</f>
        <v>57504.8</v>
      </c>
      <c r="D141" s="13">
        <v>3300</v>
      </c>
      <c r="E141" s="13"/>
      <c r="F141" s="13"/>
      <c r="G141" s="13">
        <f>17825-9792</f>
        <v>8033</v>
      </c>
      <c r="H141" s="13"/>
      <c r="I141" s="13">
        <f aca="true" t="shared" si="22" ref="I141:I147">J141+K141+L141+M141+N141+O141</f>
        <v>54333.4</v>
      </c>
      <c r="J141" s="14">
        <v>45018</v>
      </c>
      <c r="K141" s="13">
        <v>1284.1</v>
      </c>
      <c r="L141" s="13"/>
      <c r="M141" s="13"/>
      <c r="N141" s="13">
        <v>8031.3</v>
      </c>
      <c r="O141" s="13"/>
      <c r="P141" s="69"/>
    </row>
    <row r="142" spans="1:16" ht="26.25">
      <c r="A142" s="9" t="s">
        <v>129</v>
      </c>
      <c r="B142" s="13">
        <f t="shared" si="21"/>
        <v>5197.5</v>
      </c>
      <c r="C142" s="13">
        <f>5500-1102.5</f>
        <v>4397.5</v>
      </c>
      <c r="D142" s="13">
        <v>800</v>
      </c>
      <c r="E142" s="13"/>
      <c r="F142" s="13"/>
      <c r="G142" s="13"/>
      <c r="H142" s="13"/>
      <c r="I142" s="13">
        <f t="shared" si="22"/>
        <v>2403.4</v>
      </c>
      <c r="J142" s="14">
        <v>2292.3</v>
      </c>
      <c r="K142" s="13">
        <v>111.1</v>
      </c>
      <c r="L142" s="13"/>
      <c r="M142" s="13"/>
      <c r="N142" s="13"/>
      <c r="O142" s="13"/>
      <c r="P142" s="69"/>
    </row>
    <row r="143" spans="1:16" ht="26.25">
      <c r="A143" s="9" t="s">
        <v>130</v>
      </c>
      <c r="B143" s="13">
        <f t="shared" si="21"/>
        <v>16602.1</v>
      </c>
      <c r="C143" s="13">
        <f>12200-1724.9</f>
        <v>10475.1</v>
      </c>
      <c r="D143" s="13">
        <v>4200</v>
      </c>
      <c r="E143" s="13"/>
      <c r="F143" s="13"/>
      <c r="G143" s="13">
        <v>1927</v>
      </c>
      <c r="H143" s="13"/>
      <c r="I143" s="13">
        <f t="shared" si="22"/>
        <v>9301.3</v>
      </c>
      <c r="J143" s="14">
        <v>7230.3</v>
      </c>
      <c r="K143" s="13">
        <f>3778.2-K141-K142-L145-O145-K145</f>
        <v>2071</v>
      </c>
      <c r="L143" s="13"/>
      <c r="M143" s="13"/>
      <c r="N143" s="13"/>
      <c r="O143" s="13"/>
      <c r="P143" s="69"/>
    </row>
    <row r="144" spans="1:16" ht="15">
      <c r="A144" s="59" t="s">
        <v>131</v>
      </c>
      <c r="B144" s="13">
        <f t="shared" si="21"/>
        <v>11598.6</v>
      </c>
      <c r="C144" s="13">
        <f>14300-2701.4</f>
        <v>11598.6</v>
      </c>
      <c r="D144" s="13"/>
      <c r="E144" s="13"/>
      <c r="F144" s="13"/>
      <c r="G144" s="13"/>
      <c r="H144" s="13"/>
      <c r="I144" s="13">
        <f t="shared" si="22"/>
        <v>7495.8</v>
      </c>
      <c r="J144" s="14">
        <v>7495.8</v>
      </c>
      <c r="K144" s="13"/>
      <c r="L144" s="13"/>
      <c r="M144" s="13"/>
      <c r="N144" s="13"/>
      <c r="O144" s="13"/>
      <c r="P144" s="69"/>
    </row>
    <row r="145" spans="1:16" ht="26.25">
      <c r="A145" s="9" t="s">
        <v>54</v>
      </c>
      <c r="B145" s="13">
        <f t="shared" si="21"/>
        <v>484</v>
      </c>
      <c r="C145" s="13"/>
      <c r="D145" s="13">
        <v>180</v>
      </c>
      <c r="E145" s="13"/>
      <c r="F145" s="13"/>
      <c r="G145" s="13"/>
      <c r="H145" s="13">
        <v>304</v>
      </c>
      <c r="I145" s="13">
        <f t="shared" si="22"/>
        <v>312</v>
      </c>
      <c r="J145" s="14"/>
      <c r="K145" s="13">
        <v>8</v>
      </c>
      <c r="L145" s="13"/>
      <c r="M145" s="13"/>
      <c r="N145" s="13"/>
      <c r="O145" s="13">
        <v>304</v>
      </c>
      <c r="P145" s="69"/>
    </row>
    <row r="146" spans="1:16" ht="15">
      <c r="A146" s="82" t="s">
        <v>146</v>
      </c>
      <c r="B146" s="13">
        <f t="shared" si="21"/>
        <v>0</v>
      </c>
      <c r="C146" s="13"/>
      <c r="D146" s="13"/>
      <c r="E146" s="13"/>
      <c r="F146" s="13"/>
      <c r="G146" s="13"/>
      <c r="H146" s="13"/>
      <c r="I146" s="13">
        <f t="shared" si="22"/>
        <v>0</v>
      </c>
      <c r="J146" s="14"/>
      <c r="K146" s="13"/>
      <c r="L146" s="13"/>
      <c r="M146" s="13"/>
      <c r="N146" s="13"/>
      <c r="O146" s="13"/>
      <c r="P146" s="69"/>
    </row>
    <row r="147" spans="1:16" ht="57.75" customHeight="1">
      <c r="A147" s="97" t="s">
        <v>163</v>
      </c>
      <c r="B147" s="13">
        <f t="shared" si="21"/>
        <v>26212.3</v>
      </c>
      <c r="C147" s="13">
        <f>16024+50</f>
        <v>16074</v>
      </c>
      <c r="D147" s="13"/>
      <c r="E147" s="13"/>
      <c r="F147" s="13"/>
      <c r="G147" s="13">
        <f>9792+346.3</f>
        <v>10138.3</v>
      </c>
      <c r="H147" s="13"/>
      <c r="I147" s="13">
        <f t="shared" si="22"/>
        <v>21080.9</v>
      </c>
      <c r="J147" s="14">
        <v>16074</v>
      </c>
      <c r="K147" s="13"/>
      <c r="L147" s="13"/>
      <c r="M147" s="13"/>
      <c r="N147" s="13">
        <v>5006.9</v>
      </c>
      <c r="O147" s="13"/>
      <c r="P147" s="69"/>
    </row>
    <row r="148" spans="1:16" ht="15" customHeight="1">
      <c r="A148" s="25" t="s">
        <v>31</v>
      </c>
      <c r="B148" s="27">
        <f aca="true" t="shared" si="23" ref="B148:O148">SUM(B141:B147)</f>
        <v>128932.3</v>
      </c>
      <c r="C148" s="27">
        <f t="shared" si="23"/>
        <v>100050.00000000001</v>
      </c>
      <c r="D148" s="27">
        <f t="shared" si="23"/>
        <v>8480</v>
      </c>
      <c r="E148" s="27">
        <f t="shared" si="23"/>
        <v>0</v>
      </c>
      <c r="F148" s="27">
        <f t="shared" si="23"/>
        <v>0</v>
      </c>
      <c r="G148" s="27">
        <f t="shared" si="23"/>
        <v>20098.3</v>
      </c>
      <c r="H148" s="27">
        <f t="shared" si="23"/>
        <v>304</v>
      </c>
      <c r="I148" s="27">
        <f>SUM(I141:I147)</f>
        <v>94926.80000000002</v>
      </c>
      <c r="J148" s="27">
        <f t="shared" si="23"/>
        <v>78110.40000000001</v>
      </c>
      <c r="K148" s="27">
        <f t="shared" si="23"/>
        <v>3474.2</v>
      </c>
      <c r="L148" s="27">
        <f t="shared" si="23"/>
        <v>0</v>
      </c>
      <c r="M148" s="27">
        <f t="shared" si="23"/>
        <v>0</v>
      </c>
      <c r="N148" s="27">
        <f t="shared" si="23"/>
        <v>13038.2</v>
      </c>
      <c r="O148" s="27">
        <f t="shared" si="23"/>
        <v>304</v>
      </c>
      <c r="P148" s="36">
        <f>I148/B148*100</f>
        <v>73.62530568368052</v>
      </c>
    </row>
    <row r="149" spans="1:16" ht="15.75">
      <c r="A149" s="128" t="s">
        <v>127</v>
      </c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</row>
    <row r="150" spans="1:16" ht="26.25">
      <c r="A150" s="15" t="s">
        <v>29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 ht="26.25">
      <c r="A151" s="46" t="s">
        <v>139</v>
      </c>
      <c r="B151" s="41">
        <f>C151+D151+E151+F151+G151+H151</f>
        <v>0</v>
      </c>
      <c r="C151" s="42"/>
      <c r="D151" s="41"/>
      <c r="E151" s="41"/>
      <c r="F151" s="41"/>
      <c r="G151" s="41"/>
      <c r="H151" s="41"/>
      <c r="I151" s="41">
        <f>J151+K151+L151+M151+N151+O151</f>
        <v>0</v>
      </c>
      <c r="J151" s="41"/>
      <c r="K151" s="41"/>
      <c r="L151" s="41"/>
      <c r="M151" s="41"/>
      <c r="N151" s="41"/>
      <c r="O151" s="41"/>
      <c r="P151" s="45"/>
    </row>
    <row r="152" spans="1:16" ht="26.25">
      <c r="A152" s="46" t="s">
        <v>161</v>
      </c>
      <c r="B152" s="41">
        <f>C152+D152+E152+F152+G152+H152</f>
        <v>3761.6</v>
      </c>
      <c r="C152" s="42"/>
      <c r="D152" s="41">
        <f>7.6+23.4+200</f>
        <v>231</v>
      </c>
      <c r="E152" s="41"/>
      <c r="F152" s="41"/>
      <c r="G152" s="41"/>
      <c r="H152" s="41">
        <f>250.1+3280.5</f>
        <v>3530.6</v>
      </c>
      <c r="I152" s="41">
        <f>J152+K152+L152+M152+N152+O152</f>
        <v>3722.7</v>
      </c>
      <c r="J152" s="41"/>
      <c r="K152" s="41">
        <v>229.1</v>
      </c>
      <c r="L152" s="41"/>
      <c r="M152" s="41"/>
      <c r="N152" s="41"/>
      <c r="O152" s="41">
        <v>3493.6</v>
      </c>
      <c r="P152" s="45"/>
    </row>
    <row r="153" spans="1:16" ht="39">
      <c r="A153" s="6" t="s">
        <v>162</v>
      </c>
      <c r="B153" s="41">
        <f>C153+D153+E153+F153+G153+H153</f>
        <v>2767.6</v>
      </c>
      <c r="C153" s="42"/>
      <c r="D153" s="41">
        <v>1015</v>
      </c>
      <c r="E153" s="41"/>
      <c r="F153" s="41"/>
      <c r="G153" s="41"/>
      <c r="H153" s="41">
        <v>1752.6</v>
      </c>
      <c r="I153" s="41">
        <f>J153+K153+L153+M153+N153+O153</f>
        <v>2206.3999999999996</v>
      </c>
      <c r="J153" s="41"/>
      <c r="K153" s="41">
        <v>1002.3</v>
      </c>
      <c r="L153" s="41"/>
      <c r="M153" s="41"/>
      <c r="N153" s="41"/>
      <c r="O153" s="41">
        <v>1204.1</v>
      </c>
      <c r="P153" s="45"/>
    </row>
    <row r="154" spans="1:16" ht="15">
      <c r="A154" s="25" t="s">
        <v>137</v>
      </c>
      <c r="B154" s="27">
        <f aca="true" t="shared" si="24" ref="B154:O154">SUM(B151:B153)</f>
        <v>6529.2</v>
      </c>
      <c r="C154" s="27">
        <f t="shared" si="24"/>
        <v>0</v>
      </c>
      <c r="D154" s="27">
        <f>SUM(D151:D153)</f>
        <v>1246</v>
      </c>
      <c r="E154" s="27">
        <f t="shared" si="24"/>
        <v>0</v>
      </c>
      <c r="F154" s="27">
        <f t="shared" si="24"/>
        <v>0</v>
      </c>
      <c r="G154" s="27">
        <f t="shared" si="24"/>
        <v>0</v>
      </c>
      <c r="H154" s="27">
        <f t="shared" si="24"/>
        <v>5283.2</v>
      </c>
      <c r="I154" s="27">
        <f t="shared" si="24"/>
        <v>5929.099999999999</v>
      </c>
      <c r="J154" s="27">
        <f t="shared" si="24"/>
        <v>0</v>
      </c>
      <c r="K154" s="27">
        <f t="shared" si="24"/>
        <v>1231.3999999999999</v>
      </c>
      <c r="L154" s="27">
        <f t="shared" si="24"/>
        <v>0</v>
      </c>
      <c r="M154" s="27">
        <f t="shared" si="24"/>
        <v>0</v>
      </c>
      <c r="N154" s="27">
        <f t="shared" si="24"/>
        <v>0</v>
      </c>
      <c r="O154" s="27">
        <f t="shared" si="24"/>
        <v>4697.7</v>
      </c>
      <c r="P154" s="36">
        <f>I154/B154*100</f>
        <v>90.8089811921828</v>
      </c>
    </row>
    <row r="155" spans="1:16" ht="15.75">
      <c r="A155" s="128" t="s">
        <v>132</v>
      </c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</row>
    <row r="156" spans="1:16" ht="33.75" customHeight="1">
      <c r="A156" s="15" t="s">
        <v>133</v>
      </c>
      <c r="B156" s="11"/>
      <c r="C156" s="16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7"/>
    </row>
    <row r="157" spans="1:16" ht="26.25">
      <c r="A157" s="9" t="s">
        <v>134</v>
      </c>
      <c r="B157" s="13">
        <f>C157+D157+E157+F157+G157+H157</f>
        <v>1493.7</v>
      </c>
      <c r="C157" s="14">
        <v>257.3</v>
      </c>
      <c r="D157" s="13"/>
      <c r="E157" s="13"/>
      <c r="F157" s="13"/>
      <c r="G157" s="13">
        <v>1236.4</v>
      </c>
      <c r="H157" s="13"/>
      <c r="I157" s="13">
        <f>J157+K157+L157+M157+N157+O157</f>
        <v>728.1</v>
      </c>
      <c r="J157" s="13"/>
      <c r="K157" s="13"/>
      <c r="L157" s="13"/>
      <c r="M157" s="13"/>
      <c r="N157" s="13">
        <v>728.1</v>
      </c>
      <c r="O157" s="13"/>
      <c r="P157" s="3"/>
    </row>
    <row r="158" spans="1:16" ht="15">
      <c r="A158" s="59" t="s">
        <v>135</v>
      </c>
      <c r="B158" s="13">
        <f>C158+D158+E158+F158+G158+H158</f>
        <v>156</v>
      </c>
      <c r="C158" s="14">
        <v>156</v>
      </c>
      <c r="D158" s="13"/>
      <c r="E158" s="13"/>
      <c r="F158" s="13"/>
      <c r="G158" s="13"/>
      <c r="H158" s="13"/>
      <c r="I158" s="13">
        <f>J158+K158+L158+M158+N158+O158</f>
        <v>73.1</v>
      </c>
      <c r="J158" s="13">
        <v>73.1</v>
      </c>
      <c r="K158" s="13"/>
      <c r="L158" s="13"/>
      <c r="M158" s="13"/>
      <c r="N158" s="13"/>
      <c r="O158" s="13"/>
      <c r="P158" s="3"/>
    </row>
    <row r="159" spans="1:16" ht="26.25">
      <c r="A159" s="9" t="s">
        <v>136</v>
      </c>
      <c r="B159" s="13">
        <f>C159+D159+E159+F159+G159+H159</f>
        <v>32</v>
      </c>
      <c r="C159" s="14"/>
      <c r="D159" s="13">
        <v>32</v>
      </c>
      <c r="E159" s="13"/>
      <c r="F159" s="13"/>
      <c r="G159" s="13"/>
      <c r="H159" s="13"/>
      <c r="I159" s="13">
        <f>J159+K159+L159+M159+N159+O159</f>
        <v>0</v>
      </c>
      <c r="J159" s="13"/>
      <c r="K159" s="13"/>
      <c r="L159" s="13"/>
      <c r="M159" s="13"/>
      <c r="N159" s="13"/>
      <c r="O159" s="13"/>
      <c r="P159" s="3"/>
    </row>
    <row r="160" spans="1:16" ht="15">
      <c r="A160" s="25" t="s">
        <v>138</v>
      </c>
      <c r="B160" s="27">
        <f>SUM(B157:B159)</f>
        <v>1681.7</v>
      </c>
      <c r="C160" s="27">
        <f aca="true" t="shared" si="25" ref="C160:N160">SUM(C157:C159)</f>
        <v>413.3</v>
      </c>
      <c r="D160" s="27">
        <f t="shared" si="25"/>
        <v>32</v>
      </c>
      <c r="E160" s="27">
        <f t="shared" si="25"/>
        <v>0</v>
      </c>
      <c r="F160" s="27">
        <f t="shared" si="25"/>
        <v>0</v>
      </c>
      <c r="G160" s="27">
        <f t="shared" si="25"/>
        <v>1236.4</v>
      </c>
      <c r="H160" s="27">
        <f t="shared" si="25"/>
        <v>0</v>
      </c>
      <c r="I160" s="27">
        <f t="shared" si="25"/>
        <v>801.2</v>
      </c>
      <c r="J160" s="27">
        <f t="shared" si="25"/>
        <v>73.1</v>
      </c>
      <c r="K160" s="27">
        <f t="shared" si="25"/>
        <v>0</v>
      </c>
      <c r="L160" s="27">
        <f t="shared" si="25"/>
        <v>0</v>
      </c>
      <c r="M160" s="27">
        <f t="shared" si="25"/>
        <v>0</v>
      </c>
      <c r="N160" s="27">
        <f t="shared" si="25"/>
        <v>728.1</v>
      </c>
      <c r="O160" s="27">
        <f>SUM(O157:O159)</f>
        <v>0</v>
      </c>
      <c r="P160" s="36">
        <f>I160/B160*100</f>
        <v>47.64226675388</v>
      </c>
    </row>
    <row r="161" spans="1:16" ht="15.75">
      <c r="A161" s="121" t="s">
        <v>192</v>
      </c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3"/>
    </row>
    <row r="162" spans="1:16" ht="26.25">
      <c r="A162" s="61" t="s">
        <v>140</v>
      </c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1"/>
    </row>
    <row r="163" spans="1:16" ht="26.25">
      <c r="A163" s="9" t="s">
        <v>142</v>
      </c>
      <c r="B163" s="13">
        <f>C163+D163+E163+F163+G163+H163</f>
        <v>0</v>
      </c>
      <c r="C163" s="39"/>
      <c r="D163" s="39"/>
      <c r="E163" s="39"/>
      <c r="F163" s="39"/>
      <c r="G163" s="39"/>
      <c r="H163" s="39"/>
      <c r="I163" s="13">
        <f>J163+K163+L163+M163+N163+O163</f>
        <v>0</v>
      </c>
      <c r="J163" s="79"/>
      <c r="K163" s="79"/>
      <c r="L163" s="79"/>
      <c r="M163" s="79"/>
      <c r="N163" s="79"/>
      <c r="O163" s="79"/>
      <c r="P163" s="69"/>
    </row>
    <row r="164" spans="1:16" ht="26.25">
      <c r="A164" s="9" t="s">
        <v>143</v>
      </c>
      <c r="B164" s="13">
        <f>C164+D164+E164+F164+G164+H164</f>
        <v>0</v>
      </c>
      <c r="C164" s="39"/>
      <c r="D164" s="39"/>
      <c r="E164" s="39"/>
      <c r="F164" s="39"/>
      <c r="G164" s="39"/>
      <c r="H164" s="39"/>
      <c r="I164" s="13">
        <f>J164+K164+L164+M164+N164+O164</f>
        <v>0</v>
      </c>
      <c r="J164" s="79"/>
      <c r="K164" s="79"/>
      <c r="L164" s="79"/>
      <c r="M164" s="79"/>
      <c r="N164" s="79"/>
      <c r="O164" s="79"/>
      <c r="P164" s="69"/>
    </row>
    <row r="165" spans="1:16" ht="26.25">
      <c r="A165" s="9" t="s">
        <v>159</v>
      </c>
      <c r="B165" s="13">
        <f>C165+D165+E165+F165+G165+H165</f>
        <v>23150</v>
      </c>
      <c r="C165" s="39"/>
      <c r="D165" s="39">
        <f>23150</f>
        <v>23150</v>
      </c>
      <c r="E165" s="39"/>
      <c r="F165" s="39"/>
      <c r="G165" s="39"/>
      <c r="H165" s="39"/>
      <c r="I165" s="13">
        <f>J165+K165+L165+M165+N165+O165</f>
        <v>18805.5</v>
      </c>
      <c r="J165" s="79"/>
      <c r="K165" s="39">
        <f>22986.1-K166</f>
        <v>18805.5</v>
      </c>
      <c r="L165" s="79"/>
      <c r="M165" s="79"/>
      <c r="N165" s="79"/>
      <c r="O165" s="79"/>
      <c r="P165" s="69"/>
    </row>
    <row r="166" spans="1:16" ht="64.5">
      <c r="A166" s="9" t="s">
        <v>160</v>
      </c>
      <c r="B166" s="13">
        <f>C166+D166+E166+F166+G166+H166</f>
        <v>4200</v>
      </c>
      <c r="C166" s="39"/>
      <c r="D166" s="39">
        <v>4200</v>
      </c>
      <c r="E166" s="39"/>
      <c r="F166" s="39"/>
      <c r="G166" s="39"/>
      <c r="H166" s="39"/>
      <c r="I166" s="13">
        <f>J166+K166+L166+M166+N166+O166</f>
        <v>4180.6</v>
      </c>
      <c r="J166" s="79"/>
      <c r="K166" s="39">
        <v>4180.6</v>
      </c>
      <c r="L166" s="79"/>
      <c r="M166" s="79"/>
      <c r="N166" s="79"/>
      <c r="O166" s="79"/>
      <c r="P166" s="69"/>
    </row>
    <row r="167" spans="1:16" ht="15" hidden="1">
      <c r="A167" s="9"/>
      <c r="B167" s="13"/>
      <c r="C167" s="39"/>
      <c r="D167" s="39"/>
      <c r="E167" s="39"/>
      <c r="F167" s="39"/>
      <c r="G167" s="39"/>
      <c r="H167" s="39"/>
      <c r="I167" s="13"/>
      <c r="J167" s="79"/>
      <c r="K167" s="39"/>
      <c r="L167" s="79"/>
      <c r="M167" s="79"/>
      <c r="N167" s="79"/>
      <c r="O167" s="79"/>
      <c r="P167" s="69"/>
    </row>
    <row r="168" spans="1:16" ht="15" hidden="1">
      <c r="A168" s="9"/>
      <c r="B168" s="13"/>
      <c r="C168" s="39"/>
      <c r="D168" s="39"/>
      <c r="E168" s="39"/>
      <c r="F168" s="39"/>
      <c r="G168" s="39"/>
      <c r="H168" s="39"/>
      <c r="I168" s="13"/>
      <c r="J168" s="79"/>
      <c r="K168" s="39"/>
      <c r="L168" s="79"/>
      <c r="M168" s="79"/>
      <c r="N168" s="79"/>
      <c r="O168" s="79"/>
      <c r="P168" s="69"/>
    </row>
    <row r="169" spans="1:16" ht="15" hidden="1">
      <c r="A169" s="9"/>
      <c r="B169" s="13"/>
      <c r="C169" s="39"/>
      <c r="D169" s="39"/>
      <c r="E169" s="39"/>
      <c r="F169" s="39"/>
      <c r="G169" s="39"/>
      <c r="H169" s="39"/>
      <c r="I169" s="13"/>
      <c r="J169" s="79"/>
      <c r="K169" s="39"/>
      <c r="L169" s="79"/>
      <c r="M169" s="79"/>
      <c r="N169" s="79"/>
      <c r="O169" s="79"/>
      <c r="P169" s="69"/>
    </row>
    <row r="170" spans="1:16" ht="15" hidden="1">
      <c r="A170" s="9"/>
      <c r="B170" s="13"/>
      <c r="C170" s="39"/>
      <c r="D170" s="39"/>
      <c r="E170" s="39"/>
      <c r="F170" s="39"/>
      <c r="G170" s="39"/>
      <c r="H170" s="39"/>
      <c r="I170" s="13"/>
      <c r="J170" s="79"/>
      <c r="K170" s="39"/>
      <c r="L170" s="79"/>
      <c r="M170" s="79"/>
      <c r="N170" s="79"/>
      <c r="O170" s="79"/>
      <c r="P170" s="69"/>
    </row>
    <row r="171" spans="1:16" ht="15" hidden="1">
      <c r="A171" s="9"/>
      <c r="B171" s="13"/>
      <c r="C171" s="39"/>
      <c r="D171" s="39"/>
      <c r="E171" s="39"/>
      <c r="F171" s="39"/>
      <c r="G171" s="39"/>
      <c r="H171" s="39"/>
      <c r="I171" s="13"/>
      <c r="J171" s="79"/>
      <c r="K171" s="39"/>
      <c r="L171" s="79"/>
      <c r="M171" s="79"/>
      <c r="N171" s="79"/>
      <c r="O171" s="79"/>
      <c r="P171" s="69"/>
    </row>
    <row r="172" spans="1:16" ht="15" hidden="1">
      <c r="A172" s="9"/>
      <c r="B172" s="13"/>
      <c r="C172" s="39"/>
      <c r="D172" s="39"/>
      <c r="E172" s="39"/>
      <c r="F172" s="39"/>
      <c r="G172" s="39"/>
      <c r="H172" s="39"/>
      <c r="I172" s="13"/>
      <c r="J172" s="79"/>
      <c r="K172" s="39"/>
      <c r="L172" s="79"/>
      <c r="M172" s="79"/>
      <c r="N172" s="79"/>
      <c r="O172" s="79"/>
      <c r="P172" s="69"/>
    </row>
    <row r="173" spans="1:16" ht="15">
      <c r="A173" s="25" t="s">
        <v>141</v>
      </c>
      <c r="B173" s="27">
        <f>SUM(B163:B166)</f>
        <v>27350</v>
      </c>
      <c r="C173" s="27">
        <f>SUM(C163:C166)</f>
        <v>0</v>
      </c>
      <c r="D173" s="27">
        <f aca="true" t="shared" si="26" ref="D173:O173">SUM(D163:D166)</f>
        <v>27350</v>
      </c>
      <c r="E173" s="27">
        <f t="shared" si="26"/>
        <v>0</v>
      </c>
      <c r="F173" s="27">
        <f t="shared" si="26"/>
        <v>0</v>
      </c>
      <c r="G173" s="27">
        <f t="shared" si="26"/>
        <v>0</v>
      </c>
      <c r="H173" s="27">
        <f t="shared" si="26"/>
        <v>0</v>
      </c>
      <c r="I173" s="27">
        <f t="shared" si="26"/>
        <v>22986.1</v>
      </c>
      <c r="J173" s="27">
        <f t="shared" si="26"/>
        <v>0</v>
      </c>
      <c r="K173" s="27">
        <f>SUM(K163:K166)</f>
        <v>22986.1</v>
      </c>
      <c r="L173" s="27">
        <f t="shared" si="26"/>
        <v>0</v>
      </c>
      <c r="M173" s="27">
        <f t="shared" si="26"/>
        <v>0</v>
      </c>
      <c r="N173" s="27">
        <f t="shared" si="26"/>
        <v>0</v>
      </c>
      <c r="O173" s="27">
        <f t="shared" si="26"/>
        <v>0</v>
      </c>
      <c r="P173" s="36">
        <f>I173/B173*100</f>
        <v>84.04424131627056</v>
      </c>
    </row>
    <row r="174" spans="1:16" ht="15">
      <c r="A174" s="131" t="s">
        <v>147</v>
      </c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3"/>
    </row>
    <row r="175" spans="1:16" ht="25.5">
      <c r="A175" s="18" t="s">
        <v>148</v>
      </c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1"/>
    </row>
    <row r="176" spans="1:16" ht="36.75" customHeight="1">
      <c r="A176" s="98" t="s">
        <v>149</v>
      </c>
      <c r="B176" s="13">
        <f>C176+D176+E176+F176+G176+H176</f>
        <v>0</v>
      </c>
      <c r="C176" s="79"/>
      <c r="D176" s="79"/>
      <c r="E176" s="79"/>
      <c r="F176" s="79"/>
      <c r="G176" s="79"/>
      <c r="H176" s="79"/>
      <c r="I176" s="83"/>
      <c r="J176" s="83"/>
      <c r="K176" s="83"/>
      <c r="L176" s="83"/>
      <c r="M176" s="83"/>
      <c r="N176" s="83"/>
      <c r="O176" s="83"/>
      <c r="P176" s="84"/>
    </row>
    <row r="177" spans="1:16" ht="15">
      <c r="A177" s="25" t="s">
        <v>150</v>
      </c>
      <c r="B177" s="27">
        <f>B176</f>
        <v>0</v>
      </c>
      <c r="C177" s="27">
        <f>C176</f>
        <v>0</v>
      </c>
      <c r="D177" s="27">
        <f>D176</f>
        <v>0</v>
      </c>
      <c r="E177" s="27">
        <f aca="true" t="shared" si="27" ref="E177:O177">E176</f>
        <v>0</v>
      </c>
      <c r="F177" s="27">
        <f t="shared" si="27"/>
        <v>0</v>
      </c>
      <c r="G177" s="27">
        <f t="shared" si="27"/>
        <v>0</v>
      </c>
      <c r="H177" s="27">
        <f t="shared" si="27"/>
        <v>0</v>
      </c>
      <c r="I177" s="27">
        <f t="shared" si="27"/>
        <v>0</v>
      </c>
      <c r="J177" s="27">
        <f t="shared" si="27"/>
        <v>0</v>
      </c>
      <c r="K177" s="27">
        <f t="shared" si="27"/>
        <v>0</v>
      </c>
      <c r="L177" s="27">
        <f t="shared" si="27"/>
        <v>0</v>
      </c>
      <c r="M177" s="27">
        <f t="shared" si="27"/>
        <v>0</v>
      </c>
      <c r="N177" s="27">
        <f t="shared" si="27"/>
        <v>0</v>
      </c>
      <c r="O177" s="27">
        <f t="shared" si="27"/>
        <v>0</v>
      </c>
      <c r="P177" s="36"/>
    </row>
    <row r="178" spans="1:16" ht="15">
      <c r="A178" s="131" t="s">
        <v>164</v>
      </c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3"/>
    </row>
    <row r="179" spans="1:16" ht="25.5">
      <c r="A179" s="18" t="s">
        <v>148</v>
      </c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1"/>
    </row>
    <row r="180" spans="1:16" ht="35.25" customHeight="1">
      <c r="A180" s="99" t="s">
        <v>165</v>
      </c>
      <c r="B180" s="13">
        <f>C180+D180+E180+F180+G180+H180</f>
        <v>2081</v>
      </c>
      <c r="C180" s="79"/>
      <c r="D180" s="39">
        <v>900</v>
      </c>
      <c r="E180" s="79"/>
      <c r="F180" s="79"/>
      <c r="G180" s="79"/>
      <c r="H180" s="39">
        <v>1181</v>
      </c>
      <c r="I180" s="13">
        <f>J180+K180+L180+M180+N180+O180</f>
        <v>2080.3</v>
      </c>
      <c r="J180" s="79"/>
      <c r="K180" s="39">
        <v>899.3</v>
      </c>
      <c r="L180" s="79"/>
      <c r="M180" s="79"/>
      <c r="N180" s="79"/>
      <c r="O180" s="39">
        <v>1181</v>
      </c>
      <c r="P180" s="69"/>
    </row>
    <row r="181" spans="1:16" ht="15" customHeight="1">
      <c r="A181" s="25" t="s">
        <v>166</v>
      </c>
      <c r="B181" s="27">
        <f>B180</f>
        <v>2081</v>
      </c>
      <c r="C181" s="27">
        <f aca="true" t="shared" si="28" ref="C181:P181">C180</f>
        <v>0</v>
      </c>
      <c r="D181" s="27">
        <f t="shared" si="28"/>
        <v>900</v>
      </c>
      <c r="E181" s="27">
        <f t="shared" si="28"/>
        <v>0</v>
      </c>
      <c r="F181" s="27">
        <f t="shared" si="28"/>
        <v>0</v>
      </c>
      <c r="G181" s="27">
        <f t="shared" si="28"/>
        <v>0</v>
      </c>
      <c r="H181" s="27">
        <f t="shared" si="28"/>
        <v>1181</v>
      </c>
      <c r="I181" s="27">
        <f t="shared" si="28"/>
        <v>2080.3</v>
      </c>
      <c r="J181" s="27">
        <f t="shared" si="28"/>
        <v>0</v>
      </c>
      <c r="K181" s="27">
        <f t="shared" si="28"/>
        <v>899.3</v>
      </c>
      <c r="L181" s="27">
        <f t="shared" si="28"/>
        <v>0</v>
      </c>
      <c r="M181" s="27">
        <f t="shared" si="28"/>
        <v>0</v>
      </c>
      <c r="N181" s="27">
        <f t="shared" si="28"/>
        <v>0</v>
      </c>
      <c r="O181" s="27">
        <f t="shared" si="28"/>
        <v>1181</v>
      </c>
      <c r="P181" s="27">
        <f t="shared" si="28"/>
        <v>0</v>
      </c>
    </row>
    <row r="182" spans="1:16" ht="63">
      <c r="A182" s="24" t="s">
        <v>194</v>
      </c>
      <c r="B182" s="37">
        <f>B57+B79+B84+B94+B103+B107+B111+B115+B120+B133+B138+B148+B154+B160+B173+B177+B181</f>
        <v>1040608.0000000001</v>
      </c>
      <c r="C182" s="37">
        <f>C57+C79+C84+C94+C103+C107+C111+C115+C120+C133+C138+C148+C154+C160+C173+C177+C181</f>
        <v>569137.5000000001</v>
      </c>
      <c r="D182" s="37">
        <f aca="true" t="shared" si="29" ref="D182:O182">D57+D79+D84+D94+D103+D107+D111+D115+D120+D133+D138+D148+D154+D160+D173+D177+D181</f>
        <v>65241.7</v>
      </c>
      <c r="E182" s="37">
        <f t="shared" si="29"/>
        <v>272.7</v>
      </c>
      <c r="F182" s="37">
        <f t="shared" si="29"/>
        <v>83</v>
      </c>
      <c r="G182" s="37">
        <f t="shared" si="29"/>
        <v>396889.0000000001</v>
      </c>
      <c r="H182" s="37">
        <f t="shared" si="29"/>
        <v>8984.1</v>
      </c>
      <c r="I182" s="37">
        <f t="shared" si="29"/>
        <v>967978.1000000001</v>
      </c>
      <c r="J182" s="37">
        <f t="shared" si="29"/>
        <v>522789.80000000005</v>
      </c>
      <c r="K182" s="37">
        <f t="shared" si="29"/>
        <v>49691.3</v>
      </c>
      <c r="L182" s="37">
        <f t="shared" si="29"/>
        <v>0</v>
      </c>
      <c r="M182" s="37">
        <f t="shared" si="29"/>
        <v>0</v>
      </c>
      <c r="N182" s="37">
        <f t="shared" si="29"/>
        <v>387106</v>
      </c>
      <c r="O182" s="37">
        <f t="shared" si="29"/>
        <v>8391</v>
      </c>
      <c r="P182" s="38">
        <f>I182/B182*100</f>
        <v>93.02043612964728</v>
      </c>
    </row>
    <row r="183" spans="1:16" s="54" customFormat="1" ht="15">
      <c r="A183" s="53"/>
      <c r="B183" s="53"/>
      <c r="C183" s="76">
        <f>C182+D182</f>
        <v>634379.2000000001</v>
      </c>
      <c r="D183" s="53"/>
      <c r="E183" s="76">
        <f>E182+F182</f>
        <v>355.7</v>
      </c>
      <c r="F183" s="77"/>
      <c r="G183" s="76">
        <f>G182+H182</f>
        <v>405873.1000000001</v>
      </c>
      <c r="H183" s="77"/>
      <c r="I183" s="77"/>
      <c r="J183" s="77"/>
      <c r="K183" s="53"/>
      <c r="L183" s="53"/>
      <c r="M183" s="53"/>
      <c r="N183" s="53"/>
      <c r="O183" s="53"/>
      <c r="P183" s="53"/>
    </row>
    <row r="184" spans="1:16" ht="15">
      <c r="A184" s="4"/>
      <c r="B184" s="78">
        <f>C184+D184</f>
        <v>1040608.0000000002</v>
      </c>
      <c r="C184" s="78">
        <f>C182+E182+G182</f>
        <v>966299.2000000002</v>
      </c>
      <c r="D184" s="78">
        <f>D182+F182+H182</f>
        <v>74308.8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1:16" ht="18.75">
      <c r="A185" s="51"/>
      <c r="B185" s="4"/>
      <c r="C185" s="78"/>
      <c r="D185" s="78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1:16" ht="18.75">
      <c r="A186" s="51" t="s">
        <v>44</v>
      </c>
      <c r="B186" s="50"/>
      <c r="C186" s="50"/>
      <c r="D186" s="50"/>
      <c r="E186" s="50"/>
      <c r="F186" s="50"/>
      <c r="G186" s="50"/>
      <c r="H186" s="50"/>
      <c r="I186" s="50"/>
      <c r="J186" s="50"/>
      <c r="K186" s="130" t="s">
        <v>45</v>
      </c>
      <c r="L186" s="130"/>
      <c r="M186" s="130"/>
      <c r="N186" s="130"/>
      <c r="O186" s="50"/>
      <c r="P186" s="50"/>
    </row>
    <row r="187" spans="1:16" ht="15.75">
      <c r="A187" s="52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1:16" ht="15.75">
      <c r="A188" s="52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ht="15.75">
      <c r="A189" s="52" t="s">
        <v>43</v>
      </c>
    </row>
    <row r="190" ht="15.75">
      <c r="A190" s="52" t="s">
        <v>178</v>
      </c>
    </row>
  </sheetData>
  <sheetProtection/>
  <mergeCells count="48">
    <mergeCell ref="A178:P178"/>
    <mergeCell ref="D9:J9"/>
    <mergeCell ref="A174:P174"/>
    <mergeCell ref="K186:N186"/>
    <mergeCell ref="A116:P116"/>
    <mergeCell ref="A134:P134"/>
    <mergeCell ref="A139:P139"/>
    <mergeCell ref="A149:P149"/>
    <mergeCell ref="A155:P155"/>
    <mergeCell ref="A161:P161"/>
    <mergeCell ref="A121:P121"/>
    <mergeCell ref="A32:A37"/>
    <mergeCell ref="B32:H32"/>
    <mergeCell ref="I32:O32"/>
    <mergeCell ref="J35:M35"/>
    <mergeCell ref="N35:O36"/>
    <mergeCell ref="B34:B37"/>
    <mergeCell ref="C34:H34"/>
    <mergeCell ref="A104:P104"/>
    <mergeCell ref="A108:P108"/>
    <mergeCell ref="P32:P33"/>
    <mergeCell ref="B33:H33"/>
    <mergeCell ref="I33:O33"/>
    <mergeCell ref="N1:P1"/>
    <mergeCell ref="N2:P2"/>
    <mergeCell ref="A5:P5"/>
    <mergeCell ref="A6:P6"/>
    <mergeCell ref="D8:J8"/>
    <mergeCell ref="D10:J10"/>
    <mergeCell ref="D11:J11"/>
    <mergeCell ref="A80:P80"/>
    <mergeCell ref="A85:P85"/>
    <mergeCell ref="A95:P95"/>
    <mergeCell ref="C36:D36"/>
    <mergeCell ref="E36:F36"/>
    <mergeCell ref="J36:K36"/>
    <mergeCell ref="I34:I37"/>
    <mergeCell ref="J34:O34"/>
    <mergeCell ref="D12:P12"/>
    <mergeCell ref="D13:P13"/>
    <mergeCell ref="D14:P14"/>
    <mergeCell ref="A112:P112"/>
    <mergeCell ref="P34:P37"/>
    <mergeCell ref="C35:F35"/>
    <mergeCell ref="G35:H36"/>
    <mergeCell ref="L36:M36"/>
    <mergeCell ref="A39:P39"/>
    <mergeCell ref="A58:P58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4"/>
  <sheetViews>
    <sheetView zoomScale="84" zoomScaleNormal="84" zoomScalePageLayoutView="0" workbookViewId="0" topLeftCell="A1">
      <selection activeCell="A6" sqref="A6:P6"/>
    </sheetView>
  </sheetViews>
  <sheetFormatPr defaultColWidth="9.140625" defaultRowHeight="15"/>
  <cols>
    <col min="1" max="1" width="46.8515625" style="0" customWidth="1"/>
    <col min="2" max="2" width="11.8515625" style="0" customWidth="1"/>
    <col min="3" max="3" width="9.57421875" style="0" bestFit="1" customWidth="1"/>
    <col min="9" max="9" width="10.28125" style="0" customWidth="1"/>
    <col min="12" max="12" width="8.140625" style="0" customWidth="1"/>
    <col min="16" max="16" width="16.7109375" style="0" customWidth="1"/>
    <col min="17" max="18" width="14.57421875" style="0" hidden="1" customWidth="1"/>
  </cols>
  <sheetData>
    <row r="1" spans="13:16" ht="21" customHeight="1">
      <c r="M1" s="145" t="s">
        <v>46</v>
      </c>
      <c r="N1" s="145"/>
      <c r="O1" s="145"/>
      <c r="P1" s="145"/>
    </row>
    <row r="2" spans="13:16" ht="39" customHeight="1">
      <c r="M2" s="142" t="s">
        <v>207</v>
      </c>
      <c r="N2" s="142"/>
      <c r="O2" s="142"/>
      <c r="P2" s="142"/>
    </row>
    <row r="3" spans="13:16" ht="18.75">
      <c r="M3" s="120" t="s">
        <v>213</v>
      </c>
      <c r="N3" s="120"/>
      <c r="O3" s="120"/>
      <c r="P3" s="120"/>
    </row>
    <row r="4" spans="14:16" ht="15.75">
      <c r="N4" s="29"/>
      <c r="O4" s="29"/>
      <c r="P4" s="29"/>
    </row>
    <row r="5" spans="1:16" ht="18.75">
      <c r="A5" s="138" t="s">
        <v>33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6" ht="38.25" customHeight="1">
      <c r="A6" s="139" t="s">
        <v>196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1:16" ht="18.7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6" ht="18.75">
      <c r="A8" s="101" t="s">
        <v>34</v>
      </c>
      <c r="B8" s="101">
        <v>10</v>
      </c>
      <c r="C8" s="101"/>
      <c r="D8" s="134" t="s">
        <v>35</v>
      </c>
      <c r="E8" s="134"/>
      <c r="F8" s="134"/>
      <c r="G8" s="134"/>
      <c r="H8" s="134"/>
      <c r="I8" s="134"/>
      <c r="J8" s="134"/>
      <c r="K8" s="101"/>
      <c r="L8" s="101"/>
      <c r="M8" s="101"/>
      <c r="N8" s="101"/>
      <c r="O8" s="101"/>
      <c r="P8" s="101"/>
    </row>
    <row r="9" spans="1:16" ht="18.75">
      <c r="A9" s="101"/>
      <c r="B9" s="101" t="s">
        <v>36</v>
      </c>
      <c r="C9" s="101"/>
      <c r="D9" s="140" t="s">
        <v>37</v>
      </c>
      <c r="E9" s="140"/>
      <c r="F9" s="140"/>
      <c r="G9" s="140"/>
      <c r="H9" s="140"/>
      <c r="I9" s="140"/>
      <c r="J9" s="140"/>
      <c r="K9" s="101"/>
      <c r="L9" s="101"/>
      <c r="M9" s="101"/>
      <c r="N9" s="101"/>
      <c r="O9" s="101"/>
      <c r="P9" s="101"/>
    </row>
    <row r="10" spans="1:16" ht="18.75">
      <c r="A10" s="101" t="s">
        <v>38</v>
      </c>
      <c r="B10" s="101"/>
      <c r="C10" s="101"/>
      <c r="D10" s="134" t="s">
        <v>35</v>
      </c>
      <c r="E10" s="134"/>
      <c r="F10" s="134"/>
      <c r="G10" s="134"/>
      <c r="H10" s="134"/>
      <c r="I10" s="134"/>
      <c r="J10" s="134"/>
      <c r="K10" s="101"/>
      <c r="L10" s="101"/>
      <c r="M10" s="101"/>
      <c r="N10" s="101"/>
      <c r="O10" s="101"/>
      <c r="P10" s="101"/>
    </row>
    <row r="11" spans="4:10" ht="15">
      <c r="D11" s="126" t="s">
        <v>39</v>
      </c>
      <c r="E11" s="126"/>
      <c r="F11" s="126"/>
      <c r="G11" s="126"/>
      <c r="H11" s="126"/>
      <c r="I11" s="126"/>
      <c r="J11" s="126"/>
    </row>
    <row r="12" spans="1:16" ht="18.75">
      <c r="A12" s="102" t="s">
        <v>40</v>
      </c>
      <c r="B12" s="34">
        <v>611010</v>
      </c>
      <c r="D12" s="141" t="s">
        <v>205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</row>
    <row r="13" spans="1:16" ht="18.75">
      <c r="A13" s="28"/>
      <c r="B13" s="34">
        <v>611020</v>
      </c>
      <c r="D13" s="134" t="s">
        <v>179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</row>
    <row r="14" spans="1:13" ht="15">
      <c r="A14" s="28"/>
      <c r="B14" s="34">
        <v>611030</v>
      </c>
      <c r="D14" s="126" t="s">
        <v>41</v>
      </c>
      <c r="E14" s="126"/>
      <c r="F14" s="126"/>
      <c r="G14" s="126"/>
      <c r="H14" s="126"/>
      <c r="I14" s="126"/>
      <c r="J14" s="126"/>
      <c r="K14" s="126"/>
      <c r="L14" s="126"/>
      <c r="M14" s="126"/>
    </row>
    <row r="15" spans="1:2" ht="15">
      <c r="A15" s="28"/>
      <c r="B15" s="34">
        <v>611070</v>
      </c>
    </row>
    <row r="16" spans="1:2" ht="15">
      <c r="A16" s="28"/>
      <c r="B16" s="34">
        <v>611090</v>
      </c>
    </row>
    <row r="17" spans="1:2" ht="15">
      <c r="A17" s="28"/>
      <c r="B17" s="34">
        <v>611150</v>
      </c>
    </row>
    <row r="18" spans="1:2" ht="15">
      <c r="A18" s="28"/>
      <c r="B18" s="34">
        <v>611160</v>
      </c>
    </row>
    <row r="19" spans="1:2" ht="15">
      <c r="A19" s="28"/>
      <c r="B19" s="34">
        <v>611161</v>
      </c>
    </row>
    <row r="20" ht="15">
      <c r="B20" s="34">
        <v>611162</v>
      </c>
    </row>
    <row r="21" ht="15">
      <c r="B21" s="34">
        <v>611110</v>
      </c>
    </row>
    <row r="22" ht="15">
      <c r="B22" s="35">
        <v>617363</v>
      </c>
    </row>
    <row r="23" ht="15">
      <c r="B23" s="35">
        <v>611170</v>
      </c>
    </row>
    <row r="24" ht="15">
      <c r="B24" s="35">
        <v>617321</v>
      </c>
    </row>
    <row r="25" ht="15">
      <c r="B25" s="35">
        <v>619770</v>
      </c>
    </row>
    <row r="26" ht="15">
      <c r="B26" s="35">
        <v>619310</v>
      </c>
    </row>
    <row r="27" ht="15">
      <c r="B27" s="35">
        <v>611180</v>
      </c>
    </row>
    <row r="28" ht="15">
      <c r="B28" s="33" t="s">
        <v>42</v>
      </c>
    </row>
    <row r="30" spans="1:16" ht="22.5" customHeight="1">
      <c r="A30" s="124" t="s">
        <v>0</v>
      </c>
      <c r="B30" s="124" t="s">
        <v>1</v>
      </c>
      <c r="C30" s="124"/>
      <c r="D30" s="124"/>
      <c r="E30" s="124"/>
      <c r="F30" s="124"/>
      <c r="G30" s="124"/>
      <c r="H30" s="124"/>
      <c r="I30" s="124" t="s">
        <v>2</v>
      </c>
      <c r="J30" s="124"/>
      <c r="K30" s="124"/>
      <c r="L30" s="124"/>
      <c r="M30" s="124"/>
      <c r="N30" s="124"/>
      <c r="O30" s="124"/>
      <c r="P30" s="124" t="s">
        <v>212</v>
      </c>
    </row>
    <row r="31" spans="1:16" ht="38.25" customHeight="1">
      <c r="A31" s="124"/>
      <c r="B31" s="124" t="s">
        <v>175</v>
      </c>
      <c r="C31" s="124"/>
      <c r="D31" s="124"/>
      <c r="E31" s="124"/>
      <c r="F31" s="124"/>
      <c r="G31" s="124"/>
      <c r="H31" s="124"/>
      <c r="I31" s="124" t="s">
        <v>175</v>
      </c>
      <c r="J31" s="124"/>
      <c r="K31" s="124"/>
      <c r="L31" s="124"/>
      <c r="M31" s="124"/>
      <c r="N31" s="124"/>
      <c r="O31" s="124"/>
      <c r="P31" s="124"/>
    </row>
    <row r="32" spans="1:16" ht="15.75" customHeight="1">
      <c r="A32" s="124"/>
      <c r="B32" s="127" t="s">
        <v>4</v>
      </c>
      <c r="C32" s="124" t="s">
        <v>5</v>
      </c>
      <c r="D32" s="124"/>
      <c r="E32" s="124"/>
      <c r="F32" s="124"/>
      <c r="G32" s="124"/>
      <c r="H32" s="124"/>
      <c r="I32" s="124" t="s">
        <v>4</v>
      </c>
      <c r="J32" s="124" t="s">
        <v>5</v>
      </c>
      <c r="K32" s="124"/>
      <c r="L32" s="124"/>
      <c r="M32" s="124"/>
      <c r="N32" s="124"/>
      <c r="O32" s="124"/>
      <c r="P32" s="124"/>
    </row>
    <row r="33" spans="1:16" ht="22.5" customHeight="1">
      <c r="A33" s="124"/>
      <c r="B33" s="127"/>
      <c r="C33" s="124" t="s">
        <v>10</v>
      </c>
      <c r="D33" s="124"/>
      <c r="E33" s="124"/>
      <c r="F33" s="124"/>
      <c r="G33" s="124" t="s">
        <v>11</v>
      </c>
      <c r="H33" s="124"/>
      <c r="I33" s="124"/>
      <c r="J33" s="124" t="s">
        <v>10</v>
      </c>
      <c r="K33" s="124"/>
      <c r="L33" s="124"/>
      <c r="M33" s="124"/>
      <c r="N33" s="124" t="s">
        <v>11</v>
      </c>
      <c r="O33" s="124"/>
      <c r="P33" s="124"/>
    </row>
    <row r="34" spans="1:16" ht="15">
      <c r="A34" s="124"/>
      <c r="B34" s="127"/>
      <c r="C34" s="124" t="s">
        <v>152</v>
      </c>
      <c r="D34" s="124"/>
      <c r="E34" s="124" t="s">
        <v>7</v>
      </c>
      <c r="F34" s="124"/>
      <c r="G34" s="124"/>
      <c r="H34" s="124"/>
      <c r="I34" s="124"/>
      <c r="J34" s="124" t="s">
        <v>6</v>
      </c>
      <c r="K34" s="124"/>
      <c r="L34" s="124" t="s">
        <v>7</v>
      </c>
      <c r="M34" s="124"/>
      <c r="N34" s="124"/>
      <c r="O34" s="124"/>
      <c r="P34" s="124"/>
    </row>
    <row r="35" spans="1:16" ht="45.75" customHeight="1">
      <c r="A35" s="124"/>
      <c r="B35" s="127"/>
      <c r="C35" s="103" t="s">
        <v>8</v>
      </c>
      <c r="D35" s="103" t="s">
        <v>9</v>
      </c>
      <c r="E35" s="103" t="s">
        <v>8</v>
      </c>
      <c r="F35" s="103" t="s">
        <v>9</v>
      </c>
      <c r="G35" s="103" t="s">
        <v>8</v>
      </c>
      <c r="H35" s="103" t="s">
        <v>9</v>
      </c>
      <c r="I35" s="124"/>
      <c r="J35" s="103" t="s">
        <v>8</v>
      </c>
      <c r="K35" s="103" t="s">
        <v>9</v>
      </c>
      <c r="L35" s="103" t="s">
        <v>8</v>
      </c>
      <c r="M35" s="103" t="s">
        <v>9</v>
      </c>
      <c r="N35" s="103" t="s">
        <v>8</v>
      </c>
      <c r="O35" s="103" t="s">
        <v>9</v>
      </c>
      <c r="P35" s="124"/>
    </row>
    <row r="36" spans="1:16" ht="15">
      <c r="A36" s="2">
        <v>1</v>
      </c>
      <c r="B36" s="2">
        <v>2</v>
      </c>
      <c r="C36" s="2">
        <v>3</v>
      </c>
      <c r="D36" s="2">
        <v>4</v>
      </c>
      <c r="E36" s="2">
        <v>5</v>
      </c>
      <c r="F36" s="2">
        <v>6</v>
      </c>
      <c r="G36" s="2">
        <v>7</v>
      </c>
      <c r="H36" s="2">
        <v>8</v>
      </c>
      <c r="I36" s="2">
        <v>9</v>
      </c>
      <c r="J36" s="2">
        <v>10</v>
      </c>
      <c r="K36" s="2">
        <v>11</v>
      </c>
      <c r="L36" s="2">
        <v>12</v>
      </c>
      <c r="M36" s="2">
        <v>13</v>
      </c>
      <c r="N36" s="2">
        <v>14</v>
      </c>
      <c r="O36" s="2">
        <v>15</v>
      </c>
      <c r="P36" s="2">
        <v>16</v>
      </c>
    </row>
    <row r="37" spans="1:16" ht="15">
      <c r="A37" s="129" t="s">
        <v>48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</row>
    <row r="38" spans="1:16" ht="17.25" customHeight="1">
      <c r="A38" s="15" t="s">
        <v>49</v>
      </c>
      <c r="B38" s="11">
        <f>C38+D38+E38+F38+G38+H38</f>
        <v>0</v>
      </c>
      <c r="C38" s="11"/>
      <c r="D38" s="11"/>
      <c r="E38" s="11"/>
      <c r="F38" s="11"/>
      <c r="G38" s="11"/>
      <c r="H38" s="11"/>
      <c r="I38" s="11">
        <f aca="true" t="shared" si="0" ref="I38:I49">J38+K38+L38+M38+N38+O38</f>
        <v>0</v>
      </c>
      <c r="J38" s="11"/>
      <c r="K38" s="11"/>
      <c r="L38" s="11"/>
      <c r="M38" s="11"/>
      <c r="N38" s="11"/>
      <c r="O38" s="11"/>
      <c r="P38" s="17"/>
    </row>
    <row r="39" spans="1:22" ht="30.75" customHeight="1">
      <c r="A39" s="6" t="s">
        <v>50</v>
      </c>
      <c r="B39" s="10">
        <f aca="true" t="shared" si="1" ref="B39:B55">C39+D39+E39+F39+G39+H39</f>
        <v>251348.6</v>
      </c>
      <c r="C39" s="10">
        <f>249968.8+1031.2</f>
        <v>251000</v>
      </c>
      <c r="D39" s="10"/>
      <c r="E39" s="10"/>
      <c r="F39" s="10"/>
      <c r="G39" s="10">
        <f>186.9+108+53.7</f>
        <v>348.59999999999997</v>
      </c>
      <c r="H39" s="10"/>
      <c r="I39" s="10">
        <f t="shared" si="0"/>
        <v>250402.4</v>
      </c>
      <c r="J39" s="10">
        <v>250153.9</v>
      </c>
      <c r="K39" s="10"/>
      <c r="L39" s="10"/>
      <c r="M39" s="10"/>
      <c r="N39" s="88">
        <v>248.5</v>
      </c>
      <c r="O39" s="10"/>
      <c r="P39" s="6"/>
      <c r="Q39" s="86"/>
      <c r="R39" s="86"/>
      <c r="S39" s="86"/>
      <c r="T39" s="86"/>
      <c r="U39" s="86"/>
      <c r="V39" s="86"/>
    </row>
    <row r="40" spans="1:22" ht="30.75" customHeight="1">
      <c r="A40" s="6" t="s">
        <v>51</v>
      </c>
      <c r="B40" s="10">
        <f t="shared" si="1"/>
        <v>34142.9</v>
      </c>
      <c r="C40" s="10">
        <v>16801.9</v>
      </c>
      <c r="D40" s="10">
        <f>18291.2-950.2</f>
        <v>17341</v>
      </c>
      <c r="E40" s="10"/>
      <c r="F40" s="10"/>
      <c r="G40" s="10"/>
      <c r="H40" s="10"/>
      <c r="I40" s="10">
        <f t="shared" si="0"/>
        <v>24520.800000000003</v>
      </c>
      <c r="J40" s="10">
        <v>12187.7</v>
      </c>
      <c r="K40" s="10">
        <v>12333.1</v>
      </c>
      <c r="L40" s="10"/>
      <c r="M40" s="10"/>
      <c r="N40" s="88"/>
      <c r="O40" s="10"/>
      <c r="P40" s="6"/>
      <c r="Q40" s="86"/>
      <c r="R40" s="86"/>
      <c r="S40" s="86"/>
      <c r="T40" s="86"/>
      <c r="U40" s="86"/>
      <c r="V40" s="86"/>
    </row>
    <row r="41" spans="1:22" ht="30.75" customHeight="1">
      <c r="A41" s="6" t="s">
        <v>52</v>
      </c>
      <c r="B41" s="10">
        <f t="shared" si="1"/>
        <v>52269.7</v>
      </c>
      <c r="C41" s="10">
        <f>38412.4+12587.6</f>
        <v>51000</v>
      </c>
      <c r="D41" s="10">
        <v>950.2</v>
      </c>
      <c r="E41" s="10">
        <v>175</v>
      </c>
      <c r="F41" s="10"/>
      <c r="G41" s="10">
        <f>86.4+26.6+31.5</f>
        <v>144.5</v>
      </c>
      <c r="H41" s="10"/>
      <c r="I41" s="10">
        <f t="shared" si="0"/>
        <v>48067.59999999999</v>
      </c>
      <c r="J41" s="10">
        <f>46723.6-J42</f>
        <v>46192.299999999996</v>
      </c>
      <c r="K41" s="39">
        <f>57+1674.2</f>
        <v>1731.2</v>
      </c>
      <c r="L41" s="10"/>
      <c r="M41" s="10"/>
      <c r="N41" s="88">
        <v>144.1</v>
      </c>
      <c r="O41" s="10"/>
      <c r="P41" s="6"/>
      <c r="Q41" s="86"/>
      <c r="R41" s="86"/>
      <c r="S41" s="86"/>
      <c r="T41" s="86"/>
      <c r="U41" s="86"/>
      <c r="V41" s="86"/>
    </row>
    <row r="42" spans="1:22" ht="21" customHeight="1">
      <c r="A42" s="5" t="s">
        <v>53</v>
      </c>
      <c r="B42" s="10">
        <f t="shared" si="1"/>
        <v>531.3</v>
      </c>
      <c r="C42" s="10">
        <v>531.3</v>
      </c>
      <c r="D42" s="10"/>
      <c r="E42" s="10"/>
      <c r="F42" s="10"/>
      <c r="G42" s="10"/>
      <c r="H42" s="10"/>
      <c r="I42" s="10">
        <f t="shared" si="0"/>
        <v>531.3</v>
      </c>
      <c r="J42" s="10">
        <v>531.3</v>
      </c>
      <c r="K42" s="10"/>
      <c r="L42" s="10"/>
      <c r="M42" s="10"/>
      <c r="N42" s="10"/>
      <c r="O42" s="10"/>
      <c r="P42" s="6"/>
      <c r="Q42" s="86"/>
      <c r="R42" s="86"/>
      <c r="S42" s="86"/>
      <c r="T42" s="86"/>
      <c r="U42" s="86"/>
      <c r="V42" s="86"/>
    </row>
    <row r="43" spans="1:22" ht="30.75" customHeight="1">
      <c r="A43" s="6" t="s">
        <v>54</v>
      </c>
      <c r="B43" s="10">
        <f t="shared" si="1"/>
        <v>1750</v>
      </c>
      <c r="C43" s="10"/>
      <c r="D43" s="10">
        <v>1700</v>
      </c>
      <c r="E43" s="10"/>
      <c r="F43" s="10">
        <v>50</v>
      </c>
      <c r="G43" s="10"/>
      <c r="H43" s="10">
        <f>113-86.4-26.6</f>
        <v>0</v>
      </c>
      <c r="I43" s="10">
        <f t="shared" si="0"/>
        <v>1323.3</v>
      </c>
      <c r="J43" s="10"/>
      <c r="K43" s="10">
        <f>73.7+1249.6</f>
        <v>1323.3</v>
      </c>
      <c r="L43" s="10"/>
      <c r="M43" s="10"/>
      <c r="N43" s="10"/>
      <c r="O43" s="10"/>
      <c r="P43" s="6"/>
      <c r="Q43" s="86"/>
      <c r="R43" s="86"/>
      <c r="S43" s="86"/>
      <c r="T43" s="86"/>
      <c r="U43" s="86"/>
      <c r="V43" s="86"/>
    </row>
    <row r="44" spans="1:22" ht="30.75" customHeight="1">
      <c r="A44" s="6" t="s">
        <v>55</v>
      </c>
      <c r="B44" s="10">
        <f t="shared" si="1"/>
        <v>0</v>
      </c>
      <c r="C44" s="10"/>
      <c r="D44" s="10">
        <f>6000-6000</f>
        <v>0</v>
      </c>
      <c r="E44" s="10"/>
      <c r="F44" s="10"/>
      <c r="G44" s="10"/>
      <c r="H44" s="10"/>
      <c r="I44" s="10">
        <f t="shared" si="0"/>
        <v>0</v>
      </c>
      <c r="J44" s="10"/>
      <c r="K44" s="10"/>
      <c r="L44" s="10"/>
      <c r="M44" s="10"/>
      <c r="N44" s="10"/>
      <c r="O44" s="10"/>
      <c r="P44" s="6"/>
      <c r="Q44" s="86"/>
      <c r="R44" s="86"/>
      <c r="S44" s="86"/>
      <c r="T44" s="86"/>
      <c r="U44" s="86"/>
      <c r="V44" s="86"/>
    </row>
    <row r="45" spans="1:22" ht="30.75" customHeight="1">
      <c r="A45" s="6" t="s">
        <v>56</v>
      </c>
      <c r="B45" s="10">
        <f t="shared" si="1"/>
        <v>0</v>
      </c>
      <c r="C45" s="10"/>
      <c r="D45" s="10">
        <f>700-700</f>
        <v>0</v>
      </c>
      <c r="E45" s="10"/>
      <c r="F45" s="10"/>
      <c r="G45" s="10"/>
      <c r="H45" s="10"/>
      <c r="I45" s="10">
        <f t="shared" si="0"/>
        <v>0</v>
      </c>
      <c r="J45" s="10"/>
      <c r="K45" s="10"/>
      <c r="L45" s="10"/>
      <c r="M45" s="10"/>
      <c r="N45" s="10"/>
      <c r="O45" s="10"/>
      <c r="P45" s="6"/>
      <c r="Q45" s="86"/>
      <c r="R45" s="86"/>
      <c r="S45" s="86"/>
      <c r="T45" s="86"/>
      <c r="U45" s="86"/>
      <c r="V45" s="86"/>
    </row>
    <row r="46" spans="1:16" ht="39.75" customHeight="1" hidden="1">
      <c r="A46" s="15" t="s">
        <v>57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58"/>
    </row>
    <row r="47" spans="1:16" ht="40.5" customHeight="1" hidden="1">
      <c r="A47" s="6" t="s">
        <v>65</v>
      </c>
      <c r="B47" s="10">
        <f t="shared" si="1"/>
        <v>0</v>
      </c>
      <c r="C47" s="10">
        <v>0</v>
      </c>
      <c r="D47" s="10"/>
      <c r="E47" s="10"/>
      <c r="F47" s="10"/>
      <c r="G47" s="10"/>
      <c r="H47" s="10"/>
      <c r="I47" s="10">
        <f t="shared" si="0"/>
        <v>0</v>
      </c>
      <c r="J47" s="10"/>
      <c r="K47" s="10"/>
      <c r="L47" s="10"/>
      <c r="M47" s="10"/>
      <c r="N47" s="10"/>
      <c r="O47" s="10"/>
      <c r="P47" s="6"/>
    </row>
    <row r="48" spans="1:16" ht="49.5" customHeight="1" hidden="1">
      <c r="A48" s="18" t="s">
        <v>58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58"/>
    </row>
    <row r="49" spans="1:16" ht="66" customHeight="1" hidden="1">
      <c r="A49" s="57" t="s">
        <v>59</v>
      </c>
      <c r="B49" s="10">
        <f t="shared" si="1"/>
        <v>0</v>
      </c>
      <c r="C49" s="10">
        <v>0</v>
      </c>
      <c r="D49" s="10"/>
      <c r="E49" s="10"/>
      <c r="F49" s="10"/>
      <c r="G49" s="10"/>
      <c r="H49" s="10"/>
      <c r="I49" s="10">
        <f t="shared" si="0"/>
        <v>0</v>
      </c>
      <c r="J49" s="10"/>
      <c r="K49" s="10"/>
      <c r="L49" s="10"/>
      <c r="M49" s="10"/>
      <c r="N49" s="10"/>
      <c r="O49" s="10"/>
      <c r="P49" s="6"/>
    </row>
    <row r="50" spans="1:16" ht="24.75" customHeight="1" hidden="1">
      <c r="A50" s="20" t="s">
        <v>60</v>
      </c>
      <c r="B50" s="11">
        <f>C50+D50+E50+F50+G50+H50</f>
        <v>0</v>
      </c>
      <c r="C50" s="11"/>
      <c r="D50" s="11"/>
      <c r="E50" s="11"/>
      <c r="F50" s="11"/>
      <c r="G50" s="11"/>
      <c r="H50" s="11"/>
      <c r="I50" s="11">
        <f>J50+K50+L50+M50+N50+O50</f>
        <v>0</v>
      </c>
      <c r="J50" s="11"/>
      <c r="K50" s="11"/>
      <c r="L50" s="11"/>
      <c r="M50" s="11"/>
      <c r="N50" s="11"/>
      <c r="O50" s="11"/>
      <c r="P50" s="58"/>
    </row>
    <row r="51" spans="1:16" ht="55.5" customHeight="1" hidden="1">
      <c r="A51" s="6" t="s">
        <v>61</v>
      </c>
      <c r="B51" s="10">
        <f>C51+D51+E51+F51+G51+H51</f>
        <v>0</v>
      </c>
      <c r="C51" s="10"/>
      <c r="D51" s="10"/>
      <c r="E51" s="10"/>
      <c r="F51" s="10"/>
      <c r="G51" s="10"/>
      <c r="H51" s="10"/>
      <c r="I51" s="10">
        <f>J51+K51+L51+M51+N51+O51</f>
        <v>0</v>
      </c>
      <c r="J51" s="10"/>
      <c r="K51" s="10"/>
      <c r="L51" s="10"/>
      <c r="M51" s="10"/>
      <c r="N51" s="10"/>
      <c r="O51" s="10"/>
      <c r="P51" s="6"/>
    </row>
    <row r="52" spans="1:16" ht="31.5" customHeight="1" hidden="1">
      <c r="A52" s="6" t="s">
        <v>62</v>
      </c>
      <c r="B52" s="10">
        <f>C52+D52+E52+F52+G52+H52</f>
        <v>0</v>
      </c>
      <c r="C52" s="10"/>
      <c r="D52" s="10"/>
      <c r="E52" s="10"/>
      <c r="F52" s="10"/>
      <c r="G52" s="10"/>
      <c r="H52" s="10"/>
      <c r="I52" s="10">
        <f>J52+K52+L52+M52+N52+O52</f>
        <v>0</v>
      </c>
      <c r="J52" s="10"/>
      <c r="K52" s="10"/>
      <c r="L52" s="10"/>
      <c r="M52" s="10"/>
      <c r="N52" s="10"/>
      <c r="O52" s="10"/>
      <c r="P52" s="6"/>
    </row>
    <row r="53" spans="1:16" ht="45" customHeight="1" hidden="1">
      <c r="A53" s="6" t="s">
        <v>63</v>
      </c>
      <c r="B53" s="10">
        <f t="shared" si="1"/>
        <v>0</v>
      </c>
      <c r="C53" s="10"/>
      <c r="D53" s="10"/>
      <c r="E53" s="10"/>
      <c r="F53" s="10"/>
      <c r="G53" s="10"/>
      <c r="H53" s="10"/>
      <c r="I53" s="10">
        <f>J53+K53+L53+M53+N53+O53</f>
        <v>0</v>
      </c>
      <c r="J53" s="10"/>
      <c r="K53" s="10"/>
      <c r="L53" s="10"/>
      <c r="M53" s="10"/>
      <c r="N53" s="10"/>
      <c r="O53" s="10"/>
      <c r="P53" s="55"/>
    </row>
    <row r="54" spans="1:16" ht="59.25" customHeight="1" hidden="1">
      <c r="A54" s="6" t="s">
        <v>64</v>
      </c>
      <c r="B54" s="10">
        <f t="shared" si="1"/>
        <v>0</v>
      </c>
      <c r="C54" s="10"/>
      <c r="D54" s="10"/>
      <c r="E54" s="10"/>
      <c r="F54" s="10"/>
      <c r="G54" s="10"/>
      <c r="H54" s="10"/>
      <c r="I54" s="10">
        <f>J54+K54+L54+M54+N54+O54</f>
        <v>0</v>
      </c>
      <c r="J54" s="10"/>
      <c r="K54" s="10"/>
      <c r="L54" s="10"/>
      <c r="M54" s="10"/>
      <c r="N54" s="10"/>
      <c r="O54" s="10"/>
      <c r="P54" s="6"/>
    </row>
    <row r="55" spans="1:18" ht="15">
      <c r="A55" s="25" t="s">
        <v>12</v>
      </c>
      <c r="B55" s="27">
        <f t="shared" si="1"/>
        <v>340042.5</v>
      </c>
      <c r="C55" s="27">
        <f aca="true" t="shared" si="2" ref="C55:O55">SUM(C38:C54)</f>
        <v>319333.2</v>
      </c>
      <c r="D55" s="27">
        <f t="shared" si="2"/>
        <v>19991.2</v>
      </c>
      <c r="E55" s="27">
        <f t="shared" si="2"/>
        <v>175</v>
      </c>
      <c r="F55" s="27">
        <f t="shared" si="2"/>
        <v>50</v>
      </c>
      <c r="G55" s="27">
        <f t="shared" si="2"/>
        <v>493.09999999999997</v>
      </c>
      <c r="H55" s="27">
        <f t="shared" si="2"/>
        <v>0</v>
      </c>
      <c r="I55" s="27">
        <f t="shared" si="2"/>
        <v>324845.39999999997</v>
      </c>
      <c r="J55" s="27">
        <f t="shared" si="2"/>
        <v>309065.19999999995</v>
      </c>
      <c r="K55" s="27">
        <f t="shared" si="2"/>
        <v>15387.6</v>
      </c>
      <c r="L55" s="27">
        <f t="shared" si="2"/>
        <v>0</v>
      </c>
      <c r="M55" s="27">
        <f t="shared" si="2"/>
        <v>0</v>
      </c>
      <c r="N55" s="27">
        <f t="shared" si="2"/>
        <v>392.6</v>
      </c>
      <c r="O55" s="27">
        <f t="shared" si="2"/>
        <v>0</v>
      </c>
      <c r="P55" s="36">
        <f>I55/B55*100</f>
        <v>95.53082335296322</v>
      </c>
      <c r="Q55" s="86">
        <f>C55+E55+G55</f>
        <v>320001.3</v>
      </c>
      <c r="R55" s="86">
        <f>D55+F55+H55</f>
        <v>20041.2</v>
      </c>
    </row>
    <row r="56" spans="1:16" ht="15.75">
      <c r="A56" s="128" t="s">
        <v>66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</row>
    <row r="57" spans="1:16" ht="21.75" customHeight="1">
      <c r="A57" s="15" t="s">
        <v>67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17"/>
    </row>
    <row r="58" spans="1:22" ht="30.75" customHeight="1">
      <c r="A58" s="73" t="s">
        <v>68</v>
      </c>
      <c r="B58" s="39">
        <f aca="true" t="shared" si="3" ref="B58:B71">C58+D58+E58+F58+G58+H58</f>
        <v>635934.4</v>
      </c>
      <c r="C58" s="39">
        <v>163882</v>
      </c>
      <c r="D58" s="39">
        <f>2767.8+567.2</f>
        <v>3335</v>
      </c>
      <c r="E58" s="40"/>
      <c r="F58" s="40"/>
      <c r="G58" s="39">
        <f>448743.6+2079.4+18139.9-245.5</f>
        <v>468717.4</v>
      </c>
      <c r="H58" s="40"/>
      <c r="I58" s="10">
        <f aca="true" t="shared" si="4" ref="I58:I71">J58+K58+L58+M58+N58+O58</f>
        <v>617049.3999999999</v>
      </c>
      <c r="J58" s="10">
        <f>142322.4+3352.4</f>
        <v>145674.8</v>
      </c>
      <c r="K58" s="3">
        <v>2902.5</v>
      </c>
      <c r="L58" s="3"/>
      <c r="M58" s="3"/>
      <c r="N58" s="3">
        <f>468062.1+410</f>
        <v>468472.1</v>
      </c>
      <c r="O58" s="3"/>
      <c r="P58" s="6"/>
      <c r="Q58" s="86"/>
      <c r="R58" s="86"/>
      <c r="S58" s="86"/>
      <c r="T58" s="86"/>
      <c r="U58" s="86"/>
      <c r="V58" s="86"/>
    </row>
    <row r="59" spans="1:22" ht="41.25" customHeight="1">
      <c r="A59" s="73" t="s">
        <v>69</v>
      </c>
      <c r="B59" s="39">
        <f>C59+D59+E59+F59+G59+H59</f>
        <v>2694.6000000000004</v>
      </c>
      <c r="C59" s="39"/>
      <c r="D59" s="40"/>
      <c r="E59" s="40"/>
      <c r="F59" s="40"/>
      <c r="G59" s="39">
        <f>1594+1066.3+34.3</f>
        <v>2694.6000000000004</v>
      </c>
      <c r="H59" s="40"/>
      <c r="I59" s="10">
        <f>J59+K59+L59+M59+N59+O59</f>
        <v>2854.5</v>
      </c>
      <c r="J59" s="10"/>
      <c r="K59" s="3"/>
      <c r="L59" s="3"/>
      <c r="M59" s="3"/>
      <c r="N59" s="3">
        <v>2782.7</v>
      </c>
      <c r="O59" s="3">
        <v>71.8</v>
      </c>
      <c r="P59" s="6"/>
      <c r="Q59" s="86"/>
      <c r="R59" s="86"/>
      <c r="S59" s="86"/>
      <c r="T59" s="86"/>
      <c r="U59" s="86"/>
      <c r="V59" s="86"/>
    </row>
    <row r="60" spans="1:22" ht="44.25" customHeight="1">
      <c r="A60" s="73" t="s">
        <v>70</v>
      </c>
      <c r="B60" s="39">
        <f>C60+D60+E60+F60+G60+H60</f>
        <v>39623.3</v>
      </c>
      <c r="C60" s="39">
        <v>19561</v>
      </c>
      <c r="D60" s="40">
        <v>20062.3</v>
      </c>
      <c r="E60" s="40"/>
      <c r="F60" s="40"/>
      <c r="G60" s="40"/>
      <c r="H60" s="40"/>
      <c r="I60" s="10">
        <f>J60+K60+L60+M60+N60+O60</f>
        <v>26554.7</v>
      </c>
      <c r="J60" s="10">
        <f>14671.7+119</f>
        <v>14790.7</v>
      </c>
      <c r="K60" s="3">
        <f>11727.2+25.9+10.9</f>
        <v>11764</v>
      </c>
      <c r="L60" s="3"/>
      <c r="M60" s="3"/>
      <c r="N60" s="3"/>
      <c r="O60" s="3"/>
      <c r="P60" s="6"/>
      <c r="Q60" s="86"/>
      <c r="R60" s="86"/>
      <c r="S60" s="86"/>
      <c r="T60" s="86"/>
      <c r="U60" s="86"/>
      <c r="V60" s="86"/>
    </row>
    <row r="61" spans="1:22" ht="27.75" customHeight="1">
      <c r="A61" s="48" t="s">
        <v>71</v>
      </c>
      <c r="B61" s="39">
        <f>C61+D61+E61+F61+G61+H61</f>
        <v>80891.1</v>
      </c>
      <c r="C61" s="39">
        <f>62859.4+7540.6</f>
        <v>70400</v>
      </c>
      <c r="D61" s="40">
        <f>54.2+2545.8</f>
        <v>2600</v>
      </c>
      <c r="E61" s="40">
        <v>112.6</v>
      </c>
      <c r="F61" s="40"/>
      <c r="G61" s="39">
        <f>6168+669+718.9+246-45+21.6</f>
        <v>7778.5</v>
      </c>
      <c r="H61" s="40"/>
      <c r="I61" s="10">
        <f>J61+K61+L61+M61+N61+O61</f>
        <v>78523.4</v>
      </c>
      <c r="J61" s="10">
        <f>65942.9+520.9+2091.8-J62</f>
        <v>67627.99999999999</v>
      </c>
      <c r="K61" s="3">
        <f>4946.3+83.8</f>
        <v>5030.1</v>
      </c>
      <c r="L61" s="3"/>
      <c r="M61" s="3"/>
      <c r="N61" s="3">
        <f>1063.8+4801.5</f>
        <v>5865.3</v>
      </c>
      <c r="O61" s="3"/>
      <c r="P61" s="6"/>
      <c r="Q61" s="86"/>
      <c r="R61" s="86"/>
      <c r="S61" s="86"/>
      <c r="T61" s="86"/>
      <c r="U61" s="86"/>
      <c r="V61" s="86"/>
    </row>
    <row r="62" spans="1:22" ht="20.25" customHeight="1">
      <c r="A62" s="74" t="s">
        <v>72</v>
      </c>
      <c r="B62" s="39">
        <f>C62+D62+E62+F62+G62+H62</f>
        <v>927.6</v>
      </c>
      <c r="C62" s="39">
        <v>927.6</v>
      </c>
      <c r="D62" s="40"/>
      <c r="E62" s="40"/>
      <c r="F62" s="40"/>
      <c r="G62" s="40"/>
      <c r="H62" s="40"/>
      <c r="I62" s="10">
        <f>J62+K62+L62+M62+N62+O62</f>
        <v>927.6</v>
      </c>
      <c r="J62" s="10">
        <v>927.6</v>
      </c>
      <c r="K62" s="3"/>
      <c r="L62" s="3"/>
      <c r="M62" s="3"/>
      <c r="N62" s="3"/>
      <c r="O62" s="3"/>
      <c r="P62" s="6"/>
      <c r="Q62" s="86"/>
      <c r="R62" s="86"/>
      <c r="S62" s="86"/>
      <c r="T62" s="86"/>
      <c r="U62" s="86"/>
      <c r="V62" s="86"/>
    </row>
    <row r="63" spans="1:22" ht="30.75" customHeight="1">
      <c r="A63" s="73" t="s">
        <v>73</v>
      </c>
      <c r="B63" s="39">
        <f>C63+D63+E63+F63+G63+H63</f>
        <v>8193.3</v>
      </c>
      <c r="C63" s="39"/>
      <c r="D63" s="39">
        <f>1655+3345</f>
        <v>5000</v>
      </c>
      <c r="E63" s="39"/>
      <c r="F63" s="39">
        <v>40</v>
      </c>
      <c r="G63" s="39"/>
      <c r="H63" s="39">
        <f>790.9-718.9+709.3+1043.1+1754-425.1</f>
        <v>3153.2999999999997</v>
      </c>
      <c r="I63" s="10">
        <f>J63+K63+L63+M63+N63+O63</f>
        <v>9799.5</v>
      </c>
      <c r="J63" s="10"/>
      <c r="K63" s="3">
        <f>5189.3+50.4+1238.6+364.1</f>
        <v>6842.4</v>
      </c>
      <c r="L63" s="3"/>
      <c r="M63" s="3"/>
      <c r="N63" s="3"/>
      <c r="O63" s="116">
        <f>2312.7+644.4</f>
        <v>2957.1</v>
      </c>
      <c r="P63" s="6"/>
      <c r="Q63" s="86"/>
      <c r="R63" s="86"/>
      <c r="S63" s="86"/>
      <c r="T63" s="86"/>
      <c r="U63" s="86"/>
      <c r="V63" s="86"/>
    </row>
    <row r="64" spans="1:22" ht="18" customHeight="1">
      <c r="A64" s="75" t="s">
        <v>74</v>
      </c>
      <c r="B64" s="39">
        <f t="shared" si="3"/>
        <v>3302.3</v>
      </c>
      <c r="C64" s="39"/>
      <c r="D64" s="39">
        <f>12572.6-12572.6</f>
        <v>0</v>
      </c>
      <c r="E64" s="39"/>
      <c r="F64" s="39"/>
      <c r="G64" s="39"/>
      <c r="H64" s="39">
        <v>3302.3</v>
      </c>
      <c r="I64" s="10">
        <f t="shared" si="4"/>
        <v>3302.3</v>
      </c>
      <c r="J64" s="3"/>
      <c r="K64" s="3"/>
      <c r="L64" s="3"/>
      <c r="M64" s="3"/>
      <c r="N64" s="3"/>
      <c r="O64" s="3">
        <v>3302.3</v>
      </c>
      <c r="P64" s="6"/>
      <c r="Q64" s="86"/>
      <c r="R64" s="86"/>
      <c r="S64" s="86"/>
      <c r="T64" s="86"/>
      <c r="U64" s="86"/>
      <c r="V64" s="86"/>
    </row>
    <row r="65" spans="1:22" ht="30.75" customHeight="1">
      <c r="A65" s="48" t="s">
        <v>75</v>
      </c>
      <c r="B65" s="39">
        <f t="shared" si="3"/>
        <v>377.2</v>
      </c>
      <c r="C65" s="39"/>
      <c r="D65" s="39">
        <f>5517.4-5517.4</f>
        <v>0</v>
      </c>
      <c r="E65" s="40"/>
      <c r="F65" s="40"/>
      <c r="G65" s="40"/>
      <c r="H65" s="40">
        <f>377.2</f>
        <v>377.2</v>
      </c>
      <c r="I65" s="10">
        <f t="shared" si="4"/>
        <v>375.2999999999997</v>
      </c>
      <c r="J65" s="8"/>
      <c r="K65" s="3"/>
      <c r="L65" s="3"/>
      <c r="M65" s="3"/>
      <c r="N65" s="3"/>
      <c r="O65" s="3">
        <f>3677.6-3302.3</f>
        <v>375.2999999999997</v>
      </c>
      <c r="P65" s="6"/>
      <c r="Q65" s="86"/>
      <c r="R65" s="86"/>
      <c r="S65" s="86"/>
      <c r="T65" s="86"/>
      <c r="U65" s="86"/>
      <c r="V65" s="86"/>
    </row>
    <row r="66" spans="1:16" ht="42" customHeight="1" hidden="1">
      <c r="A66" s="15" t="s">
        <v>57</v>
      </c>
      <c r="B66" s="12"/>
      <c r="C66" s="12"/>
      <c r="D66" s="17"/>
      <c r="E66" s="17"/>
      <c r="F66" s="17"/>
      <c r="G66" s="17"/>
      <c r="H66" s="17"/>
      <c r="I66" s="12"/>
      <c r="J66" s="17"/>
      <c r="K66" s="17"/>
      <c r="L66" s="17"/>
      <c r="M66" s="17"/>
      <c r="N66" s="17"/>
      <c r="O66" s="17"/>
      <c r="P66" s="17"/>
    </row>
    <row r="67" spans="1:16" ht="42.75" customHeight="1" hidden="1">
      <c r="A67" s="6" t="s">
        <v>76</v>
      </c>
      <c r="B67" s="10">
        <f t="shared" si="3"/>
        <v>0</v>
      </c>
      <c r="C67" s="10">
        <v>0</v>
      </c>
      <c r="D67" s="8"/>
      <c r="E67" s="8"/>
      <c r="F67" s="8"/>
      <c r="G67" s="8"/>
      <c r="H67" s="8"/>
      <c r="I67" s="10">
        <f t="shared" si="4"/>
        <v>0</v>
      </c>
      <c r="J67" s="8"/>
      <c r="K67" s="8"/>
      <c r="L67" s="8"/>
      <c r="M67" s="8"/>
      <c r="N67" s="8"/>
      <c r="O67" s="8"/>
      <c r="P67" s="60"/>
    </row>
    <row r="68" spans="1:16" ht="51" customHeight="1" hidden="1">
      <c r="A68" s="15" t="s">
        <v>77</v>
      </c>
      <c r="B68" s="11">
        <f t="shared" si="3"/>
        <v>0</v>
      </c>
      <c r="C68" s="12"/>
      <c r="D68" s="17"/>
      <c r="E68" s="17"/>
      <c r="F68" s="17"/>
      <c r="G68" s="17"/>
      <c r="H68" s="17"/>
      <c r="I68" s="11">
        <f t="shared" si="4"/>
        <v>0</v>
      </c>
      <c r="J68" s="17"/>
      <c r="K68" s="17"/>
      <c r="L68" s="17"/>
      <c r="M68" s="17"/>
      <c r="N68" s="17"/>
      <c r="O68" s="17"/>
      <c r="P68" s="62"/>
    </row>
    <row r="69" spans="1:16" ht="68.25" customHeight="1" hidden="1">
      <c r="A69" s="6" t="s">
        <v>79</v>
      </c>
      <c r="B69" s="10">
        <f t="shared" si="3"/>
        <v>0</v>
      </c>
      <c r="C69" s="10">
        <v>0</v>
      </c>
      <c r="D69" s="8"/>
      <c r="E69" s="8"/>
      <c r="F69" s="8"/>
      <c r="G69" s="8"/>
      <c r="H69" s="8"/>
      <c r="I69" s="10">
        <f t="shared" si="4"/>
        <v>0</v>
      </c>
      <c r="J69" s="8"/>
      <c r="K69" s="8"/>
      <c r="L69" s="8"/>
      <c r="M69" s="8"/>
      <c r="N69" s="8"/>
      <c r="O69" s="8"/>
      <c r="P69" s="60"/>
    </row>
    <row r="70" spans="1:16" ht="50.25" customHeight="1" hidden="1">
      <c r="A70" s="61" t="s">
        <v>80</v>
      </c>
      <c r="B70" s="11"/>
      <c r="C70" s="12"/>
      <c r="D70" s="17"/>
      <c r="E70" s="17"/>
      <c r="F70" s="17"/>
      <c r="G70" s="17"/>
      <c r="H70" s="17"/>
      <c r="I70" s="11"/>
      <c r="J70" s="17"/>
      <c r="K70" s="17"/>
      <c r="L70" s="17"/>
      <c r="M70" s="17"/>
      <c r="N70" s="17"/>
      <c r="O70" s="17"/>
      <c r="P70" s="58"/>
    </row>
    <row r="71" spans="1:16" ht="28.5" hidden="1">
      <c r="A71" s="63" t="s">
        <v>78</v>
      </c>
      <c r="B71" s="10">
        <f t="shared" si="3"/>
        <v>0</v>
      </c>
      <c r="C71" s="10">
        <v>0</v>
      </c>
      <c r="D71" s="10"/>
      <c r="E71" s="10"/>
      <c r="F71" s="10"/>
      <c r="G71" s="10"/>
      <c r="H71" s="10"/>
      <c r="I71" s="10">
        <f t="shared" si="4"/>
        <v>0</v>
      </c>
      <c r="J71" s="10"/>
      <c r="K71" s="10"/>
      <c r="L71" s="10"/>
      <c r="M71" s="10"/>
      <c r="N71" s="10"/>
      <c r="O71" s="10"/>
      <c r="P71" s="60"/>
    </row>
    <row r="72" spans="1:16" ht="38.25" hidden="1">
      <c r="A72" s="65" t="s">
        <v>81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64"/>
    </row>
    <row r="73" spans="1:16" ht="38.25" hidden="1">
      <c r="A73" s="7" t="s">
        <v>82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60"/>
    </row>
    <row r="74" spans="1:16" ht="26.25" hidden="1">
      <c r="A74" s="6" t="s">
        <v>83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60"/>
    </row>
    <row r="75" spans="1:16" ht="31.5" customHeight="1" hidden="1">
      <c r="A75" s="6" t="s">
        <v>84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60"/>
    </row>
    <row r="76" spans="1:16" ht="26.25" hidden="1">
      <c r="A76" s="6" t="s">
        <v>85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60"/>
    </row>
    <row r="77" spans="1:18" ht="20.25" customHeight="1">
      <c r="A77" s="25" t="s">
        <v>13</v>
      </c>
      <c r="B77" s="27">
        <f>C77+D77+E77+F77+G77+H77</f>
        <v>771943.8</v>
      </c>
      <c r="C77" s="27">
        <f aca="true" t="shared" si="5" ref="C77:O77">SUM(C58:C71)</f>
        <v>254770.6</v>
      </c>
      <c r="D77" s="26">
        <f t="shared" si="5"/>
        <v>30997.3</v>
      </c>
      <c r="E77" s="27">
        <f t="shared" si="5"/>
        <v>112.6</v>
      </c>
      <c r="F77" s="27">
        <f t="shared" si="5"/>
        <v>40</v>
      </c>
      <c r="G77" s="27">
        <f t="shared" si="5"/>
        <v>479190.5</v>
      </c>
      <c r="H77" s="26">
        <f t="shared" si="5"/>
        <v>6832.8</v>
      </c>
      <c r="I77" s="26">
        <f t="shared" si="5"/>
        <v>739386.7</v>
      </c>
      <c r="J77" s="26">
        <f t="shared" si="5"/>
        <v>229021.1</v>
      </c>
      <c r="K77" s="26">
        <f t="shared" si="5"/>
        <v>26539</v>
      </c>
      <c r="L77" s="26">
        <f t="shared" si="5"/>
        <v>0</v>
      </c>
      <c r="M77" s="26">
        <f t="shared" si="5"/>
        <v>0</v>
      </c>
      <c r="N77" s="26">
        <f t="shared" si="5"/>
        <v>477120.1</v>
      </c>
      <c r="O77" s="26">
        <f t="shared" si="5"/>
        <v>6706.5</v>
      </c>
      <c r="P77" s="36">
        <f>I77/B77*100</f>
        <v>95.78245203860695</v>
      </c>
      <c r="Q77" s="86">
        <f>C77+E77+G77</f>
        <v>734073.7</v>
      </c>
      <c r="R77" s="86">
        <f>D77+F77+H77</f>
        <v>37870.1</v>
      </c>
    </row>
    <row r="78" spans="1:16" ht="15">
      <c r="A78" s="129" t="s">
        <v>86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</row>
    <row r="79" spans="1:16" ht="25.5">
      <c r="A79" s="21" t="s">
        <v>14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ht="26.25">
      <c r="A80" s="9" t="s">
        <v>87</v>
      </c>
      <c r="B80" s="39">
        <f>C80+D80+E80+F80+G80+H80</f>
        <v>0</v>
      </c>
      <c r="C80" s="39"/>
      <c r="D80" s="39"/>
      <c r="E80" s="39"/>
      <c r="F80" s="39"/>
      <c r="G80" s="39"/>
      <c r="H80" s="39"/>
      <c r="I80" s="39">
        <f>J80+K80+L80+M80+N80+O80</f>
        <v>0</v>
      </c>
      <c r="J80" s="39"/>
      <c r="K80" s="39"/>
      <c r="L80" s="39"/>
      <c r="M80" s="39"/>
      <c r="N80" s="39"/>
      <c r="O80" s="39"/>
      <c r="P80" s="6"/>
    </row>
    <row r="81" spans="1:16" ht="30.75" customHeight="1">
      <c r="A81" s="9" t="s">
        <v>88</v>
      </c>
      <c r="B81" s="39">
        <f>C81+D81+E81+F81+G81+H81</f>
        <v>0</v>
      </c>
      <c r="C81" s="39"/>
      <c r="D81" s="39"/>
      <c r="E81" s="39"/>
      <c r="F81" s="39"/>
      <c r="G81" s="39"/>
      <c r="H81" s="39"/>
      <c r="I81" s="39">
        <f>J81+K81+L81+M81+N81+O81</f>
        <v>0</v>
      </c>
      <c r="J81" s="39"/>
      <c r="K81" s="39"/>
      <c r="L81" s="39"/>
      <c r="M81" s="39"/>
      <c r="N81" s="39"/>
      <c r="O81" s="39"/>
      <c r="P81" s="48"/>
    </row>
    <row r="82" spans="1:16" ht="15">
      <c r="A82" s="25" t="s">
        <v>15</v>
      </c>
      <c r="B82" s="27">
        <f>SUM(B80:B81)</f>
        <v>0</v>
      </c>
      <c r="C82" s="27">
        <f aca="true" t="shared" si="6" ref="C82:O82">SUM(C80:C81)</f>
        <v>0</v>
      </c>
      <c r="D82" s="27">
        <f t="shared" si="6"/>
        <v>0</v>
      </c>
      <c r="E82" s="27">
        <f t="shared" si="6"/>
        <v>0</v>
      </c>
      <c r="F82" s="27">
        <f t="shared" si="6"/>
        <v>0</v>
      </c>
      <c r="G82" s="27">
        <f t="shared" si="6"/>
        <v>0</v>
      </c>
      <c r="H82" s="27">
        <f t="shared" si="6"/>
        <v>0</v>
      </c>
      <c r="I82" s="27">
        <f t="shared" si="6"/>
        <v>0</v>
      </c>
      <c r="J82" s="27">
        <f t="shared" si="6"/>
        <v>0</v>
      </c>
      <c r="K82" s="27">
        <f t="shared" si="6"/>
        <v>0</v>
      </c>
      <c r="L82" s="27">
        <f t="shared" si="6"/>
        <v>0</v>
      </c>
      <c r="M82" s="27">
        <f t="shared" si="6"/>
        <v>0</v>
      </c>
      <c r="N82" s="27">
        <f t="shared" si="6"/>
        <v>0</v>
      </c>
      <c r="O82" s="27">
        <f t="shared" si="6"/>
        <v>0</v>
      </c>
      <c r="P82" s="25"/>
    </row>
    <row r="83" spans="1:16" ht="15.75">
      <c r="A83" s="128" t="s">
        <v>89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</row>
    <row r="84" spans="1:16" ht="26.25">
      <c r="A84" s="67" t="s">
        <v>95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118"/>
    </row>
    <row r="85" spans="1:16" ht="27.75" customHeight="1">
      <c r="A85" s="9" t="s">
        <v>90</v>
      </c>
      <c r="B85" s="10">
        <f aca="true" t="shared" si="7" ref="B85:B91">C85+D85+E85+F85+G85+H85</f>
        <v>26579.5</v>
      </c>
      <c r="C85" s="10">
        <v>10769.5</v>
      </c>
      <c r="D85" s="10"/>
      <c r="E85" s="10"/>
      <c r="F85" s="10"/>
      <c r="G85" s="10">
        <f>15564.5+245.5</f>
        <v>15810</v>
      </c>
      <c r="H85" s="10"/>
      <c r="I85" s="10">
        <f aca="true" t="shared" si="8" ref="I85:I91">J85+K85+L85+M85+N85+O85</f>
        <v>26551.8</v>
      </c>
      <c r="J85" s="10">
        <v>10750.8</v>
      </c>
      <c r="K85" s="10"/>
      <c r="L85" s="10"/>
      <c r="M85" s="10"/>
      <c r="N85" s="10">
        <v>15801</v>
      </c>
      <c r="O85" s="10"/>
      <c r="P85" s="6"/>
    </row>
    <row r="86" spans="1:16" ht="26.25">
      <c r="A86" s="9" t="s">
        <v>91</v>
      </c>
      <c r="B86" s="10">
        <f t="shared" si="7"/>
        <v>1165.8</v>
      </c>
      <c r="C86" s="10">
        <v>1165.8</v>
      </c>
      <c r="D86" s="10"/>
      <c r="E86" s="10"/>
      <c r="F86" s="10"/>
      <c r="G86" s="10"/>
      <c r="H86" s="10"/>
      <c r="I86" s="10">
        <f t="shared" si="8"/>
        <v>1055</v>
      </c>
      <c r="J86" s="10">
        <v>1055</v>
      </c>
      <c r="K86" s="10"/>
      <c r="L86" s="10"/>
      <c r="M86" s="10"/>
      <c r="N86" s="10"/>
      <c r="O86" s="10"/>
      <c r="P86" s="6"/>
    </row>
    <row r="87" spans="1:16" ht="26.25">
      <c r="A87" s="9" t="s">
        <v>92</v>
      </c>
      <c r="B87" s="10">
        <f t="shared" si="7"/>
        <v>3339.7</v>
      </c>
      <c r="C87" s="10">
        <f>1700+400+400+610</f>
        <v>3110</v>
      </c>
      <c r="D87" s="10">
        <v>50</v>
      </c>
      <c r="E87" s="10"/>
      <c r="F87" s="10"/>
      <c r="G87" s="10">
        <f>40+85.6+54.1</f>
        <v>179.7</v>
      </c>
      <c r="H87" s="10"/>
      <c r="I87" s="10">
        <f t="shared" si="8"/>
        <v>3152</v>
      </c>
      <c r="J87" s="10">
        <f>3023.6-J88</f>
        <v>3018.4</v>
      </c>
      <c r="K87" s="10">
        <v>93.6</v>
      </c>
      <c r="L87" s="10"/>
      <c r="M87" s="10"/>
      <c r="N87" s="10">
        <v>40</v>
      </c>
      <c r="O87" s="10"/>
      <c r="P87" s="3"/>
    </row>
    <row r="88" spans="1:16" ht="15">
      <c r="A88" s="59" t="s">
        <v>53</v>
      </c>
      <c r="B88" s="10">
        <f t="shared" si="7"/>
        <v>5.2</v>
      </c>
      <c r="C88" s="10">
        <v>5.2</v>
      </c>
      <c r="D88" s="10"/>
      <c r="E88" s="10"/>
      <c r="F88" s="10"/>
      <c r="G88" s="10"/>
      <c r="H88" s="10"/>
      <c r="I88" s="10">
        <f t="shared" si="8"/>
        <v>5.2</v>
      </c>
      <c r="J88" s="10">
        <v>5.2</v>
      </c>
      <c r="K88" s="10"/>
      <c r="L88" s="10"/>
      <c r="M88" s="10"/>
      <c r="N88" s="10"/>
      <c r="O88" s="10"/>
      <c r="P88" s="3"/>
    </row>
    <row r="89" spans="1:16" ht="26.25">
      <c r="A89" s="73" t="s">
        <v>54</v>
      </c>
      <c r="B89" s="39">
        <f t="shared" si="7"/>
        <v>276.4</v>
      </c>
      <c r="C89" s="39"/>
      <c r="D89" s="39">
        <v>250</v>
      </c>
      <c r="E89" s="10"/>
      <c r="F89" s="10"/>
      <c r="G89" s="10"/>
      <c r="H89" s="10">
        <f>52.8-26.4</f>
        <v>26.4</v>
      </c>
      <c r="I89" s="10">
        <f t="shared" si="8"/>
        <v>174.3</v>
      </c>
      <c r="J89" s="10"/>
      <c r="K89" s="10">
        <f>77.3+97</f>
        <v>174.3</v>
      </c>
      <c r="L89" s="10"/>
      <c r="M89" s="10"/>
      <c r="N89" s="10"/>
      <c r="O89" s="10"/>
      <c r="P89" s="3"/>
    </row>
    <row r="90" spans="1:16" ht="15">
      <c r="A90" s="75" t="s">
        <v>93</v>
      </c>
      <c r="B90" s="39">
        <f t="shared" si="7"/>
        <v>0</v>
      </c>
      <c r="C90" s="39"/>
      <c r="D90" s="39">
        <f>150-150</f>
        <v>0</v>
      </c>
      <c r="E90" s="10"/>
      <c r="F90" s="10"/>
      <c r="G90" s="10"/>
      <c r="H90" s="10"/>
      <c r="I90" s="10">
        <f t="shared" si="8"/>
        <v>0</v>
      </c>
      <c r="J90" s="10"/>
      <c r="K90" s="10"/>
      <c r="L90" s="10"/>
      <c r="M90" s="10"/>
      <c r="N90" s="10"/>
      <c r="O90" s="10"/>
      <c r="P90" s="3"/>
    </row>
    <row r="91" spans="1:16" ht="15">
      <c r="A91" s="5" t="s">
        <v>94</v>
      </c>
      <c r="B91" s="10">
        <f t="shared" si="7"/>
        <v>0</v>
      </c>
      <c r="C91" s="10"/>
      <c r="D91" s="10"/>
      <c r="E91" s="10"/>
      <c r="F91" s="10"/>
      <c r="G91" s="10"/>
      <c r="H91" s="10"/>
      <c r="I91" s="10">
        <f t="shared" si="8"/>
        <v>0</v>
      </c>
      <c r="J91" s="10"/>
      <c r="K91" s="10"/>
      <c r="L91" s="10"/>
      <c r="M91" s="10"/>
      <c r="N91" s="10"/>
      <c r="O91" s="10"/>
      <c r="P91" s="3"/>
    </row>
    <row r="92" spans="1:18" ht="15">
      <c r="A92" s="25" t="s">
        <v>17</v>
      </c>
      <c r="B92" s="27">
        <f>SUM(B85:B91)</f>
        <v>31366.600000000002</v>
      </c>
      <c r="C92" s="27">
        <f aca="true" t="shared" si="9" ref="C92:O92">SUM(C85:C91)</f>
        <v>15050.5</v>
      </c>
      <c r="D92" s="27">
        <f t="shared" si="9"/>
        <v>300</v>
      </c>
      <c r="E92" s="27">
        <f t="shared" si="9"/>
        <v>0</v>
      </c>
      <c r="F92" s="27">
        <f t="shared" si="9"/>
        <v>0</v>
      </c>
      <c r="G92" s="27">
        <f t="shared" si="9"/>
        <v>15989.7</v>
      </c>
      <c r="H92" s="27">
        <f t="shared" si="9"/>
        <v>26.4</v>
      </c>
      <c r="I92" s="27">
        <f t="shared" si="9"/>
        <v>30938.3</v>
      </c>
      <c r="J92" s="27">
        <f t="shared" si="9"/>
        <v>14829.4</v>
      </c>
      <c r="K92" s="27">
        <f t="shared" si="9"/>
        <v>267.9</v>
      </c>
      <c r="L92" s="27">
        <f t="shared" si="9"/>
        <v>0</v>
      </c>
      <c r="M92" s="27">
        <f t="shared" si="9"/>
        <v>0</v>
      </c>
      <c r="N92" s="27">
        <f t="shared" si="9"/>
        <v>15841</v>
      </c>
      <c r="O92" s="27">
        <f t="shared" si="9"/>
        <v>0</v>
      </c>
      <c r="P92" s="36">
        <f>I92/B92*100</f>
        <v>98.63453482366593</v>
      </c>
      <c r="Q92" s="86">
        <f>C92+E92+G92</f>
        <v>31040.2</v>
      </c>
      <c r="R92" s="86">
        <f>D92+F92+H92</f>
        <v>326.4</v>
      </c>
    </row>
    <row r="93" spans="1:16" ht="15.75">
      <c r="A93" s="128" t="s">
        <v>96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</row>
    <row r="94" spans="1:16" ht="15">
      <c r="A94" s="15" t="s">
        <v>97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ht="26.25">
      <c r="A95" s="9" t="s">
        <v>98</v>
      </c>
      <c r="B95" s="39">
        <f aca="true" t="shared" si="10" ref="B95:B100">C95+D95+E95+F95+G95+H95</f>
        <v>31900</v>
      </c>
      <c r="C95" s="40">
        <f>31470.9+429.1</f>
        <v>31900</v>
      </c>
      <c r="D95" s="39"/>
      <c r="E95" s="39"/>
      <c r="F95" s="39"/>
      <c r="G95" s="39"/>
      <c r="H95" s="39"/>
      <c r="I95" s="39">
        <f aca="true" t="shared" si="11" ref="I95:I100">J95+K95+L95+M95+N95+O95</f>
        <v>31843.6</v>
      </c>
      <c r="J95" s="39">
        <v>31843.6</v>
      </c>
      <c r="K95" s="39"/>
      <c r="L95" s="39"/>
      <c r="M95" s="39"/>
      <c r="N95" s="39"/>
      <c r="O95" s="39"/>
      <c r="P95" s="6"/>
    </row>
    <row r="96" spans="1:16" ht="26.25">
      <c r="A96" s="9" t="s">
        <v>99</v>
      </c>
      <c r="B96" s="39">
        <f t="shared" si="10"/>
        <v>4770</v>
      </c>
      <c r="C96" s="40">
        <f>4463.7+106.3</f>
        <v>4570</v>
      </c>
      <c r="D96" s="39">
        <f>100+100</f>
        <v>200</v>
      </c>
      <c r="E96" s="39"/>
      <c r="F96" s="39"/>
      <c r="G96" s="39"/>
      <c r="H96" s="39"/>
      <c r="I96" s="39">
        <f t="shared" si="11"/>
        <v>4524.8</v>
      </c>
      <c r="J96" s="39">
        <f>4443.6-J97</f>
        <v>4338.900000000001</v>
      </c>
      <c r="K96" s="39">
        <v>185.9</v>
      </c>
      <c r="L96" s="39"/>
      <c r="M96" s="39"/>
      <c r="N96" s="39"/>
      <c r="O96" s="39"/>
      <c r="P96" s="6"/>
    </row>
    <row r="97" spans="1:16" ht="15">
      <c r="A97" s="59" t="s">
        <v>100</v>
      </c>
      <c r="B97" s="39">
        <f t="shared" si="10"/>
        <v>104.7</v>
      </c>
      <c r="C97" s="39">
        <v>104.7</v>
      </c>
      <c r="D97" s="39"/>
      <c r="E97" s="39"/>
      <c r="F97" s="39"/>
      <c r="G97" s="39"/>
      <c r="H97" s="39"/>
      <c r="I97" s="39">
        <f t="shared" si="11"/>
        <v>104.7</v>
      </c>
      <c r="J97" s="39">
        <v>104.7</v>
      </c>
      <c r="K97" s="39"/>
      <c r="L97" s="39"/>
      <c r="M97" s="39"/>
      <c r="N97" s="39"/>
      <c r="O97" s="39"/>
      <c r="P97" s="6"/>
    </row>
    <row r="98" spans="1:16" ht="26.25">
      <c r="A98" s="9" t="s">
        <v>101</v>
      </c>
      <c r="B98" s="39">
        <f t="shared" si="10"/>
        <v>238.6</v>
      </c>
      <c r="C98" s="40"/>
      <c r="D98" s="40">
        <v>238.6</v>
      </c>
      <c r="E98" s="39"/>
      <c r="F98" s="39"/>
      <c r="G98" s="39"/>
      <c r="H98" s="39"/>
      <c r="I98" s="39">
        <f t="shared" si="11"/>
        <v>113.1</v>
      </c>
      <c r="J98" s="39"/>
      <c r="K98" s="39">
        <f>0.6+112.5</f>
        <v>113.1</v>
      </c>
      <c r="L98" s="39"/>
      <c r="M98" s="39"/>
      <c r="N98" s="39"/>
      <c r="O98" s="39"/>
      <c r="P98" s="6"/>
    </row>
    <row r="99" spans="1:16" ht="15">
      <c r="A99" s="5" t="s">
        <v>102</v>
      </c>
      <c r="B99" s="39">
        <f t="shared" si="10"/>
        <v>0</v>
      </c>
      <c r="C99" s="39"/>
      <c r="D99" s="39">
        <f>600-600</f>
        <v>0</v>
      </c>
      <c r="E99" s="39"/>
      <c r="F99" s="39"/>
      <c r="G99" s="39"/>
      <c r="H99" s="39"/>
      <c r="I99" s="39">
        <f t="shared" si="11"/>
        <v>0</v>
      </c>
      <c r="J99" s="39"/>
      <c r="K99" s="39"/>
      <c r="L99" s="39"/>
      <c r="M99" s="39"/>
      <c r="N99" s="39"/>
      <c r="O99" s="39"/>
      <c r="P99" s="6"/>
    </row>
    <row r="100" spans="1:16" ht="26.25">
      <c r="A100" s="6" t="s">
        <v>103</v>
      </c>
      <c r="B100" s="39">
        <f t="shared" si="10"/>
        <v>0</v>
      </c>
      <c r="C100" s="40"/>
      <c r="D100" s="40">
        <f>500-500</f>
        <v>0</v>
      </c>
      <c r="E100" s="39"/>
      <c r="F100" s="39"/>
      <c r="G100" s="39"/>
      <c r="H100" s="39"/>
      <c r="I100" s="39">
        <f t="shared" si="11"/>
        <v>0</v>
      </c>
      <c r="J100" s="39"/>
      <c r="K100" s="39"/>
      <c r="L100" s="39"/>
      <c r="M100" s="39"/>
      <c r="N100" s="39"/>
      <c r="O100" s="39"/>
      <c r="P100" s="6"/>
    </row>
    <row r="101" spans="1:18" ht="15">
      <c r="A101" s="25" t="s">
        <v>18</v>
      </c>
      <c r="B101" s="27">
        <f aca="true" t="shared" si="12" ref="B101:O101">SUM(B95:B100)</f>
        <v>37013.299999999996</v>
      </c>
      <c r="C101" s="27">
        <f t="shared" si="12"/>
        <v>36574.7</v>
      </c>
      <c r="D101" s="27">
        <f t="shared" si="12"/>
        <v>438.6</v>
      </c>
      <c r="E101" s="27">
        <f t="shared" si="12"/>
        <v>0</v>
      </c>
      <c r="F101" s="27">
        <f t="shared" si="12"/>
        <v>0</v>
      </c>
      <c r="G101" s="27">
        <f t="shared" si="12"/>
        <v>0</v>
      </c>
      <c r="H101" s="27">
        <f t="shared" si="12"/>
        <v>0</v>
      </c>
      <c r="I101" s="27">
        <f t="shared" si="12"/>
        <v>36586.2</v>
      </c>
      <c r="J101" s="27">
        <f t="shared" si="12"/>
        <v>36287.2</v>
      </c>
      <c r="K101" s="27">
        <f t="shared" si="12"/>
        <v>299</v>
      </c>
      <c r="L101" s="27">
        <f t="shared" si="12"/>
        <v>0</v>
      </c>
      <c r="M101" s="27">
        <f t="shared" si="12"/>
        <v>0</v>
      </c>
      <c r="N101" s="27">
        <f t="shared" si="12"/>
        <v>0</v>
      </c>
      <c r="O101" s="27">
        <f t="shared" si="12"/>
        <v>0</v>
      </c>
      <c r="P101" s="36">
        <f>I101/B101*100</f>
        <v>98.84609045937542</v>
      </c>
      <c r="Q101" s="86">
        <f>C101+E101+G101</f>
        <v>36574.7</v>
      </c>
      <c r="R101" s="86">
        <f>D101+F101+H101</f>
        <v>438.6</v>
      </c>
    </row>
    <row r="102" spans="1:16" ht="15.75">
      <c r="A102" s="128" t="s">
        <v>104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</row>
    <row r="103" spans="1:16" ht="30" customHeight="1">
      <c r="A103" s="15" t="s">
        <v>105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ht="64.5">
      <c r="A104" s="6" t="s">
        <v>106</v>
      </c>
      <c r="B104" s="43">
        <f>C104+D104+E104+F104+G104+H104</f>
        <v>4715</v>
      </c>
      <c r="C104" s="43">
        <f>4453+240</f>
        <v>4693</v>
      </c>
      <c r="D104" s="43">
        <v>22</v>
      </c>
      <c r="E104" s="43"/>
      <c r="F104" s="43"/>
      <c r="G104" s="43"/>
      <c r="H104" s="43"/>
      <c r="I104" s="43">
        <f>J104+K104+L104+M104+N104+O104</f>
        <v>4646.8</v>
      </c>
      <c r="J104" s="43">
        <v>4646.8</v>
      </c>
      <c r="K104" s="43"/>
      <c r="L104" s="43"/>
      <c r="M104" s="43"/>
      <c r="N104" s="43"/>
      <c r="O104" s="43"/>
      <c r="P104" s="6"/>
    </row>
    <row r="105" spans="1:16" ht="15">
      <c r="A105" s="25" t="s">
        <v>19</v>
      </c>
      <c r="B105" s="27">
        <f aca="true" t="shared" si="13" ref="B105:O105">SUM(B104:B104)</f>
        <v>4715</v>
      </c>
      <c r="C105" s="27">
        <f t="shared" si="13"/>
        <v>4693</v>
      </c>
      <c r="D105" s="27">
        <f t="shared" si="13"/>
        <v>22</v>
      </c>
      <c r="E105" s="27">
        <f t="shared" si="13"/>
        <v>0</v>
      </c>
      <c r="F105" s="27">
        <f t="shared" si="13"/>
        <v>0</v>
      </c>
      <c r="G105" s="27">
        <f t="shared" si="13"/>
        <v>0</v>
      </c>
      <c r="H105" s="27">
        <f t="shared" si="13"/>
        <v>0</v>
      </c>
      <c r="I105" s="27">
        <f t="shared" si="13"/>
        <v>4646.8</v>
      </c>
      <c r="J105" s="27">
        <f t="shared" si="13"/>
        <v>4646.8</v>
      </c>
      <c r="K105" s="27">
        <f t="shared" si="13"/>
        <v>0</v>
      </c>
      <c r="L105" s="27">
        <f t="shared" si="13"/>
        <v>0</v>
      </c>
      <c r="M105" s="27">
        <f t="shared" si="13"/>
        <v>0</v>
      </c>
      <c r="N105" s="27">
        <f t="shared" si="13"/>
        <v>0</v>
      </c>
      <c r="O105" s="27">
        <f t="shared" si="13"/>
        <v>0</v>
      </c>
      <c r="P105" s="36">
        <f>I105/B105*100</f>
        <v>98.55355249204666</v>
      </c>
    </row>
    <row r="106" spans="1:16" ht="15.75">
      <c r="A106" s="128" t="s">
        <v>107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</row>
    <row r="107" spans="1:16" ht="26.25">
      <c r="A107" s="15" t="s">
        <v>108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ht="51.75">
      <c r="A108" s="6" t="s">
        <v>109</v>
      </c>
      <c r="B108" s="13">
        <f>C108+D108+E108+F108+G108+H108</f>
        <v>641.1999999999999</v>
      </c>
      <c r="C108" s="43">
        <v>616.4</v>
      </c>
      <c r="D108" s="43">
        <v>24.8</v>
      </c>
      <c r="E108" s="13"/>
      <c r="F108" s="13"/>
      <c r="G108" s="13"/>
      <c r="H108" s="13"/>
      <c r="I108" s="13">
        <f>J108+K108+L108+M108+N108+O108</f>
        <v>560.5</v>
      </c>
      <c r="J108" s="13">
        <v>560.5</v>
      </c>
      <c r="K108" s="13"/>
      <c r="L108" s="13"/>
      <c r="M108" s="13"/>
      <c r="N108" s="13"/>
      <c r="O108" s="13"/>
      <c r="P108" s="8"/>
    </row>
    <row r="109" spans="1:18" ht="15">
      <c r="A109" s="25" t="s">
        <v>20</v>
      </c>
      <c r="B109" s="27">
        <f aca="true" t="shared" si="14" ref="B109:O109">SUM(B108:B108)</f>
        <v>641.1999999999999</v>
      </c>
      <c r="C109" s="27">
        <f t="shared" si="14"/>
        <v>616.4</v>
      </c>
      <c r="D109" s="27">
        <f t="shared" si="14"/>
        <v>24.8</v>
      </c>
      <c r="E109" s="27">
        <f t="shared" si="14"/>
        <v>0</v>
      </c>
      <c r="F109" s="27">
        <f t="shared" si="14"/>
        <v>0</v>
      </c>
      <c r="G109" s="27">
        <f t="shared" si="14"/>
        <v>0</v>
      </c>
      <c r="H109" s="27">
        <f t="shared" si="14"/>
        <v>0</v>
      </c>
      <c r="I109" s="27">
        <f t="shared" si="14"/>
        <v>560.5</v>
      </c>
      <c r="J109" s="27">
        <f t="shared" si="14"/>
        <v>560.5</v>
      </c>
      <c r="K109" s="27">
        <f t="shared" si="14"/>
        <v>0</v>
      </c>
      <c r="L109" s="27">
        <f t="shared" si="14"/>
        <v>0</v>
      </c>
      <c r="M109" s="27">
        <f t="shared" si="14"/>
        <v>0</v>
      </c>
      <c r="N109" s="27">
        <f t="shared" si="14"/>
        <v>0</v>
      </c>
      <c r="O109" s="27">
        <f t="shared" si="14"/>
        <v>0</v>
      </c>
      <c r="P109" s="36">
        <f>I109/B109*100</f>
        <v>87.41422333125391</v>
      </c>
      <c r="Q109" s="86">
        <f>C109+E109+G109</f>
        <v>616.4</v>
      </c>
      <c r="R109" s="86">
        <f>D109+F109+H109</f>
        <v>24.8</v>
      </c>
    </row>
    <row r="110" spans="1:16" ht="15.75">
      <c r="A110" s="128" t="s">
        <v>110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</row>
    <row r="111" spans="1:16" ht="25.5">
      <c r="A111" s="19" t="s">
        <v>108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1:16" ht="39">
      <c r="A112" s="57" t="s">
        <v>111</v>
      </c>
      <c r="B112" s="43">
        <f>C112+D112+E112+F112+G112+H112</f>
        <v>0</v>
      </c>
      <c r="C112" s="43"/>
      <c r="D112" s="43"/>
      <c r="E112" s="43"/>
      <c r="F112" s="43"/>
      <c r="G112" s="43"/>
      <c r="H112" s="43"/>
      <c r="I112" s="43">
        <f>J112+K112+L112+M112+N112+O112</f>
        <v>0</v>
      </c>
      <c r="J112" s="43"/>
      <c r="K112" s="43"/>
      <c r="L112" s="43"/>
      <c r="M112" s="43"/>
      <c r="N112" s="43"/>
      <c r="O112" s="43"/>
      <c r="P112" s="44"/>
    </row>
    <row r="113" spans="1:16" ht="15">
      <c r="A113" s="25" t="s">
        <v>21</v>
      </c>
      <c r="B113" s="27">
        <f aca="true" t="shared" si="15" ref="B113:O113">SUM(B112:B112)</f>
        <v>0</v>
      </c>
      <c r="C113" s="27">
        <f t="shared" si="15"/>
        <v>0</v>
      </c>
      <c r="D113" s="27">
        <f t="shared" si="15"/>
        <v>0</v>
      </c>
      <c r="E113" s="27">
        <f t="shared" si="15"/>
        <v>0</v>
      </c>
      <c r="F113" s="27">
        <f t="shared" si="15"/>
        <v>0</v>
      </c>
      <c r="G113" s="27">
        <f t="shared" si="15"/>
        <v>0</v>
      </c>
      <c r="H113" s="27">
        <f t="shared" si="15"/>
        <v>0</v>
      </c>
      <c r="I113" s="27">
        <f t="shared" si="15"/>
        <v>0</v>
      </c>
      <c r="J113" s="27">
        <f t="shared" si="15"/>
        <v>0</v>
      </c>
      <c r="K113" s="27">
        <f t="shared" si="15"/>
        <v>0</v>
      </c>
      <c r="L113" s="27">
        <f t="shared" si="15"/>
        <v>0</v>
      </c>
      <c r="M113" s="27">
        <f t="shared" si="15"/>
        <v>0</v>
      </c>
      <c r="N113" s="27">
        <f t="shared" si="15"/>
        <v>0</v>
      </c>
      <c r="O113" s="27">
        <f t="shared" si="15"/>
        <v>0</v>
      </c>
      <c r="P113" s="36">
        <v>0</v>
      </c>
    </row>
    <row r="114" spans="1:16" ht="15.75">
      <c r="A114" s="128" t="s">
        <v>112</v>
      </c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</row>
    <row r="115" spans="1:16" ht="51.75" customHeight="1">
      <c r="A115" s="18" t="s">
        <v>113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16" ht="26.25">
      <c r="A116" s="6" t="s">
        <v>114</v>
      </c>
      <c r="B116" s="41">
        <f>C116+D116+E116+F116+G116+H116</f>
        <v>90</v>
      </c>
      <c r="C116" s="41">
        <v>90</v>
      </c>
      <c r="D116" s="41"/>
      <c r="E116" s="41"/>
      <c r="F116" s="41"/>
      <c r="G116" s="68"/>
      <c r="H116" s="41"/>
      <c r="I116" s="43">
        <f>J116+K116+L116+M116+N116+O116</f>
        <v>79.2</v>
      </c>
      <c r="J116" s="43">
        <v>79.2</v>
      </c>
      <c r="K116" s="43"/>
      <c r="L116" s="43"/>
      <c r="M116" s="41"/>
      <c r="N116" s="41"/>
      <c r="O116" s="41"/>
      <c r="P116" s="45"/>
    </row>
    <row r="117" spans="1:16" ht="23.25" customHeight="1">
      <c r="A117" s="49" t="s">
        <v>16</v>
      </c>
      <c r="B117" s="41">
        <f>C117+D117+E117+F117+G117+H117</f>
        <v>23</v>
      </c>
      <c r="C117" s="42">
        <v>23</v>
      </c>
      <c r="D117" s="41"/>
      <c r="E117" s="41"/>
      <c r="F117" s="41"/>
      <c r="G117" s="41"/>
      <c r="H117" s="41"/>
      <c r="I117" s="41">
        <f>J117+K117+L117+M117+N117+O117</f>
        <v>22.9</v>
      </c>
      <c r="J117" s="41">
        <v>22.9</v>
      </c>
      <c r="K117" s="41"/>
      <c r="L117" s="41"/>
      <c r="M117" s="41"/>
      <c r="N117" s="41"/>
      <c r="O117" s="41"/>
      <c r="P117" s="45"/>
    </row>
    <row r="118" spans="1:16" ht="15">
      <c r="A118" s="25" t="s">
        <v>22</v>
      </c>
      <c r="B118" s="27">
        <f aca="true" t="shared" si="16" ref="B118:O118">SUM(B115:B117)</f>
        <v>113</v>
      </c>
      <c r="C118" s="27">
        <f t="shared" si="16"/>
        <v>113</v>
      </c>
      <c r="D118" s="27">
        <f t="shared" si="16"/>
        <v>0</v>
      </c>
      <c r="E118" s="27">
        <f t="shared" si="16"/>
        <v>0</v>
      </c>
      <c r="F118" s="27">
        <f t="shared" si="16"/>
        <v>0</v>
      </c>
      <c r="G118" s="27">
        <f t="shared" si="16"/>
        <v>0</v>
      </c>
      <c r="H118" s="27">
        <f t="shared" si="16"/>
        <v>0</v>
      </c>
      <c r="I118" s="27">
        <f t="shared" si="16"/>
        <v>102.1</v>
      </c>
      <c r="J118" s="27">
        <f t="shared" si="16"/>
        <v>102.1</v>
      </c>
      <c r="K118" s="27">
        <f t="shared" si="16"/>
        <v>0</v>
      </c>
      <c r="L118" s="27">
        <f t="shared" si="16"/>
        <v>0</v>
      </c>
      <c r="M118" s="27">
        <f t="shared" si="16"/>
        <v>0</v>
      </c>
      <c r="N118" s="27">
        <f t="shared" si="16"/>
        <v>0</v>
      </c>
      <c r="O118" s="27">
        <f t="shared" si="16"/>
        <v>0</v>
      </c>
      <c r="P118" s="36">
        <f>I118/B118*100</f>
        <v>90.35398230088495</v>
      </c>
    </row>
    <row r="119" spans="1:16" ht="15.75">
      <c r="A119" s="128" t="s">
        <v>115</v>
      </c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</row>
    <row r="120" spans="1:16" ht="26.25">
      <c r="A120" s="15" t="s">
        <v>116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1:16" ht="26.25">
      <c r="A121" s="6" t="s">
        <v>117</v>
      </c>
      <c r="B121" s="13">
        <f aca="true" t="shared" si="17" ref="B121:B126">C121+D121+E121+F121+G121+H121</f>
        <v>3843</v>
      </c>
      <c r="C121" s="13">
        <v>3843</v>
      </c>
      <c r="D121" s="13"/>
      <c r="E121" s="13"/>
      <c r="F121" s="13"/>
      <c r="G121" s="13"/>
      <c r="H121" s="13"/>
      <c r="I121" s="13">
        <f aca="true" t="shared" si="18" ref="I121:I126">J121+K121+L121+M121+N121+O121</f>
        <v>3525.3</v>
      </c>
      <c r="J121" s="13">
        <v>3525.3</v>
      </c>
      <c r="K121" s="13"/>
      <c r="L121" s="13"/>
      <c r="M121" s="13"/>
      <c r="N121" s="13"/>
      <c r="O121" s="13"/>
      <c r="P121" s="3"/>
    </row>
    <row r="122" spans="1:16" ht="22.5" customHeight="1">
      <c r="A122" s="9" t="s">
        <v>118</v>
      </c>
      <c r="B122" s="13">
        <f t="shared" si="17"/>
        <v>1057.7</v>
      </c>
      <c r="C122" s="13">
        <v>957.7</v>
      </c>
      <c r="D122" s="13">
        <v>100</v>
      </c>
      <c r="E122" s="13"/>
      <c r="F122" s="13"/>
      <c r="G122" s="13"/>
      <c r="H122" s="13"/>
      <c r="I122" s="13">
        <f t="shared" si="18"/>
        <v>1095.8</v>
      </c>
      <c r="J122" s="13">
        <f>982.6-J123</f>
        <v>917.6</v>
      </c>
      <c r="K122" s="13">
        <v>178.2</v>
      </c>
      <c r="L122" s="13"/>
      <c r="M122" s="13"/>
      <c r="N122" s="13"/>
      <c r="O122" s="13"/>
      <c r="P122" s="3"/>
    </row>
    <row r="123" spans="1:16" ht="26.25">
      <c r="A123" s="9" t="s">
        <v>119</v>
      </c>
      <c r="B123" s="13">
        <f t="shared" si="17"/>
        <v>65</v>
      </c>
      <c r="C123" s="13">
        <v>65</v>
      </c>
      <c r="D123" s="13"/>
      <c r="E123" s="13"/>
      <c r="F123" s="13"/>
      <c r="G123" s="13"/>
      <c r="H123" s="13"/>
      <c r="I123" s="13">
        <f t="shared" si="18"/>
        <v>65</v>
      </c>
      <c r="J123" s="13">
        <v>65</v>
      </c>
      <c r="K123" s="13"/>
      <c r="L123" s="13"/>
      <c r="M123" s="13"/>
      <c r="N123" s="13"/>
      <c r="O123" s="13"/>
      <c r="P123" s="3"/>
    </row>
    <row r="124" spans="1:16" ht="26.25">
      <c r="A124" s="9" t="s">
        <v>120</v>
      </c>
      <c r="B124" s="13">
        <f t="shared" si="17"/>
        <v>240</v>
      </c>
      <c r="C124" s="13"/>
      <c r="D124" s="13">
        <v>240</v>
      </c>
      <c r="E124" s="13"/>
      <c r="F124" s="13"/>
      <c r="G124" s="13"/>
      <c r="H124" s="13"/>
      <c r="I124" s="13">
        <f t="shared" si="18"/>
        <v>0</v>
      </c>
      <c r="J124" s="13"/>
      <c r="K124" s="13"/>
      <c r="L124" s="13"/>
      <c r="M124" s="13"/>
      <c r="N124" s="13"/>
      <c r="O124" s="13"/>
      <c r="P124" s="3"/>
    </row>
    <row r="125" spans="1:16" ht="21" customHeight="1">
      <c r="A125" s="7" t="s">
        <v>121</v>
      </c>
      <c r="B125" s="13">
        <f t="shared" si="17"/>
        <v>0</v>
      </c>
      <c r="C125" s="13"/>
      <c r="D125" s="13">
        <f>215+85-300</f>
        <v>0</v>
      </c>
      <c r="E125" s="13"/>
      <c r="F125" s="13"/>
      <c r="G125" s="13"/>
      <c r="H125" s="13"/>
      <c r="I125" s="13">
        <f t="shared" si="18"/>
        <v>0</v>
      </c>
      <c r="J125" s="13"/>
      <c r="K125" s="13"/>
      <c r="L125" s="13"/>
      <c r="M125" s="13"/>
      <c r="N125" s="13"/>
      <c r="O125" s="13"/>
      <c r="P125" s="3"/>
    </row>
    <row r="126" spans="1:16" ht="26.25">
      <c r="A126" s="6" t="s">
        <v>122</v>
      </c>
      <c r="B126" s="13">
        <f t="shared" si="17"/>
        <v>0</v>
      </c>
      <c r="C126" s="13"/>
      <c r="D126" s="13">
        <f>300-300</f>
        <v>0</v>
      </c>
      <c r="E126" s="13"/>
      <c r="F126" s="13"/>
      <c r="G126" s="13"/>
      <c r="H126" s="13"/>
      <c r="I126" s="13">
        <f t="shared" si="18"/>
        <v>0</v>
      </c>
      <c r="J126" s="13"/>
      <c r="K126" s="13"/>
      <c r="L126" s="13"/>
      <c r="M126" s="13"/>
      <c r="N126" s="13"/>
      <c r="O126" s="13"/>
      <c r="P126" s="3"/>
    </row>
    <row r="127" spans="1:16" ht="15">
      <c r="A127" s="15" t="s">
        <v>123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1:16" ht="26.25">
      <c r="A128" s="56" t="s">
        <v>124</v>
      </c>
      <c r="B128" s="100">
        <f>C128+D128+E128+F128+G128+H128</f>
        <v>1622.4</v>
      </c>
      <c r="C128" s="14">
        <f>1862.4-240</f>
        <v>1622.4</v>
      </c>
      <c r="D128" s="13"/>
      <c r="E128" s="13"/>
      <c r="F128" s="13"/>
      <c r="G128" s="13"/>
      <c r="H128" s="13"/>
      <c r="I128" s="13">
        <f>J128+K128+L128+M128+N128+O128</f>
        <v>1786.8</v>
      </c>
      <c r="J128" s="13">
        <v>1786.8</v>
      </c>
      <c r="K128" s="13"/>
      <c r="L128" s="13"/>
      <c r="M128" s="13"/>
      <c r="N128" s="13"/>
      <c r="O128" s="13"/>
      <c r="P128" s="3"/>
    </row>
    <row r="129" spans="1:16" ht="26.25">
      <c r="A129" s="22" t="s">
        <v>167</v>
      </c>
      <c r="B129" s="11"/>
      <c r="C129" s="16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7"/>
    </row>
    <row r="130" spans="1:16" ht="26.25">
      <c r="A130" s="9" t="s">
        <v>168</v>
      </c>
      <c r="B130" s="100">
        <f>C130+D130+E130+F130+G130+H130</f>
        <v>2462.8</v>
      </c>
      <c r="C130" s="14">
        <v>2412.8</v>
      </c>
      <c r="D130" s="13">
        <v>50</v>
      </c>
      <c r="E130" s="13"/>
      <c r="F130" s="13"/>
      <c r="G130" s="13"/>
      <c r="H130" s="13"/>
      <c r="I130" s="13">
        <f>J130+K130+L130+M130+N130+O130</f>
        <v>2600.5</v>
      </c>
      <c r="J130" s="13">
        <v>2545.2</v>
      </c>
      <c r="K130" s="13">
        <f>14.3+41</f>
        <v>55.3</v>
      </c>
      <c r="L130" s="13"/>
      <c r="M130" s="13"/>
      <c r="N130" s="13"/>
      <c r="O130" s="13"/>
      <c r="P130" s="3"/>
    </row>
    <row r="131" spans="1:16" ht="15">
      <c r="A131" s="25" t="s">
        <v>23</v>
      </c>
      <c r="B131" s="26">
        <f>SUM(B120:B130)</f>
        <v>9290.900000000001</v>
      </c>
      <c r="C131" s="26">
        <f>SUM(C120:C130)</f>
        <v>8900.900000000001</v>
      </c>
      <c r="D131" s="26">
        <f aca="true" t="shared" si="19" ref="D131:O131">SUM(D120:D130)</f>
        <v>390</v>
      </c>
      <c r="E131" s="26">
        <f t="shared" si="19"/>
        <v>0</v>
      </c>
      <c r="F131" s="26">
        <f t="shared" si="19"/>
        <v>0</v>
      </c>
      <c r="G131" s="26">
        <f t="shared" si="19"/>
        <v>0</v>
      </c>
      <c r="H131" s="26">
        <f t="shared" si="19"/>
        <v>0</v>
      </c>
      <c r="I131" s="26">
        <f t="shared" si="19"/>
        <v>9073.400000000001</v>
      </c>
      <c r="J131" s="26">
        <f t="shared" si="19"/>
        <v>8839.900000000001</v>
      </c>
      <c r="K131" s="26">
        <f t="shared" si="19"/>
        <v>233.5</v>
      </c>
      <c r="L131" s="26">
        <f t="shared" si="19"/>
        <v>0</v>
      </c>
      <c r="M131" s="26">
        <f t="shared" si="19"/>
        <v>0</v>
      </c>
      <c r="N131" s="26">
        <f t="shared" si="19"/>
        <v>0</v>
      </c>
      <c r="O131" s="26">
        <f t="shared" si="19"/>
        <v>0</v>
      </c>
      <c r="P131" s="36">
        <f>I131/B131*100</f>
        <v>97.65899966634018</v>
      </c>
    </row>
    <row r="132" spans="1:16" ht="15.75">
      <c r="A132" s="128" t="s">
        <v>24</v>
      </c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</row>
    <row r="133" spans="1:16" ht="64.5">
      <c r="A133" s="22" t="s">
        <v>25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1:16" ht="25.5">
      <c r="A134" s="7" t="s">
        <v>210</v>
      </c>
      <c r="B134" s="13">
        <f>C134+D134+E134+F134+G134+H134</f>
        <v>526.4</v>
      </c>
      <c r="C134" s="14">
        <f>486.9+39.5</f>
        <v>526.4</v>
      </c>
      <c r="D134" s="13"/>
      <c r="E134" s="13"/>
      <c r="F134" s="13"/>
      <c r="G134" s="13"/>
      <c r="H134" s="13"/>
      <c r="I134" s="13">
        <f>J134+K134+L134+M134+N134+O134</f>
        <v>455.07</v>
      </c>
      <c r="J134" s="13">
        <v>455.07</v>
      </c>
      <c r="K134" s="13"/>
      <c r="L134" s="13"/>
      <c r="M134" s="13"/>
      <c r="N134" s="13"/>
      <c r="O134" s="13"/>
      <c r="P134" s="3"/>
    </row>
    <row r="135" spans="1:16" ht="38.25">
      <c r="A135" s="23" t="s">
        <v>211</v>
      </c>
      <c r="B135" s="13">
        <f>C135+D135+E135+F135+G135+H135</f>
        <v>406.09999999999997</v>
      </c>
      <c r="C135" s="14">
        <f>361.7+44.4</f>
        <v>406.09999999999997</v>
      </c>
      <c r="D135" s="13"/>
      <c r="E135" s="13"/>
      <c r="F135" s="13"/>
      <c r="G135" s="13"/>
      <c r="H135" s="13"/>
      <c r="I135" s="13">
        <f>J135+K135+L135+M135+N135+O135</f>
        <v>350.4</v>
      </c>
      <c r="J135" s="14">
        <v>350.4</v>
      </c>
      <c r="K135" s="13"/>
      <c r="L135" s="13"/>
      <c r="M135" s="13"/>
      <c r="N135" s="13"/>
      <c r="O135" s="13"/>
      <c r="P135" s="3"/>
    </row>
    <row r="136" spans="1:16" ht="15">
      <c r="A136" s="25" t="s">
        <v>28</v>
      </c>
      <c r="B136" s="27">
        <f>SUM(B134:B135)</f>
        <v>932.5</v>
      </c>
      <c r="C136" s="27">
        <f aca="true" t="shared" si="20" ref="C136:O136">SUM(C134:C135)</f>
        <v>932.5</v>
      </c>
      <c r="D136" s="27">
        <f t="shared" si="20"/>
        <v>0</v>
      </c>
      <c r="E136" s="27">
        <f t="shared" si="20"/>
        <v>0</v>
      </c>
      <c r="F136" s="27">
        <f t="shared" si="20"/>
        <v>0</v>
      </c>
      <c r="G136" s="27">
        <f t="shared" si="20"/>
        <v>0</v>
      </c>
      <c r="H136" s="27">
        <f t="shared" si="20"/>
        <v>0</v>
      </c>
      <c r="I136" s="27">
        <f t="shared" si="20"/>
        <v>805.47</v>
      </c>
      <c r="J136" s="27">
        <f t="shared" si="20"/>
        <v>805.47</v>
      </c>
      <c r="K136" s="27">
        <f t="shared" si="20"/>
        <v>0</v>
      </c>
      <c r="L136" s="27">
        <f t="shared" si="20"/>
        <v>0</v>
      </c>
      <c r="M136" s="27">
        <f t="shared" si="20"/>
        <v>0</v>
      </c>
      <c r="N136" s="27">
        <f t="shared" si="20"/>
        <v>0</v>
      </c>
      <c r="O136" s="27">
        <f t="shared" si="20"/>
        <v>0</v>
      </c>
      <c r="P136" s="36">
        <f>I136/B136*100</f>
        <v>86.3774798927614</v>
      </c>
    </row>
    <row r="137" spans="1:16" ht="15.75">
      <c r="A137" s="128" t="s">
        <v>126</v>
      </c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</row>
    <row r="138" spans="1:16" ht="21" customHeight="1">
      <c r="A138" s="72" t="s">
        <v>125</v>
      </c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1"/>
    </row>
    <row r="139" spans="1:16" ht="26.25">
      <c r="A139" s="9" t="s">
        <v>128</v>
      </c>
      <c r="B139" s="13">
        <f aca="true" t="shared" si="21" ref="B139:B145">C139+D139+E139+F139+G139+H139</f>
        <v>0</v>
      </c>
      <c r="C139" s="13"/>
      <c r="D139" s="13"/>
      <c r="E139" s="13"/>
      <c r="F139" s="13"/>
      <c r="G139" s="13"/>
      <c r="H139" s="13"/>
      <c r="I139" s="13">
        <f>J139+K139+L139+M139+N139+O139</f>
        <v>0</v>
      </c>
      <c r="J139" s="14"/>
      <c r="K139" s="13"/>
      <c r="L139" s="13"/>
      <c r="M139" s="13"/>
      <c r="N139" s="13"/>
      <c r="O139" s="13"/>
      <c r="P139" s="69"/>
    </row>
    <row r="140" spans="1:16" ht="26.25">
      <c r="A140" s="9" t="s">
        <v>129</v>
      </c>
      <c r="B140" s="13">
        <f t="shared" si="21"/>
        <v>0</v>
      </c>
      <c r="C140" s="13"/>
      <c r="D140" s="13"/>
      <c r="E140" s="13"/>
      <c r="F140" s="13"/>
      <c r="G140" s="13"/>
      <c r="H140" s="13"/>
      <c r="I140" s="13">
        <f>J140+K140+L140+M140+N140+O140</f>
        <v>0</v>
      </c>
      <c r="J140" s="14"/>
      <c r="K140" s="13"/>
      <c r="L140" s="13"/>
      <c r="M140" s="13"/>
      <c r="N140" s="13"/>
      <c r="O140" s="13"/>
      <c r="P140" s="69"/>
    </row>
    <row r="141" spans="1:16" ht="26.25">
      <c r="A141" s="9" t="s">
        <v>130</v>
      </c>
      <c r="B141" s="13">
        <f t="shared" si="21"/>
        <v>0</v>
      </c>
      <c r="C141" s="13"/>
      <c r="D141" s="13"/>
      <c r="E141" s="13"/>
      <c r="F141" s="13"/>
      <c r="G141" s="13"/>
      <c r="H141" s="13"/>
      <c r="I141" s="13">
        <f>J141+K141+L141+M141+N141+O141</f>
        <v>0</v>
      </c>
      <c r="J141" s="14"/>
      <c r="K141" s="13"/>
      <c r="L141" s="13"/>
      <c r="M141" s="13"/>
      <c r="N141" s="13"/>
      <c r="O141" s="13"/>
      <c r="P141" s="69"/>
    </row>
    <row r="142" spans="1:16" ht="15">
      <c r="A142" s="59" t="s">
        <v>131</v>
      </c>
      <c r="B142" s="13">
        <f t="shared" si="21"/>
        <v>0</v>
      </c>
      <c r="C142" s="13"/>
      <c r="D142" s="13"/>
      <c r="E142" s="13"/>
      <c r="F142" s="13"/>
      <c r="G142" s="13"/>
      <c r="H142" s="13"/>
      <c r="I142" s="13">
        <f>J142+K142+L142+M142+N142+O142</f>
        <v>0</v>
      </c>
      <c r="J142" s="14"/>
      <c r="K142" s="13"/>
      <c r="L142" s="13"/>
      <c r="M142" s="13"/>
      <c r="N142" s="13"/>
      <c r="O142" s="13"/>
      <c r="P142" s="69"/>
    </row>
    <row r="143" spans="1:16" ht="26.25">
      <c r="A143" s="9" t="s">
        <v>54</v>
      </c>
      <c r="B143" s="13">
        <f t="shared" si="21"/>
        <v>0</v>
      </c>
      <c r="C143" s="13"/>
      <c r="D143" s="13"/>
      <c r="E143" s="13"/>
      <c r="F143" s="13"/>
      <c r="G143" s="13"/>
      <c r="H143" s="13"/>
      <c r="I143" s="13">
        <f>J143+K143+L143+M143+N143+O143</f>
        <v>0</v>
      </c>
      <c r="J143" s="14"/>
      <c r="K143" s="13"/>
      <c r="L143" s="13"/>
      <c r="M143" s="13"/>
      <c r="N143" s="13"/>
      <c r="O143" s="13"/>
      <c r="P143" s="69"/>
    </row>
    <row r="144" spans="1:16" ht="15">
      <c r="A144" s="82" t="s">
        <v>146</v>
      </c>
      <c r="B144" s="13">
        <f t="shared" si="21"/>
        <v>0</v>
      </c>
      <c r="C144" s="13"/>
      <c r="D144" s="13"/>
      <c r="E144" s="13"/>
      <c r="F144" s="13"/>
      <c r="G144" s="13"/>
      <c r="H144" s="13"/>
      <c r="I144" s="13">
        <v>0</v>
      </c>
      <c r="J144" s="14"/>
      <c r="K144" s="13"/>
      <c r="L144" s="13"/>
      <c r="M144" s="13"/>
      <c r="N144" s="13"/>
      <c r="O144" s="13"/>
      <c r="P144" s="69"/>
    </row>
    <row r="145" spans="1:16" ht="52.5" customHeight="1">
      <c r="A145" s="97" t="s">
        <v>163</v>
      </c>
      <c r="B145" s="13">
        <f t="shared" si="21"/>
        <v>72300</v>
      </c>
      <c r="C145" s="13">
        <f>59300+13000</f>
        <v>72300</v>
      </c>
      <c r="D145" s="13"/>
      <c r="E145" s="13"/>
      <c r="F145" s="13"/>
      <c r="G145" s="13"/>
      <c r="H145" s="13"/>
      <c r="I145" s="13">
        <f>J145+K145+L145+M145+N145+O145</f>
        <v>72300</v>
      </c>
      <c r="J145" s="14">
        <v>72300</v>
      </c>
      <c r="K145" s="13"/>
      <c r="L145" s="13"/>
      <c r="M145" s="13"/>
      <c r="N145" s="13"/>
      <c r="O145" s="13"/>
      <c r="P145" s="69"/>
    </row>
    <row r="146" spans="1:16" ht="15" customHeight="1">
      <c r="A146" s="25" t="s">
        <v>31</v>
      </c>
      <c r="B146" s="27">
        <f aca="true" t="shared" si="22" ref="B146:O146">SUM(B139:B145)</f>
        <v>72300</v>
      </c>
      <c r="C146" s="27">
        <f t="shared" si="22"/>
        <v>72300</v>
      </c>
      <c r="D146" s="27">
        <f t="shared" si="22"/>
        <v>0</v>
      </c>
      <c r="E146" s="27">
        <f t="shared" si="22"/>
        <v>0</v>
      </c>
      <c r="F146" s="27">
        <f t="shared" si="22"/>
        <v>0</v>
      </c>
      <c r="G146" s="27">
        <f t="shared" si="22"/>
        <v>0</v>
      </c>
      <c r="H146" s="27">
        <f t="shared" si="22"/>
        <v>0</v>
      </c>
      <c r="I146" s="27">
        <f t="shared" si="22"/>
        <v>72300</v>
      </c>
      <c r="J146" s="27">
        <f t="shared" si="22"/>
        <v>72300</v>
      </c>
      <c r="K146" s="27">
        <f t="shared" si="22"/>
        <v>0</v>
      </c>
      <c r="L146" s="27">
        <f t="shared" si="22"/>
        <v>0</v>
      </c>
      <c r="M146" s="27">
        <f t="shared" si="22"/>
        <v>0</v>
      </c>
      <c r="N146" s="27">
        <f t="shared" si="22"/>
        <v>0</v>
      </c>
      <c r="O146" s="27">
        <f t="shared" si="22"/>
        <v>0</v>
      </c>
      <c r="P146" s="36">
        <f>I146/B146*100</f>
        <v>100</v>
      </c>
    </row>
    <row r="147" spans="1:16" ht="15.75">
      <c r="A147" s="128" t="s">
        <v>127</v>
      </c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</row>
    <row r="148" spans="1:16" ht="26.25">
      <c r="A148" s="15" t="s">
        <v>29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1:16" ht="26.25">
      <c r="A149" s="46" t="s">
        <v>139</v>
      </c>
      <c r="B149" s="41">
        <f>C149+D149+E149+F149+G149+H149</f>
        <v>1543.9</v>
      </c>
      <c r="C149" s="42"/>
      <c r="D149" s="41">
        <v>25</v>
      </c>
      <c r="E149" s="41"/>
      <c r="F149" s="41"/>
      <c r="G149" s="41"/>
      <c r="H149" s="41">
        <f>194.9+1324</f>
        <v>1518.9</v>
      </c>
      <c r="I149" s="41">
        <f>J149+K149+L149+M149+N149+O149</f>
        <v>1223.3</v>
      </c>
      <c r="J149" s="41"/>
      <c r="K149" s="41"/>
      <c r="L149" s="41"/>
      <c r="M149" s="41"/>
      <c r="N149" s="41"/>
      <c r="O149" s="41">
        <v>1223.3</v>
      </c>
      <c r="P149" s="45"/>
    </row>
    <row r="150" spans="1:16" ht="26.25">
      <c r="A150" s="46" t="s">
        <v>161</v>
      </c>
      <c r="B150" s="41">
        <f>C150+D150+E150+F150+G150+H150</f>
        <v>10244.7</v>
      </c>
      <c r="C150" s="42"/>
      <c r="D150" s="41">
        <v>4726.7</v>
      </c>
      <c r="E150" s="41"/>
      <c r="F150" s="41"/>
      <c r="G150" s="41"/>
      <c r="H150" s="41">
        <f>3493+2025</f>
        <v>5518</v>
      </c>
      <c r="I150" s="41">
        <f>J150+K150+L150+M150+N150+O150</f>
        <v>11468</v>
      </c>
      <c r="J150" s="41"/>
      <c r="K150" s="41">
        <f>6784.5-K151</f>
        <v>5694.9</v>
      </c>
      <c r="L150" s="41"/>
      <c r="M150" s="41"/>
      <c r="N150" s="41"/>
      <c r="O150" s="41">
        <f>7792-O151</f>
        <v>5773.1</v>
      </c>
      <c r="P150" s="45"/>
    </row>
    <row r="151" spans="1:16" ht="39">
      <c r="A151" s="6" t="s">
        <v>162</v>
      </c>
      <c r="B151" s="41">
        <f>C151+D151+E151+F151+G151+H151</f>
        <v>3264.6</v>
      </c>
      <c r="C151" s="42"/>
      <c r="D151" s="41">
        <v>1100.4</v>
      </c>
      <c r="E151" s="41"/>
      <c r="F151" s="41"/>
      <c r="G151" s="41"/>
      <c r="H151" s="41">
        <f>1437.2+727</f>
        <v>2164.2</v>
      </c>
      <c r="I151" s="41">
        <f>J151+K151+L151+M151+N151+O151</f>
        <v>3108.5</v>
      </c>
      <c r="J151" s="41"/>
      <c r="K151" s="41">
        <v>1089.6</v>
      </c>
      <c r="L151" s="41"/>
      <c r="M151" s="41"/>
      <c r="N151" s="41"/>
      <c r="O151" s="41">
        <v>2018.9</v>
      </c>
      <c r="P151" s="45"/>
    </row>
    <row r="152" spans="1:16" ht="15">
      <c r="A152" s="25" t="s">
        <v>137</v>
      </c>
      <c r="B152" s="27">
        <f aca="true" t="shared" si="23" ref="B152:O152">SUM(B149:B151)</f>
        <v>15053.2</v>
      </c>
      <c r="C152" s="27">
        <f t="shared" si="23"/>
        <v>0</v>
      </c>
      <c r="D152" s="27">
        <f>SUM(D149:D151)</f>
        <v>5852.1</v>
      </c>
      <c r="E152" s="27">
        <f t="shared" si="23"/>
        <v>0</v>
      </c>
      <c r="F152" s="27">
        <f t="shared" si="23"/>
        <v>0</v>
      </c>
      <c r="G152" s="27">
        <f t="shared" si="23"/>
        <v>0</v>
      </c>
      <c r="H152" s="27">
        <f t="shared" si="23"/>
        <v>9201.099999999999</v>
      </c>
      <c r="I152" s="27">
        <f t="shared" si="23"/>
        <v>15799.8</v>
      </c>
      <c r="J152" s="27">
        <f t="shared" si="23"/>
        <v>0</v>
      </c>
      <c r="K152" s="27">
        <f t="shared" si="23"/>
        <v>6784.5</v>
      </c>
      <c r="L152" s="27">
        <f t="shared" si="23"/>
        <v>0</v>
      </c>
      <c r="M152" s="27">
        <f t="shared" si="23"/>
        <v>0</v>
      </c>
      <c r="N152" s="27">
        <f t="shared" si="23"/>
        <v>0</v>
      </c>
      <c r="O152" s="27">
        <f t="shared" si="23"/>
        <v>9015.300000000001</v>
      </c>
      <c r="P152" s="36">
        <f>I152/B152*100</f>
        <v>104.959742778944</v>
      </c>
    </row>
    <row r="153" spans="1:16" ht="15.75">
      <c r="A153" s="128" t="s">
        <v>132</v>
      </c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</row>
    <row r="154" spans="1:16" ht="24.75" customHeight="1">
      <c r="A154" s="15" t="s">
        <v>133</v>
      </c>
      <c r="B154" s="11"/>
      <c r="C154" s="16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7"/>
    </row>
    <row r="155" spans="1:16" ht="26.25">
      <c r="A155" s="9" t="s">
        <v>134</v>
      </c>
      <c r="B155" s="13">
        <f>C155+D155+E155+F155+G155+H155</f>
        <v>1540.7</v>
      </c>
      <c r="C155" s="14">
        <f>324.8-324.8</f>
        <v>0</v>
      </c>
      <c r="D155" s="13"/>
      <c r="E155" s="13"/>
      <c r="F155" s="13"/>
      <c r="G155" s="13">
        <v>1540.7</v>
      </c>
      <c r="H155" s="13"/>
      <c r="I155" s="13">
        <f>J155+K155+L155+M155+N155+O155</f>
        <v>986</v>
      </c>
      <c r="J155" s="13"/>
      <c r="K155" s="13"/>
      <c r="L155" s="13"/>
      <c r="M155" s="13"/>
      <c r="N155" s="13">
        <v>986</v>
      </c>
      <c r="O155" s="13"/>
      <c r="P155" s="3"/>
    </row>
    <row r="156" spans="1:16" ht="15">
      <c r="A156" s="59" t="s">
        <v>135</v>
      </c>
      <c r="B156" s="13">
        <f>C156+D156+E156+F156+G156+H156</f>
        <v>164.6</v>
      </c>
      <c r="C156" s="14">
        <v>164.6</v>
      </c>
      <c r="D156" s="13"/>
      <c r="E156" s="13"/>
      <c r="F156" s="13"/>
      <c r="G156" s="13"/>
      <c r="H156" s="13"/>
      <c r="I156" s="13">
        <f>J156+K156+L156+M156+N156+O156</f>
        <v>115</v>
      </c>
      <c r="J156" s="13">
        <v>115</v>
      </c>
      <c r="K156" s="13"/>
      <c r="L156" s="13"/>
      <c r="M156" s="13"/>
      <c r="N156" s="13"/>
      <c r="O156" s="13"/>
      <c r="P156" s="3"/>
    </row>
    <row r="157" spans="1:16" ht="26.25">
      <c r="A157" s="9" t="s">
        <v>136</v>
      </c>
      <c r="B157" s="13">
        <f>C157+D157+E157+F157+G157+H157</f>
        <v>33.8</v>
      </c>
      <c r="C157" s="14"/>
      <c r="D157" s="13">
        <v>33.8</v>
      </c>
      <c r="E157" s="13"/>
      <c r="F157" s="13"/>
      <c r="G157" s="13"/>
      <c r="H157" s="13"/>
      <c r="I157" s="13">
        <f>J157+K157+L157+M157+N157+O157</f>
        <v>0</v>
      </c>
      <c r="J157" s="13"/>
      <c r="K157" s="13"/>
      <c r="L157" s="13"/>
      <c r="M157" s="13"/>
      <c r="N157" s="13"/>
      <c r="O157" s="13"/>
      <c r="P157" s="3"/>
    </row>
    <row r="158" spans="1:17" ht="15">
      <c r="A158" s="25" t="s">
        <v>138</v>
      </c>
      <c r="B158" s="27">
        <f>SUM(B155:B157)</f>
        <v>1739.1</v>
      </c>
      <c r="C158" s="27">
        <f aca="true" t="shared" si="24" ref="C158:N158">SUM(C155:C157)</f>
        <v>164.6</v>
      </c>
      <c r="D158" s="27">
        <f t="shared" si="24"/>
        <v>33.8</v>
      </c>
      <c r="E158" s="27">
        <f t="shared" si="24"/>
        <v>0</v>
      </c>
      <c r="F158" s="27">
        <f t="shared" si="24"/>
        <v>0</v>
      </c>
      <c r="G158" s="27">
        <f t="shared" si="24"/>
        <v>1540.7</v>
      </c>
      <c r="H158" s="27">
        <f t="shared" si="24"/>
        <v>0</v>
      </c>
      <c r="I158" s="27">
        <f t="shared" si="24"/>
        <v>1101</v>
      </c>
      <c r="J158" s="27">
        <f t="shared" si="24"/>
        <v>115</v>
      </c>
      <c r="K158" s="27">
        <f t="shared" si="24"/>
        <v>0</v>
      </c>
      <c r="L158" s="27">
        <f t="shared" si="24"/>
        <v>0</v>
      </c>
      <c r="M158" s="27">
        <f t="shared" si="24"/>
        <v>0</v>
      </c>
      <c r="N158" s="27">
        <f t="shared" si="24"/>
        <v>986</v>
      </c>
      <c r="O158" s="27">
        <f>SUM(O155:O157)</f>
        <v>0</v>
      </c>
      <c r="P158" s="36">
        <f>I158/B158*100</f>
        <v>63.30860790063827</v>
      </c>
      <c r="Q158" s="86">
        <f>C158+G158</f>
        <v>1705.3</v>
      </c>
    </row>
    <row r="159" spans="1:16" ht="15.75">
      <c r="A159" s="121" t="s">
        <v>144</v>
      </c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3"/>
    </row>
    <row r="160" spans="1:16" ht="26.25">
      <c r="A160" s="61" t="s">
        <v>140</v>
      </c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1"/>
    </row>
    <row r="161" spans="1:16" ht="26.25">
      <c r="A161" s="9" t="s">
        <v>142</v>
      </c>
      <c r="B161" s="13">
        <f>C161+D161+E161+F161+G161+H161</f>
        <v>0</v>
      </c>
      <c r="C161" s="39"/>
      <c r="D161" s="39"/>
      <c r="E161" s="39"/>
      <c r="F161" s="39"/>
      <c r="G161" s="39"/>
      <c r="H161" s="39"/>
      <c r="I161" s="13">
        <f>J161+K161+L161+M161+N161+O161</f>
        <v>0</v>
      </c>
      <c r="J161" s="79"/>
      <c r="K161" s="79"/>
      <c r="L161" s="79"/>
      <c r="M161" s="79"/>
      <c r="N161" s="79"/>
      <c r="O161" s="79"/>
      <c r="P161" s="69"/>
    </row>
    <row r="162" spans="1:16" ht="26.25">
      <c r="A162" s="9" t="s">
        <v>143</v>
      </c>
      <c r="B162" s="13">
        <f>C162+D162+E162+F162+G162+H162</f>
        <v>0</v>
      </c>
      <c r="C162" s="39"/>
      <c r="D162" s="39"/>
      <c r="E162" s="39"/>
      <c r="F162" s="39"/>
      <c r="G162" s="39"/>
      <c r="H162" s="39"/>
      <c r="I162" s="13">
        <f>J162+K162+L162+M162+N162+O162</f>
        <v>0</v>
      </c>
      <c r="J162" s="79"/>
      <c r="K162" s="79"/>
      <c r="L162" s="79"/>
      <c r="M162" s="79"/>
      <c r="N162" s="79"/>
      <c r="O162" s="79"/>
      <c r="P162" s="69"/>
    </row>
    <row r="163" spans="1:16" ht="26.25">
      <c r="A163" s="9" t="s">
        <v>159</v>
      </c>
      <c r="B163" s="13">
        <f>C163+D163+E163+F163+G163+H163</f>
        <v>0</v>
      </c>
      <c r="C163" s="39"/>
      <c r="D163" s="39"/>
      <c r="E163" s="39"/>
      <c r="F163" s="39"/>
      <c r="G163" s="39"/>
      <c r="H163" s="39"/>
      <c r="I163" s="13">
        <f>J163+K163+L163+M163+N163+O163</f>
        <v>0</v>
      </c>
      <c r="J163" s="79"/>
      <c r="K163" s="83"/>
      <c r="L163" s="79"/>
      <c r="M163" s="79"/>
      <c r="N163" s="79"/>
      <c r="O163" s="79"/>
      <c r="P163" s="69"/>
    </row>
    <row r="164" spans="1:16" ht="64.5">
      <c r="A164" s="9" t="s">
        <v>160</v>
      </c>
      <c r="B164" s="13">
        <f>C164+D164+E164+F164+G164+H164</f>
        <v>0</v>
      </c>
      <c r="C164" s="39"/>
      <c r="D164" s="39"/>
      <c r="E164" s="39"/>
      <c r="F164" s="39"/>
      <c r="G164" s="39"/>
      <c r="H164" s="39"/>
      <c r="I164" s="13">
        <f>J164+K164+L164+M164+N164+O164</f>
        <v>0</v>
      </c>
      <c r="J164" s="39"/>
      <c r="K164" s="39"/>
      <c r="L164" s="39"/>
      <c r="M164" s="39"/>
      <c r="N164" s="39"/>
      <c r="O164" s="39"/>
      <c r="P164" s="119"/>
    </row>
    <row r="165" spans="1:16" ht="15">
      <c r="A165" s="104" t="s">
        <v>169</v>
      </c>
      <c r="B165" s="13">
        <f aca="true" t="shared" si="25" ref="B165:B170">C165+D165+E165+F165+G165+H165</f>
        <v>9720</v>
      </c>
      <c r="C165" s="39"/>
      <c r="D165" s="39">
        <v>9720</v>
      </c>
      <c r="E165" s="39"/>
      <c r="F165" s="39"/>
      <c r="G165" s="39"/>
      <c r="H165" s="39"/>
      <c r="I165" s="13">
        <f aca="true" t="shared" si="26" ref="I165:I170">J165+K165+L165+M165+N165+O165</f>
        <v>8424.3</v>
      </c>
      <c r="J165" s="39"/>
      <c r="K165" s="43">
        <f>23306.3-K166-K167-K168-K169-K170</f>
        <v>8424.3</v>
      </c>
      <c r="L165" s="39"/>
      <c r="M165" s="39"/>
      <c r="N165" s="39"/>
      <c r="O165" s="39"/>
      <c r="P165" s="119"/>
    </row>
    <row r="166" spans="1:16" ht="15">
      <c r="A166" s="104" t="s">
        <v>170</v>
      </c>
      <c r="B166" s="13">
        <f t="shared" si="25"/>
        <v>3503</v>
      </c>
      <c r="C166" s="39"/>
      <c r="D166" s="39">
        <v>3503</v>
      </c>
      <c r="E166" s="39"/>
      <c r="F166" s="39"/>
      <c r="G166" s="39"/>
      <c r="H166" s="39"/>
      <c r="I166" s="13">
        <f t="shared" si="26"/>
        <v>3500</v>
      </c>
      <c r="J166" s="39"/>
      <c r="K166" s="43">
        <v>3500</v>
      </c>
      <c r="L166" s="39"/>
      <c r="M166" s="39"/>
      <c r="N166" s="39"/>
      <c r="O166" s="39"/>
      <c r="P166" s="119"/>
    </row>
    <row r="167" spans="1:16" ht="15">
      <c r="A167" s="104" t="s">
        <v>171</v>
      </c>
      <c r="B167" s="13">
        <f t="shared" si="25"/>
        <v>5938.1</v>
      </c>
      <c r="C167" s="39"/>
      <c r="D167" s="39">
        <v>5938.1</v>
      </c>
      <c r="E167" s="39"/>
      <c r="F167" s="39"/>
      <c r="G167" s="39"/>
      <c r="H167" s="39"/>
      <c r="I167" s="13">
        <f t="shared" si="26"/>
        <v>5930</v>
      </c>
      <c r="J167" s="39"/>
      <c r="K167" s="43">
        <v>5930</v>
      </c>
      <c r="L167" s="39"/>
      <c r="M167" s="39"/>
      <c r="N167" s="39"/>
      <c r="O167" s="39"/>
      <c r="P167" s="119"/>
    </row>
    <row r="168" spans="1:16" ht="25.5">
      <c r="A168" s="104" t="s">
        <v>172</v>
      </c>
      <c r="B168" s="13">
        <f t="shared" si="25"/>
        <v>2522</v>
      </c>
      <c r="C168" s="39"/>
      <c r="D168" s="39">
        <v>2522</v>
      </c>
      <c r="E168" s="39"/>
      <c r="F168" s="39"/>
      <c r="G168" s="39"/>
      <c r="H168" s="39"/>
      <c r="I168" s="13">
        <f t="shared" si="26"/>
        <v>2500</v>
      </c>
      <c r="J168" s="39"/>
      <c r="K168" s="43">
        <v>2500</v>
      </c>
      <c r="L168" s="39"/>
      <c r="M168" s="39"/>
      <c r="N168" s="39"/>
      <c r="O168" s="39"/>
      <c r="P168" s="119"/>
    </row>
    <row r="169" spans="1:16" ht="25.5">
      <c r="A169" s="104" t="s">
        <v>173</v>
      </c>
      <c r="B169" s="13">
        <f t="shared" si="25"/>
        <v>252</v>
      </c>
      <c r="C169" s="39"/>
      <c r="D169" s="39">
        <v>252</v>
      </c>
      <c r="E169" s="39"/>
      <c r="F169" s="39"/>
      <c r="G169" s="39"/>
      <c r="H169" s="39"/>
      <c r="I169" s="13">
        <f t="shared" si="26"/>
        <v>252</v>
      </c>
      <c r="J169" s="39"/>
      <c r="K169" s="43">
        <v>252</v>
      </c>
      <c r="L169" s="39"/>
      <c r="M169" s="39"/>
      <c r="N169" s="39"/>
      <c r="O169" s="39"/>
      <c r="P169" s="119"/>
    </row>
    <row r="170" spans="1:16" ht="57" customHeight="1">
      <c r="A170" s="104" t="s">
        <v>203</v>
      </c>
      <c r="B170" s="13">
        <f t="shared" si="25"/>
        <v>2701.1</v>
      </c>
      <c r="C170" s="39"/>
      <c r="D170" s="39">
        <v>2701.1</v>
      </c>
      <c r="E170" s="39"/>
      <c r="F170" s="39"/>
      <c r="G170" s="39"/>
      <c r="H170" s="39"/>
      <c r="I170" s="13">
        <f t="shared" si="26"/>
        <v>2700</v>
      </c>
      <c r="J170" s="39"/>
      <c r="K170" s="43">
        <v>2700</v>
      </c>
      <c r="L170" s="39"/>
      <c r="M170" s="39"/>
      <c r="N170" s="39"/>
      <c r="O170" s="39"/>
      <c r="P170" s="119"/>
    </row>
    <row r="171" spans="1:17" ht="15">
      <c r="A171" s="25" t="s">
        <v>141</v>
      </c>
      <c r="B171" s="27">
        <f>SUM(B161:B170)</f>
        <v>24636.199999999997</v>
      </c>
      <c r="C171" s="27">
        <f>SUM(C161:C170)</f>
        <v>0</v>
      </c>
      <c r="D171" s="27">
        <f>SUM(D161:D170)</f>
        <v>24636.199999999997</v>
      </c>
      <c r="E171" s="27">
        <f aca="true" t="shared" si="27" ref="E171:O171">SUM(E161:E170)</f>
        <v>0</v>
      </c>
      <c r="F171" s="27">
        <f t="shared" si="27"/>
        <v>0</v>
      </c>
      <c r="G171" s="27">
        <f t="shared" si="27"/>
        <v>0</v>
      </c>
      <c r="H171" s="27">
        <f t="shared" si="27"/>
        <v>0</v>
      </c>
      <c r="I171" s="27">
        <f t="shared" si="27"/>
        <v>23306.3</v>
      </c>
      <c r="J171" s="27">
        <f t="shared" si="27"/>
        <v>0</v>
      </c>
      <c r="K171" s="27">
        <f t="shared" si="27"/>
        <v>23306.3</v>
      </c>
      <c r="L171" s="27">
        <f t="shared" si="27"/>
        <v>0</v>
      </c>
      <c r="M171" s="27">
        <f t="shared" si="27"/>
        <v>0</v>
      </c>
      <c r="N171" s="27">
        <f t="shared" si="27"/>
        <v>0</v>
      </c>
      <c r="O171" s="27">
        <f t="shared" si="27"/>
        <v>0</v>
      </c>
      <c r="P171" s="36"/>
      <c r="Q171" s="115"/>
    </row>
    <row r="172" spans="1:16" ht="15">
      <c r="A172" s="131" t="s">
        <v>147</v>
      </c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3"/>
    </row>
    <row r="173" spans="1:16" ht="25.5">
      <c r="A173" s="18" t="s">
        <v>148</v>
      </c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1"/>
    </row>
    <row r="174" spans="1:16" ht="45" customHeight="1">
      <c r="A174" s="98" t="s">
        <v>149</v>
      </c>
      <c r="B174" s="13">
        <f>C174+D174+E174+F174+G174+H174</f>
        <v>0</v>
      </c>
      <c r="C174" s="79"/>
      <c r="D174" s="79"/>
      <c r="E174" s="79"/>
      <c r="F174" s="79"/>
      <c r="G174" s="79"/>
      <c r="H174" s="79"/>
      <c r="I174" s="13">
        <f>J174+K174+L174+M174+N174+O174</f>
        <v>0</v>
      </c>
      <c r="J174" s="83"/>
      <c r="K174" s="83"/>
      <c r="L174" s="83"/>
      <c r="M174" s="83"/>
      <c r="N174" s="83"/>
      <c r="O174" s="83"/>
      <c r="P174" s="84"/>
    </row>
    <row r="175" spans="1:16" ht="66" customHeight="1">
      <c r="A175" s="98" t="s">
        <v>197</v>
      </c>
      <c r="B175" s="13">
        <f>C175+D175+E175+F175+G175+H175</f>
        <v>1256.5</v>
      </c>
      <c r="C175" s="79"/>
      <c r="D175" s="39">
        <v>1256.5</v>
      </c>
      <c r="E175" s="79"/>
      <c r="F175" s="79"/>
      <c r="G175" s="79"/>
      <c r="H175" s="79"/>
      <c r="I175" s="13">
        <f>J175+K175+L175+M175+N175+O175</f>
        <v>1236.3</v>
      </c>
      <c r="J175" s="96"/>
      <c r="K175" s="43">
        <v>1236.3</v>
      </c>
      <c r="L175" s="96"/>
      <c r="M175" s="83"/>
      <c r="N175" s="83"/>
      <c r="O175" s="83"/>
      <c r="P175" s="84"/>
    </row>
    <row r="176" spans="1:16" ht="65.25" customHeight="1">
      <c r="A176" s="98" t="s">
        <v>198</v>
      </c>
      <c r="B176" s="13">
        <f>C176+D176+E176+F176+G176+H176</f>
        <v>350</v>
      </c>
      <c r="C176" s="39">
        <v>350</v>
      </c>
      <c r="D176" s="39"/>
      <c r="E176" s="39"/>
      <c r="F176" s="39"/>
      <c r="G176" s="39"/>
      <c r="H176" s="39"/>
      <c r="I176" s="13">
        <f>J176+K176+L176+M176+N176+O176</f>
        <v>350</v>
      </c>
      <c r="J176" s="43">
        <v>350</v>
      </c>
      <c r="K176" s="96"/>
      <c r="L176" s="96"/>
      <c r="M176" s="83"/>
      <c r="N176" s="83"/>
      <c r="O176" s="83"/>
      <c r="P176" s="84"/>
    </row>
    <row r="177" spans="1:16" ht="42.75" customHeight="1">
      <c r="A177" s="98" t="s">
        <v>199</v>
      </c>
      <c r="B177" s="13">
        <f>C177+D177+E177+F177+G177+H177</f>
        <v>4000</v>
      </c>
      <c r="C177" s="39">
        <v>693</v>
      </c>
      <c r="D177" s="39">
        <v>3307</v>
      </c>
      <c r="E177" s="39"/>
      <c r="F177" s="39"/>
      <c r="G177" s="39"/>
      <c r="H177" s="39"/>
      <c r="I177" s="13">
        <f>J177+K177+L177+M177+N177+O177</f>
        <v>3984.7</v>
      </c>
      <c r="J177" s="43">
        <v>693</v>
      </c>
      <c r="K177" s="43">
        <v>3291.7</v>
      </c>
      <c r="L177" s="96"/>
      <c r="M177" s="83"/>
      <c r="N177" s="83"/>
      <c r="O177" s="83"/>
      <c r="P177" s="84"/>
    </row>
    <row r="178" spans="1:16" ht="20.25" customHeight="1">
      <c r="A178" s="25" t="s">
        <v>150</v>
      </c>
      <c r="B178" s="27">
        <f>SUM(B174:B177)</f>
        <v>5606.5</v>
      </c>
      <c r="C178" s="27">
        <f>SUM(C174:C177)</f>
        <v>1043</v>
      </c>
      <c r="D178" s="27">
        <f>SUM(D174:D177)</f>
        <v>4563.5</v>
      </c>
      <c r="E178" s="27">
        <f aca="true" t="shared" si="28" ref="E178:O178">SUM(E174:E177)</f>
        <v>0</v>
      </c>
      <c r="F178" s="27">
        <f t="shared" si="28"/>
        <v>0</v>
      </c>
      <c r="G178" s="27">
        <f t="shared" si="28"/>
        <v>0</v>
      </c>
      <c r="H178" s="27">
        <f t="shared" si="28"/>
        <v>0</v>
      </c>
      <c r="I178" s="27">
        <f t="shared" si="28"/>
        <v>5571</v>
      </c>
      <c r="J178" s="27">
        <f t="shared" si="28"/>
        <v>1043</v>
      </c>
      <c r="K178" s="27">
        <f t="shared" si="28"/>
        <v>4528</v>
      </c>
      <c r="L178" s="27">
        <f t="shared" si="28"/>
        <v>0</v>
      </c>
      <c r="M178" s="27">
        <f t="shared" si="28"/>
        <v>0</v>
      </c>
      <c r="N178" s="27">
        <f t="shared" si="28"/>
        <v>0</v>
      </c>
      <c r="O178" s="27">
        <f t="shared" si="28"/>
        <v>0</v>
      </c>
      <c r="P178" s="36"/>
    </row>
    <row r="179" spans="1:16" ht="15">
      <c r="A179" s="131" t="s">
        <v>164</v>
      </c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3"/>
    </row>
    <row r="180" spans="1:16" ht="25.5">
      <c r="A180" s="18" t="s">
        <v>148</v>
      </c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1"/>
    </row>
    <row r="181" spans="1:16" ht="35.25" customHeight="1">
      <c r="A181" s="99" t="s">
        <v>165</v>
      </c>
      <c r="B181" s="13">
        <f>C181+D181+E181+F181+G181+H181</f>
        <v>0</v>
      </c>
      <c r="C181" s="79"/>
      <c r="D181" s="39"/>
      <c r="E181" s="79"/>
      <c r="F181" s="79"/>
      <c r="G181" s="79"/>
      <c r="H181" s="39"/>
      <c r="I181" s="13">
        <f>J181+K181+L181+M181+N181+O181</f>
        <v>0</v>
      </c>
      <c r="J181" s="79"/>
      <c r="K181" s="79"/>
      <c r="L181" s="79"/>
      <c r="M181" s="79"/>
      <c r="N181" s="79"/>
      <c r="O181" s="79"/>
      <c r="P181" s="69"/>
    </row>
    <row r="182" spans="1:16" ht="24" customHeight="1">
      <c r="A182" s="99" t="s">
        <v>200</v>
      </c>
      <c r="B182" s="13">
        <f>C182+D182+E182+F182+G182+H182</f>
        <v>1133.9</v>
      </c>
      <c r="C182" s="79"/>
      <c r="D182" s="39">
        <v>400</v>
      </c>
      <c r="E182" s="79"/>
      <c r="F182" s="79"/>
      <c r="G182" s="79"/>
      <c r="H182" s="39">
        <v>733.9</v>
      </c>
      <c r="I182" s="13">
        <f>J182+K182+L182+M182+N182+O182</f>
        <v>1031.7</v>
      </c>
      <c r="J182" s="39"/>
      <c r="K182" s="39">
        <v>311.1</v>
      </c>
      <c r="L182" s="39"/>
      <c r="M182" s="39"/>
      <c r="N182" s="39"/>
      <c r="O182" s="39">
        <v>720.6</v>
      </c>
      <c r="P182" s="119"/>
    </row>
    <row r="183" spans="1:16" ht="48.75" customHeight="1">
      <c r="A183" s="99" t="s">
        <v>201</v>
      </c>
      <c r="B183" s="13">
        <f>C183+D183+E183+F183+G183+H183</f>
        <v>2621.8</v>
      </c>
      <c r="C183" s="79"/>
      <c r="D183" s="39">
        <v>909.9</v>
      </c>
      <c r="E183" s="79"/>
      <c r="F183" s="79"/>
      <c r="G183" s="79"/>
      <c r="H183" s="39">
        <v>1711.9</v>
      </c>
      <c r="I183" s="13">
        <f>J183+K183+L183+M183+N183+O183</f>
        <v>2366.6</v>
      </c>
      <c r="J183" s="39"/>
      <c r="K183" s="39">
        <v>776.4</v>
      </c>
      <c r="L183" s="39"/>
      <c r="M183" s="39"/>
      <c r="N183" s="39"/>
      <c r="O183" s="39">
        <v>1590.2</v>
      </c>
      <c r="P183" s="119"/>
    </row>
    <row r="184" spans="1:16" ht="35.25" customHeight="1">
      <c r="A184" s="99" t="s">
        <v>202</v>
      </c>
      <c r="B184" s="13">
        <f>C184+D184+E184+F184+G184+H184</f>
        <v>1002.4</v>
      </c>
      <c r="C184" s="79"/>
      <c r="D184" s="39">
        <v>300.7</v>
      </c>
      <c r="E184" s="79"/>
      <c r="F184" s="79"/>
      <c r="G184" s="39">
        <v>287.8</v>
      </c>
      <c r="H184" s="39">
        <v>413.9</v>
      </c>
      <c r="I184" s="13">
        <f>J184+K184+L184+M184+N184+O184</f>
        <v>1000.0999999999999</v>
      </c>
      <c r="J184" s="39"/>
      <c r="K184" s="39">
        <v>299</v>
      </c>
      <c r="L184" s="39"/>
      <c r="M184" s="39"/>
      <c r="N184" s="39">
        <v>287.3</v>
      </c>
      <c r="O184" s="39">
        <v>413.8</v>
      </c>
      <c r="P184" s="119"/>
    </row>
    <row r="185" spans="1:18" ht="15" customHeight="1">
      <c r="A185" s="25" t="s">
        <v>166</v>
      </c>
      <c r="B185" s="27">
        <f>SUM(B181:B184)</f>
        <v>4758.1</v>
      </c>
      <c r="C185" s="27">
        <f>SUM(C181:C184)</f>
        <v>0</v>
      </c>
      <c r="D185" s="27">
        <f>SUM(D181:D184)</f>
        <v>1610.6000000000001</v>
      </c>
      <c r="E185" s="27">
        <f aca="true" t="shared" si="29" ref="E185:O185">SUM(E181:E184)</f>
        <v>0</v>
      </c>
      <c r="F185" s="27">
        <f t="shared" si="29"/>
        <v>0</v>
      </c>
      <c r="G185" s="27">
        <f t="shared" si="29"/>
        <v>287.8</v>
      </c>
      <c r="H185" s="27">
        <f t="shared" si="29"/>
        <v>2859.7000000000003</v>
      </c>
      <c r="I185" s="27">
        <f t="shared" si="29"/>
        <v>4398.4</v>
      </c>
      <c r="J185" s="27">
        <f t="shared" si="29"/>
        <v>0</v>
      </c>
      <c r="K185" s="27">
        <f t="shared" si="29"/>
        <v>1386.5</v>
      </c>
      <c r="L185" s="27">
        <f t="shared" si="29"/>
        <v>0</v>
      </c>
      <c r="M185" s="27">
        <f t="shared" si="29"/>
        <v>0</v>
      </c>
      <c r="N185" s="27">
        <f t="shared" si="29"/>
        <v>287.3</v>
      </c>
      <c r="O185" s="27">
        <f t="shared" si="29"/>
        <v>2724.6000000000004</v>
      </c>
      <c r="P185" s="27"/>
      <c r="R185" s="86">
        <f>D185+H185</f>
        <v>4470.3</v>
      </c>
    </row>
    <row r="186" spans="1:18" ht="63">
      <c r="A186" s="24" t="s">
        <v>195</v>
      </c>
      <c r="B186" s="37">
        <f>B55+B77+B82+B92+B101+B105+B109+B113+B118+B131+B136+B146+B152+B158+B171+B178+B185</f>
        <v>1320151.9000000001</v>
      </c>
      <c r="C186" s="37">
        <f aca="true" t="shared" si="30" ref="C186:O186">C55+C77+C82+C92+C101+C105+C109+C113+C118+C131+C136+C146+C152+C158+C171+C178+C185</f>
        <v>714492.4</v>
      </c>
      <c r="D186" s="37">
        <f t="shared" si="30"/>
        <v>88860.1</v>
      </c>
      <c r="E186" s="37">
        <f t="shared" si="30"/>
        <v>287.6</v>
      </c>
      <c r="F186" s="37">
        <f t="shared" si="30"/>
        <v>90</v>
      </c>
      <c r="G186" s="37">
        <f t="shared" si="30"/>
        <v>497501.8</v>
      </c>
      <c r="H186" s="37">
        <f t="shared" si="30"/>
        <v>18920</v>
      </c>
      <c r="I186" s="37">
        <f t="shared" si="30"/>
        <v>1269421.3699999999</v>
      </c>
      <c r="J186" s="37">
        <f t="shared" si="30"/>
        <v>677615.6699999999</v>
      </c>
      <c r="K186" s="37">
        <f t="shared" si="30"/>
        <v>78732.3</v>
      </c>
      <c r="L186" s="37">
        <f t="shared" si="30"/>
        <v>0</v>
      </c>
      <c r="M186" s="37">
        <f t="shared" si="30"/>
        <v>0</v>
      </c>
      <c r="N186" s="37">
        <f t="shared" si="30"/>
        <v>494626.99999999994</v>
      </c>
      <c r="O186" s="37">
        <f t="shared" si="30"/>
        <v>18446.4</v>
      </c>
      <c r="P186" s="38">
        <f>I186/B186*100</f>
        <v>96.15722024109496</v>
      </c>
      <c r="Q186" s="86">
        <f>C186+E186+G186</f>
        <v>1212281.8</v>
      </c>
      <c r="R186" s="86">
        <f>D186+F186+H186</f>
        <v>107870.1</v>
      </c>
    </row>
    <row r="187" spans="1:16" s="54" customFormat="1" ht="15">
      <c r="A187" s="53"/>
      <c r="B187" s="53"/>
      <c r="C187" s="90">
        <f>C186+D186</f>
        <v>803352.5</v>
      </c>
      <c r="D187" s="53"/>
      <c r="E187" s="90">
        <f>E186+F186</f>
        <v>377.6</v>
      </c>
      <c r="F187" s="53"/>
      <c r="G187" s="90">
        <f>G186+H186</f>
        <v>516421.8</v>
      </c>
      <c r="H187" s="53"/>
      <c r="I187" s="53"/>
      <c r="J187" s="53"/>
      <c r="K187" s="53"/>
      <c r="L187" s="53"/>
      <c r="M187" s="53"/>
      <c r="N187" s="53"/>
      <c r="O187" s="53"/>
      <c r="P187" s="53"/>
    </row>
    <row r="188" spans="1:16" s="54" customFormat="1" ht="15">
      <c r="A188" s="53"/>
      <c r="B188" s="90">
        <f>C188+D188</f>
        <v>1320151.9000000001</v>
      </c>
      <c r="C188" s="90">
        <f>C186+E186+G186</f>
        <v>1212281.8</v>
      </c>
      <c r="D188" s="90">
        <f>D186+F186+H186</f>
        <v>107870.1</v>
      </c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</row>
    <row r="189" spans="1:16" ht="18.75">
      <c r="A189" s="51"/>
      <c r="B189" s="4"/>
      <c r="C189" s="78"/>
      <c r="D189" s="78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1:16" ht="18.75">
      <c r="A190" s="143" t="s">
        <v>208</v>
      </c>
      <c r="B190" s="143"/>
      <c r="C190" s="143"/>
      <c r="D190" s="143"/>
      <c r="E190" s="143"/>
      <c r="F190" s="143"/>
      <c r="G190" s="50"/>
      <c r="H190" s="50"/>
      <c r="I190" s="50"/>
      <c r="J190" s="50"/>
      <c r="K190" s="144" t="s">
        <v>209</v>
      </c>
      <c r="L190" s="144"/>
      <c r="M190" s="144"/>
      <c r="N190" s="144"/>
      <c r="O190" s="144"/>
      <c r="P190" s="50"/>
    </row>
    <row r="191" spans="1:16" ht="15.75">
      <c r="A191" s="52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1:16" ht="15.75">
      <c r="A192" s="52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ht="15.75">
      <c r="A193" s="52"/>
    </row>
    <row r="194" ht="15.75">
      <c r="A194" s="52"/>
    </row>
  </sheetData>
  <sheetProtection/>
  <mergeCells count="49">
    <mergeCell ref="A110:P110"/>
    <mergeCell ref="D12:P12"/>
    <mergeCell ref="D13:P13"/>
    <mergeCell ref="A159:P159"/>
    <mergeCell ref="A172:P172"/>
    <mergeCell ref="A179:P179"/>
    <mergeCell ref="A114:P114"/>
    <mergeCell ref="A119:P119"/>
    <mergeCell ref="A132:P132"/>
    <mergeCell ref="A37:P37"/>
    <mergeCell ref="A56:P56"/>
    <mergeCell ref="A137:P137"/>
    <mergeCell ref="A147:P147"/>
    <mergeCell ref="A153:P153"/>
    <mergeCell ref="A78:P78"/>
    <mergeCell ref="A83:P83"/>
    <mergeCell ref="A93:P93"/>
    <mergeCell ref="A102:P102"/>
    <mergeCell ref="A106:P106"/>
    <mergeCell ref="I31:O31"/>
    <mergeCell ref="B32:B35"/>
    <mergeCell ref="C32:H32"/>
    <mergeCell ref="I32:I35"/>
    <mergeCell ref="J32:O32"/>
    <mergeCell ref="P32:P35"/>
    <mergeCell ref="C33:F33"/>
    <mergeCell ref="G33:H34"/>
    <mergeCell ref="J34:K34"/>
    <mergeCell ref="L34:M34"/>
    <mergeCell ref="M2:P2"/>
    <mergeCell ref="M1:P1"/>
    <mergeCell ref="D10:J10"/>
    <mergeCell ref="D11:J11"/>
    <mergeCell ref="D14:M14"/>
    <mergeCell ref="A30:A35"/>
    <mergeCell ref="B30:H30"/>
    <mergeCell ref="I30:O30"/>
    <mergeCell ref="J33:M33"/>
    <mergeCell ref="N33:O34"/>
    <mergeCell ref="A190:F190"/>
    <mergeCell ref="K190:O190"/>
    <mergeCell ref="A5:P5"/>
    <mergeCell ref="A6:P6"/>
    <mergeCell ref="D8:J8"/>
    <mergeCell ref="D9:J9"/>
    <mergeCell ref="C34:D34"/>
    <mergeCell ref="E34:F34"/>
    <mergeCell ref="P30:P31"/>
    <mergeCell ref="B31:H31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6"/>
  <sheetViews>
    <sheetView tabSelected="1" zoomScale="84" zoomScaleNormal="84" zoomScalePageLayoutView="0" workbookViewId="0" topLeftCell="A1">
      <selection activeCell="J19" sqref="J19"/>
    </sheetView>
  </sheetViews>
  <sheetFormatPr defaultColWidth="9.140625" defaultRowHeight="15"/>
  <cols>
    <col min="1" max="1" width="46.8515625" style="0" customWidth="1"/>
    <col min="2" max="2" width="11.8515625" style="0" customWidth="1"/>
    <col min="3" max="3" width="9.57421875" style="0" bestFit="1" customWidth="1"/>
    <col min="7" max="7" width="10.140625" style="0" customWidth="1"/>
    <col min="9" max="9" width="11.57421875" style="0" customWidth="1"/>
    <col min="10" max="10" width="10.28125" style="0" customWidth="1"/>
    <col min="14" max="14" width="10.00390625" style="0" customWidth="1"/>
    <col min="16" max="16" width="14.28125" style="0" customWidth="1"/>
    <col min="17" max="18" width="14.57421875" style="0" hidden="1" customWidth="1"/>
  </cols>
  <sheetData>
    <row r="1" spans="13:16" ht="15.75">
      <c r="M1" s="145" t="s">
        <v>206</v>
      </c>
      <c r="N1" s="145"/>
      <c r="O1" s="145"/>
      <c r="P1" s="145"/>
    </row>
    <row r="2" spans="13:16" ht="41.25" customHeight="1">
      <c r="M2" s="142" t="s">
        <v>207</v>
      </c>
      <c r="N2" s="142"/>
      <c r="O2" s="142"/>
      <c r="P2" s="142"/>
    </row>
    <row r="3" spans="13:16" ht="18.75">
      <c r="M3" s="120" t="s">
        <v>214</v>
      </c>
      <c r="N3" s="120"/>
      <c r="O3" s="120"/>
      <c r="P3" s="120"/>
    </row>
    <row r="4" spans="14:16" ht="15.75">
      <c r="N4" s="29"/>
      <c r="O4" s="29"/>
      <c r="P4" s="29"/>
    </row>
    <row r="5" spans="1:16" ht="18.75">
      <c r="A5" s="138" t="s">
        <v>33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6" ht="38.25" customHeight="1">
      <c r="A6" s="139" t="s">
        <v>204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1:16" ht="18.7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6" ht="18.75">
      <c r="A8" s="101" t="s">
        <v>34</v>
      </c>
      <c r="B8" s="101">
        <v>10</v>
      </c>
      <c r="C8" s="101"/>
      <c r="D8" s="134" t="s">
        <v>35</v>
      </c>
      <c r="E8" s="134"/>
      <c r="F8" s="134"/>
      <c r="G8" s="134"/>
      <c r="H8" s="134"/>
      <c r="I8" s="134"/>
      <c r="J8" s="134"/>
      <c r="K8" s="101"/>
      <c r="L8" s="101"/>
      <c r="M8" s="101"/>
      <c r="N8" s="101"/>
      <c r="O8" s="101"/>
      <c r="P8" s="101"/>
    </row>
    <row r="9" spans="1:16" ht="18.75">
      <c r="A9" s="101"/>
      <c r="B9" s="101" t="s">
        <v>36</v>
      </c>
      <c r="C9" s="101"/>
      <c r="D9" s="140" t="s">
        <v>37</v>
      </c>
      <c r="E9" s="140"/>
      <c r="F9" s="140"/>
      <c r="G9" s="140"/>
      <c r="H9" s="140"/>
      <c r="I9" s="140"/>
      <c r="J9" s="140"/>
      <c r="K9" s="101"/>
      <c r="L9" s="101"/>
      <c r="M9" s="101"/>
      <c r="N9" s="101"/>
      <c r="O9" s="101"/>
      <c r="P9" s="101"/>
    </row>
    <row r="10" spans="1:16" ht="18.75">
      <c r="A10" s="101" t="s">
        <v>38</v>
      </c>
      <c r="B10" s="101"/>
      <c r="C10" s="101"/>
      <c r="D10" s="134" t="s">
        <v>35</v>
      </c>
      <c r="E10" s="134"/>
      <c r="F10" s="134"/>
      <c r="G10" s="134"/>
      <c r="H10" s="134"/>
      <c r="I10" s="134"/>
      <c r="J10" s="134"/>
      <c r="K10" s="101"/>
      <c r="L10" s="101"/>
      <c r="M10" s="101"/>
      <c r="N10" s="101"/>
      <c r="O10" s="101"/>
      <c r="P10" s="101"/>
    </row>
    <row r="11" spans="4:10" ht="15">
      <c r="D11" s="126" t="s">
        <v>39</v>
      </c>
      <c r="E11" s="126"/>
      <c r="F11" s="126"/>
      <c r="G11" s="126"/>
      <c r="H11" s="126"/>
      <c r="I11" s="126"/>
      <c r="J11" s="126"/>
    </row>
    <row r="12" spans="1:16" ht="18.75">
      <c r="A12" s="102" t="s">
        <v>40</v>
      </c>
      <c r="B12" s="34">
        <v>611010</v>
      </c>
      <c r="D12" s="141" t="s">
        <v>205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</row>
    <row r="13" spans="1:16" ht="18.75">
      <c r="A13" s="28"/>
      <c r="B13" s="34">
        <v>611020</v>
      </c>
      <c r="D13" s="134" t="s">
        <v>179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</row>
    <row r="14" spans="1:13" ht="15">
      <c r="A14" s="28"/>
      <c r="B14" s="34">
        <v>611030</v>
      </c>
      <c r="D14" s="126" t="s">
        <v>41</v>
      </c>
      <c r="E14" s="126"/>
      <c r="F14" s="126"/>
      <c r="G14" s="126"/>
      <c r="H14" s="126"/>
      <c r="I14" s="126"/>
      <c r="J14" s="126"/>
      <c r="K14" s="126"/>
      <c r="L14" s="126"/>
      <c r="M14" s="126"/>
    </row>
    <row r="15" spans="1:2" ht="15">
      <c r="A15" s="28"/>
      <c r="B15" s="34">
        <v>611070</v>
      </c>
    </row>
    <row r="16" spans="1:2" ht="15">
      <c r="A16" s="28"/>
      <c r="B16" s="34">
        <v>611090</v>
      </c>
    </row>
    <row r="17" spans="1:2" ht="15">
      <c r="A17" s="28"/>
      <c r="B17" s="34">
        <v>611150</v>
      </c>
    </row>
    <row r="18" spans="1:2" ht="15">
      <c r="A18" s="28"/>
      <c r="B18" s="34">
        <v>611160</v>
      </c>
    </row>
    <row r="19" spans="1:2" ht="15">
      <c r="A19" s="28"/>
      <c r="B19" s="34">
        <v>611161</v>
      </c>
    </row>
    <row r="20" ht="15">
      <c r="B20" s="34">
        <v>611162</v>
      </c>
    </row>
    <row r="21" ht="15">
      <c r="B21" s="34">
        <v>611110</v>
      </c>
    </row>
    <row r="22" ht="15">
      <c r="B22" s="35">
        <v>617363</v>
      </c>
    </row>
    <row r="23" ht="15">
      <c r="B23" s="35">
        <v>611170</v>
      </c>
    </row>
    <row r="24" ht="15">
      <c r="B24" s="35">
        <v>617321</v>
      </c>
    </row>
    <row r="25" ht="15">
      <c r="B25" s="35">
        <v>619770</v>
      </c>
    </row>
    <row r="26" ht="15">
      <c r="B26" s="35">
        <v>619310</v>
      </c>
    </row>
    <row r="27" ht="15">
      <c r="B27" s="35">
        <v>611180</v>
      </c>
    </row>
    <row r="28" ht="15">
      <c r="B28" s="33" t="s">
        <v>42</v>
      </c>
    </row>
    <row r="29" ht="15">
      <c r="B29" s="33"/>
    </row>
    <row r="30" ht="15">
      <c r="B30" s="33"/>
    </row>
    <row r="32" spans="1:16" ht="51" customHeight="1">
      <c r="A32" s="124" t="s">
        <v>0</v>
      </c>
      <c r="B32" s="124" t="s">
        <v>1</v>
      </c>
      <c r="C32" s="124"/>
      <c r="D32" s="124"/>
      <c r="E32" s="124"/>
      <c r="F32" s="124"/>
      <c r="G32" s="124"/>
      <c r="H32" s="124"/>
      <c r="I32" s="124" t="s">
        <v>2</v>
      </c>
      <c r="J32" s="124"/>
      <c r="K32" s="124"/>
      <c r="L32" s="124"/>
      <c r="M32" s="124"/>
      <c r="N32" s="124"/>
      <c r="O32" s="124"/>
      <c r="P32" s="124" t="s">
        <v>212</v>
      </c>
    </row>
    <row r="33" spans="1:16" ht="30.75" customHeight="1">
      <c r="A33" s="124"/>
      <c r="B33" s="124" t="s">
        <v>193</v>
      </c>
      <c r="C33" s="124"/>
      <c r="D33" s="124"/>
      <c r="E33" s="124"/>
      <c r="F33" s="124"/>
      <c r="G33" s="124"/>
      <c r="H33" s="124"/>
      <c r="I33" s="124" t="s">
        <v>193</v>
      </c>
      <c r="J33" s="124"/>
      <c r="K33" s="124"/>
      <c r="L33" s="124"/>
      <c r="M33" s="124"/>
      <c r="N33" s="124"/>
      <c r="O33" s="124"/>
      <c r="P33" s="124"/>
    </row>
    <row r="34" spans="1:16" ht="26.25" customHeight="1">
      <c r="A34" s="124"/>
      <c r="B34" s="127" t="s">
        <v>4</v>
      </c>
      <c r="C34" s="124" t="s">
        <v>5</v>
      </c>
      <c r="D34" s="124"/>
      <c r="E34" s="124"/>
      <c r="F34" s="124"/>
      <c r="G34" s="124"/>
      <c r="H34" s="124"/>
      <c r="I34" s="124" t="s">
        <v>4</v>
      </c>
      <c r="J34" s="124" t="s">
        <v>5</v>
      </c>
      <c r="K34" s="124"/>
      <c r="L34" s="124"/>
      <c r="M34" s="124"/>
      <c r="N34" s="124"/>
      <c r="O34" s="124"/>
      <c r="P34" s="124"/>
    </row>
    <row r="35" spans="1:16" ht="22.5" customHeight="1">
      <c r="A35" s="124"/>
      <c r="B35" s="127"/>
      <c r="C35" s="124" t="s">
        <v>10</v>
      </c>
      <c r="D35" s="124"/>
      <c r="E35" s="124"/>
      <c r="F35" s="124"/>
      <c r="G35" s="124" t="s">
        <v>11</v>
      </c>
      <c r="H35" s="124"/>
      <c r="I35" s="124"/>
      <c r="J35" s="124" t="s">
        <v>10</v>
      </c>
      <c r="K35" s="124"/>
      <c r="L35" s="124"/>
      <c r="M35" s="124"/>
      <c r="N35" s="124" t="s">
        <v>11</v>
      </c>
      <c r="O35" s="124"/>
      <c r="P35" s="124"/>
    </row>
    <row r="36" spans="1:16" ht="15">
      <c r="A36" s="124"/>
      <c r="B36" s="127"/>
      <c r="C36" s="124" t="s">
        <v>152</v>
      </c>
      <c r="D36" s="124"/>
      <c r="E36" s="124" t="s">
        <v>7</v>
      </c>
      <c r="F36" s="124"/>
      <c r="G36" s="124"/>
      <c r="H36" s="124"/>
      <c r="I36" s="124"/>
      <c r="J36" s="124" t="s">
        <v>6</v>
      </c>
      <c r="K36" s="124"/>
      <c r="L36" s="124" t="s">
        <v>7</v>
      </c>
      <c r="M36" s="124"/>
      <c r="N36" s="124"/>
      <c r="O36" s="124"/>
      <c r="P36" s="124"/>
    </row>
    <row r="37" spans="1:16" ht="45.75" customHeight="1">
      <c r="A37" s="124"/>
      <c r="B37" s="127"/>
      <c r="C37" s="103" t="s">
        <v>8</v>
      </c>
      <c r="D37" s="103" t="s">
        <v>9</v>
      </c>
      <c r="E37" s="103" t="s">
        <v>8</v>
      </c>
      <c r="F37" s="103" t="s">
        <v>9</v>
      </c>
      <c r="G37" s="103" t="s">
        <v>8</v>
      </c>
      <c r="H37" s="103" t="s">
        <v>9</v>
      </c>
      <c r="I37" s="124"/>
      <c r="J37" s="103" t="s">
        <v>8</v>
      </c>
      <c r="K37" s="103" t="s">
        <v>9</v>
      </c>
      <c r="L37" s="103" t="s">
        <v>8</v>
      </c>
      <c r="M37" s="103" t="s">
        <v>9</v>
      </c>
      <c r="N37" s="103" t="s">
        <v>8</v>
      </c>
      <c r="O37" s="103" t="s">
        <v>9</v>
      </c>
      <c r="P37" s="124"/>
    </row>
    <row r="38" spans="1:16" ht="15">
      <c r="A38" s="2">
        <v>1</v>
      </c>
      <c r="B38" s="2">
        <v>2</v>
      </c>
      <c r="C38" s="2">
        <v>3</v>
      </c>
      <c r="D38" s="2">
        <v>4</v>
      </c>
      <c r="E38" s="2">
        <v>5</v>
      </c>
      <c r="F38" s="2">
        <v>6</v>
      </c>
      <c r="G38" s="2">
        <v>7</v>
      </c>
      <c r="H38" s="2">
        <v>8</v>
      </c>
      <c r="I38" s="2">
        <v>9</v>
      </c>
      <c r="J38" s="2">
        <v>10</v>
      </c>
      <c r="K38" s="2">
        <v>11</v>
      </c>
      <c r="L38" s="2">
        <v>12</v>
      </c>
      <c r="M38" s="2">
        <v>13</v>
      </c>
      <c r="N38" s="2">
        <v>14</v>
      </c>
      <c r="O38" s="2">
        <v>15</v>
      </c>
      <c r="P38" s="2">
        <v>16</v>
      </c>
    </row>
    <row r="39" spans="1:16" ht="15">
      <c r="A39" s="129" t="s">
        <v>48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</row>
    <row r="40" spans="1:16" ht="17.25" customHeight="1">
      <c r="A40" s="15" t="s">
        <v>49</v>
      </c>
      <c r="B40" s="11">
        <f>C40+D40+E40+F40+G40+H40</f>
        <v>0</v>
      </c>
      <c r="C40" s="11"/>
      <c r="D40" s="11"/>
      <c r="E40" s="11"/>
      <c r="F40" s="11"/>
      <c r="G40" s="11"/>
      <c r="H40" s="11"/>
      <c r="I40" s="11">
        <f aca="true" t="shared" si="0" ref="I40:I51">J40+K40+L40+M40+N40+O40</f>
        <v>0</v>
      </c>
      <c r="J40" s="11"/>
      <c r="K40" s="11"/>
      <c r="L40" s="11"/>
      <c r="M40" s="11"/>
      <c r="N40" s="11"/>
      <c r="O40" s="11"/>
      <c r="P40" s="17"/>
    </row>
    <row r="41" spans="1:16" ht="30.75" customHeight="1">
      <c r="A41" s="6" t="s">
        <v>50</v>
      </c>
      <c r="B41" s="10">
        <f aca="true" t="shared" si="1" ref="B41:B57">C41+D41+E41+F41+G41+H41</f>
        <v>611462.5</v>
      </c>
      <c r="C41" s="10">
        <f>'додаток 1 2019'!C41+'додаток 1 2020'!C41+'додаток 1 2021  '!C39</f>
        <v>610918</v>
      </c>
      <c r="D41" s="10">
        <f>'додаток 1 2019'!D41+'додаток 1 2020'!D41+'додаток 1 2021  '!D39</f>
        <v>0</v>
      </c>
      <c r="E41" s="10">
        <f>'додаток 1 2019'!E41+'додаток 1 2020'!E41+'додаток 1 2021  '!E39</f>
        <v>0</v>
      </c>
      <c r="F41" s="10">
        <f>'додаток 1 2019'!F41+'додаток 1 2020'!F41+'додаток 1 2021  '!F39</f>
        <v>0</v>
      </c>
      <c r="G41" s="10">
        <f>'додаток 1 2019'!G41+'додаток 1 2020'!G41+'додаток 1 2021  '!G39</f>
        <v>544.5</v>
      </c>
      <c r="H41" s="10">
        <f>'додаток 1 2019'!H41+'додаток 1 2020'!H41+'додаток 1 2021  '!H39</f>
        <v>0</v>
      </c>
      <c r="I41" s="10">
        <f t="shared" si="0"/>
        <v>609670.2999999999</v>
      </c>
      <c r="J41" s="10">
        <f>'додаток 1 2019'!J41+'додаток 1 2020'!J41+'додаток 1 2021  '!J39</f>
        <v>609311.7</v>
      </c>
      <c r="K41" s="10">
        <f>'додаток 1 2019'!K41+'додаток 1 2020'!K41+'додаток 1 2021  '!K39</f>
        <v>0</v>
      </c>
      <c r="L41" s="10">
        <f>'додаток 1 2019'!L41+'додаток 1 2020'!L41+'додаток 1 2021  '!L39</f>
        <v>0</v>
      </c>
      <c r="M41" s="10">
        <f>'додаток 1 2019'!M41+'додаток 1 2020'!M41+'додаток 1 2021  '!M39</f>
        <v>0</v>
      </c>
      <c r="N41" s="10">
        <f>'додаток 1 2019'!N41+'додаток 1 2020'!N41+'додаток 1 2021  '!N39</f>
        <v>358.6</v>
      </c>
      <c r="O41" s="10">
        <f>'додаток 1 2019'!O41+'додаток 1 2020'!O41+'додаток 1 2021  '!O39</f>
        <v>0</v>
      </c>
      <c r="P41" s="6"/>
    </row>
    <row r="42" spans="1:16" ht="30.75" customHeight="1">
      <c r="A42" s="6" t="s">
        <v>51</v>
      </c>
      <c r="B42" s="10">
        <f t="shared" si="1"/>
        <v>84937.5</v>
      </c>
      <c r="C42" s="10">
        <f>'додаток 1 2019'!C42+'додаток 1 2020'!C42+'додаток 1 2021  '!C40</f>
        <v>41207.9</v>
      </c>
      <c r="D42" s="10">
        <f>'додаток 1 2019'!D42+'додаток 1 2020'!D42+'додаток 1 2021  '!D40</f>
        <v>43729.6</v>
      </c>
      <c r="E42" s="10">
        <f>'додаток 1 2019'!E42+'додаток 1 2020'!E42+'додаток 1 2021  '!E40</f>
        <v>0</v>
      </c>
      <c r="F42" s="10">
        <f>'додаток 1 2019'!F42+'додаток 1 2020'!F42+'додаток 1 2021  '!F40</f>
        <v>0</v>
      </c>
      <c r="G42" s="10">
        <f>'додаток 1 2019'!G42+'додаток 1 2020'!G42+'додаток 1 2021  '!G40</f>
        <v>0</v>
      </c>
      <c r="H42" s="10">
        <f>'додаток 1 2019'!H42+'додаток 1 2020'!H42+'додаток 1 2021  '!H40</f>
        <v>0</v>
      </c>
      <c r="I42" s="10">
        <f t="shared" si="0"/>
        <v>69142.9</v>
      </c>
      <c r="J42" s="10">
        <f>'додаток 1 2019'!J42+'додаток 1 2020'!J42+'додаток 1 2021  '!J40</f>
        <v>34685</v>
      </c>
      <c r="K42" s="10">
        <f>'додаток 1 2019'!K42+'додаток 1 2020'!K42+'додаток 1 2021  '!K40</f>
        <v>34457.9</v>
      </c>
      <c r="L42" s="10">
        <f>'додаток 1 2019'!L42+'додаток 1 2020'!L42+'додаток 1 2021  '!L40</f>
        <v>0</v>
      </c>
      <c r="M42" s="10">
        <f>'додаток 1 2019'!M42+'додаток 1 2020'!M42+'додаток 1 2021  '!M40</f>
        <v>0</v>
      </c>
      <c r="N42" s="10">
        <f>'додаток 1 2019'!N42+'додаток 1 2020'!N42+'додаток 1 2021  '!N40</f>
        <v>0</v>
      </c>
      <c r="O42" s="10">
        <f>'додаток 1 2019'!O42+'додаток 1 2020'!O42+'додаток 1 2021  '!O40</f>
        <v>0</v>
      </c>
      <c r="P42" s="6"/>
    </row>
    <row r="43" spans="1:16" ht="30.75" customHeight="1">
      <c r="A43" s="6" t="s">
        <v>52</v>
      </c>
      <c r="B43" s="10">
        <f t="shared" si="1"/>
        <v>118408.7</v>
      </c>
      <c r="C43" s="10">
        <f>'додаток 1 2019'!C43+'додаток 1 2020'!C43+'додаток 1 2021  '!C41</f>
        <v>116923</v>
      </c>
      <c r="D43" s="10">
        <f>'додаток 1 2019'!D43+'додаток 1 2020'!D43+'додаток 1 2021  '!D41</f>
        <v>950.2</v>
      </c>
      <c r="E43" s="10">
        <f>'додаток 1 2019'!E43+'додаток 1 2020'!E43+'додаток 1 2021  '!E41</f>
        <v>391</v>
      </c>
      <c r="F43" s="10">
        <f>'додаток 1 2019'!F43+'додаток 1 2020'!F43+'додаток 1 2021  '!F41</f>
        <v>0</v>
      </c>
      <c r="G43" s="10">
        <f>'додаток 1 2019'!G43+'додаток 1 2020'!G43+'додаток 1 2021  '!G41</f>
        <v>144.5</v>
      </c>
      <c r="H43" s="10">
        <f>'додаток 1 2019'!H43+'додаток 1 2020'!H43+'додаток 1 2021  '!H41</f>
        <v>0</v>
      </c>
      <c r="I43" s="10">
        <f t="shared" si="0"/>
        <v>104925.9</v>
      </c>
      <c r="J43" s="10">
        <f>'додаток 1 2019'!J43+'додаток 1 2020'!J43+'додаток 1 2021  '!J41</f>
        <v>103004.9</v>
      </c>
      <c r="K43" s="10">
        <f>'додаток 1 2019'!K43+'додаток 1 2020'!K43+'додаток 1 2021  '!K41</f>
        <v>1731.2</v>
      </c>
      <c r="L43" s="10">
        <f>'додаток 1 2019'!L43+'додаток 1 2020'!L43+'додаток 1 2021  '!L41</f>
        <v>45.7</v>
      </c>
      <c r="M43" s="10">
        <f>'додаток 1 2019'!M43+'додаток 1 2020'!M43+'додаток 1 2021  '!M41</f>
        <v>0</v>
      </c>
      <c r="N43" s="10">
        <f>'додаток 1 2019'!N43+'додаток 1 2020'!N43+'додаток 1 2021  '!N41</f>
        <v>144.1</v>
      </c>
      <c r="O43" s="10">
        <f>'додаток 1 2019'!O43+'додаток 1 2020'!O43+'додаток 1 2021  '!O41</f>
        <v>0</v>
      </c>
      <c r="P43" s="6"/>
    </row>
    <row r="44" spans="1:16" ht="30.75" customHeight="1">
      <c r="A44" s="5" t="s">
        <v>53</v>
      </c>
      <c r="B44" s="10">
        <f t="shared" si="1"/>
        <v>1508.9</v>
      </c>
      <c r="C44" s="10">
        <f>'додаток 1 2019'!C44+'додаток 1 2020'!C44+'додаток 1 2021  '!C42</f>
        <v>1508.9</v>
      </c>
      <c r="D44" s="10">
        <f>'додаток 1 2019'!D44+'додаток 1 2020'!D44+'додаток 1 2021  '!D42</f>
        <v>0</v>
      </c>
      <c r="E44" s="10">
        <f>'додаток 1 2019'!E44+'додаток 1 2020'!E44+'додаток 1 2021  '!E42</f>
        <v>0</v>
      </c>
      <c r="F44" s="10">
        <f>'додаток 1 2019'!F44+'додаток 1 2020'!F44+'додаток 1 2021  '!F42</f>
        <v>0</v>
      </c>
      <c r="G44" s="10">
        <f>'додаток 1 2019'!G44+'додаток 1 2020'!G44+'додаток 1 2021  '!G42</f>
        <v>0</v>
      </c>
      <c r="H44" s="10">
        <f>'додаток 1 2019'!H44+'додаток 1 2020'!H44+'додаток 1 2021  '!H42</f>
        <v>0</v>
      </c>
      <c r="I44" s="10">
        <f t="shared" si="0"/>
        <v>1508.9</v>
      </c>
      <c r="J44" s="10">
        <f>'додаток 1 2019'!J44+'додаток 1 2020'!J44+'додаток 1 2021  '!J42</f>
        <v>1508.9</v>
      </c>
      <c r="K44" s="10">
        <f>'додаток 1 2019'!K44+'додаток 1 2020'!K44+'додаток 1 2021  '!K42</f>
        <v>0</v>
      </c>
      <c r="L44" s="10">
        <f>'додаток 1 2019'!L44+'додаток 1 2020'!L44+'додаток 1 2021  '!L42</f>
        <v>0</v>
      </c>
      <c r="M44" s="10">
        <f>'додаток 1 2019'!M44+'додаток 1 2020'!M44+'додаток 1 2021  '!M42</f>
        <v>0</v>
      </c>
      <c r="N44" s="10">
        <f>'додаток 1 2019'!N44+'додаток 1 2020'!N44+'додаток 1 2021  '!N42</f>
        <v>0</v>
      </c>
      <c r="O44" s="10">
        <f>'додаток 1 2019'!O44+'додаток 1 2020'!O44+'додаток 1 2021  '!O42</f>
        <v>0</v>
      </c>
      <c r="P44" s="6"/>
    </row>
    <row r="45" spans="1:16" ht="30.75" customHeight="1">
      <c r="A45" s="6" t="s">
        <v>54</v>
      </c>
      <c r="B45" s="10">
        <f t="shared" si="1"/>
        <v>4732.6</v>
      </c>
      <c r="C45" s="10">
        <f>'додаток 1 2019'!C45+'додаток 1 2020'!C45+'додаток 1 2021  '!C43</f>
        <v>0</v>
      </c>
      <c r="D45" s="10">
        <f>'додаток 1 2019'!D45+'додаток 1 2020'!D45+'додаток 1 2021  '!D43</f>
        <v>4400</v>
      </c>
      <c r="E45" s="10">
        <f>'додаток 1 2019'!E45+'додаток 1 2020'!E45+'додаток 1 2021  '!E43</f>
        <v>0</v>
      </c>
      <c r="F45" s="10">
        <f>'додаток 1 2019'!F45+'додаток 1 2020'!F45+'додаток 1 2021  '!F43</f>
        <v>234</v>
      </c>
      <c r="G45" s="10">
        <f>'додаток 1 2019'!G45+'додаток 1 2020'!G45+'додаток 1 2021  '!G43</f>
        <v>0</v>
      </c>
      <c r="H45" s="10">
        <f>'додаток 1 2019'!H45+'додаток 1 2020'!H45+'додаток 1 2021  '!H43</f>
        <v>98.60000000000001</v>
      </c>
      <c r="I45" s="10">
        <f t="shared" si="0"/>
        <v>3501.9999999999995</v>
      </c>
      <c r="J45" s="10">
        <f>'додаток 1 2019'!J45+'додаток 1 2020'!J45+'додаток 1 2021  '!J43</f>
        <v>0</v>
      </c>
      <c r="K45" s="10">
        <f>'додаток 1 2019'!K45+'додаток 1 2020'!K45+'додаток 1 2021  '!K43</f>
        <v>3267.8999999999996</v>
      </c>
      <c r="L45" s="10">
        <f>'додаток 1 2019'!L45+'додаток 1 2020'!L45+'додаток 1 2021  '!L43</f>
        <v>0</v>
      </c>
      <c r="M45" s="10">
        <f>'додаток 1 2019'!M45+'додаток 1 2020'!M45+'додаток 1 2021  '!M43</f>
        <v>136</v>
      </c>
      <c r="N45" s="10">
        <f>'додаток 1 2019'!N45+'додаток 1 2020'!N45+'додаток 1 2021  '!N43</f>
        <v>0</v>
      </c>
      <c r="O45" s="10">
        <f>'додаток 1 2019'!O45+'додаток 1 2020'!O45+'додаток 1 2021  '!O43</f>
        <v>98.1</v>
      </c>
      <c r="P45" s="6"/>
    </row>
    <row r="46" spans="1:16" ht="30.75" customHeight="1">
      <c r="A46" s="6" t="s">
        <v>55</v>
      </c>
      <c r="B46" s="10">
        <f t="shared" si="1"/>
        <v>4700</v>
      </c>
      <c r="C46" s="10">
        <f>'додаток 1 2019'!C46+'додаток 1 2020'!C46+'додаток 1 2021  '!C44</f>
        <v>0</v>
      </c>
      <c r="D46" s="10">
        <f>'додаток 1 2019'!D46+'додаток 1 2020'!D46+'додаток 1 2021  '!D44</f>
        <v>4700</v>
      </c>
      <c r="E46" s="10">
        <f>'додаток 1 2019'!E46+'додаток 1 2020'!E46+'додаток 1 2021  '!E44</f>
        <v>0</v>
      </c>
      <c r="F46" s="10">
        <f>'додаток 1 2019'!F46+'додаток 1 2020'!F46+'додаток 1 2021  '!F44</f>
        <v>0</v>
      </c>
      <c r="G46" s="10">
        <f>'додаток 1 2019'!G46+'додаток 1 2020'!G46+'додаток 1 2021  '!G44</f>
        <v>0</v>
      </c>
      <c r="H46" s="10">
        <f>'додаток 1 2019'!H46+'додаток 1 2020'!H46+'додаток 1 2021  '!H44</f>
        <v>0</v>
      </c>
      <c r="I46" s="10">
        <f t="shared" si="0"/>
        <v>4452.1</v>
      </c>
      <c r="J46" s="10">
        <f>'додаток 1 2019'!J46+'додаток 1 2020'!J46+'додаток 1 2021  '!J44</f>
        <v>0</v>
      </c>
      <c r="K46" s="10">
        <f>'додаток 1 2019'!K46+'додаток 1 2020'!K46+'додаток 1 2021  '!K44</f>
        <v>4452.1</v>
      </c>
      <c r="L46" s="10">
        <f>'додаток 1 2019'!L46+'додаток 1 2020'!L46+'додаток 1 2021  '!L44</f>
        <v>0</v>
      </c>
      <c r="M46" s="10">
        <f>'додаток 1 2019'!M46+'додаток 1 2020'!M46+'додаток 1 2021  '!M44</f>
        <v>0</v>
      </c>
      <c r="N46" s="10">
        <f>'додаток 1 2019'!N46+'додаток 1 2020'!N46+'додаток 1 2021  '!N44</f>
        <v>0</v>
      </c>
      <c r="O46" s="10">
        <f>'додаток 1 2019'!O46+'додаток 1 2020'!O46+'додаток 1 2021  '!O44</f>
        <v>0</v>
      </c>
      <c r="P46" s="6"/>
    </row>
    <row r="47" spans="1:16" ht="30.75" customHeight="1">
      <c r="A47" s="6" t="s">
        <v>56</v>
      </c>
      <c r="B47" s="10">
        <f t="shared" si="1"/>
        <v>600</v>
      </c>
      <c r="C47" s="10">
        <f>'додаток 1 2019'!C47+'додаток 1 2020'!C47+'додаток 1 2021  '!C45</f>
        <v>0</v>
      </c>
      <c r="D47" s="10">
        <f>'додаток 1 2019'!D47+'додаток 1 2020'!D47+'додаток 1 2021  '!D45</f>
        <v>600</v>
      </c>
      <c r="E47" s="10">
        <f>'додаток 1 2019'!E47+'додаток 1 2020'!E47+'додаток 1 2021  '!E45</f>
        <v>0</v>
      </c>
      <c r="F47" s="10">
        <f>'додаток 1 2019'!F47+'додаток 1 2020'!F47+'додаток 1 2021  '!F45</f>
        <v>0</v>
      </c>
      <c r="G47" s="10">
        <f>'додаток 1 2019'!G47+'додаток 1 2020'!G47+'додаток 1 2021  '!G45</f>
        <v>0</v>
      </c>
      <c r="H47" s="10">
        <f>'додаток 1 2019'!H47+'додаток 1 2020'!H47+'додаток 1 2021  '!H45</f>
        <v>0</v>
      </c>
      <c r="I47" s="10">
        <f t="shared" si="0"/>
        <v>600</v>
      </c>
      <c r="J47" s="10">
        <f>'додаток 1 2019'!J47+'додаток 1 2020'!J47+'додаток 1 2021  '!J45</f>
        <v>0</v>
      </c>
      <c r="K47" s="10">
        <f>'додаток 1 2019'!K47+'додаток 1 2020'!K47+'додаток 1 2021  '!K45</f>
        <v>600</v>
      </c>
      <c r="L47" s="10">
        <f>'додаток 1 2019'!L47+'додаток 1 2020'!L47+'додаток 1 2021  '!L45</f>
        <v>0</v>
      </c>
      <c r="M47" s="10">
        <f>'додаток 1 2019'!M47+'додаток 1 2020'!M47+'додаток 1 2021  '!M45</f>
        <v>0</v>
      </c>
      <c r="N47" s="10">
        <f>'додаток 1 2019'!N47+'додаток 1 2020'!N47+'додаток 1 2021  '!N45</f>
        <v>0</v>
      </c>
      <c r="O47" s="10">
        <f>'додаток 1 2019'!O47+'додаток 1 2020'!O47+'додаток 1 2021  '!O45</f>
        <v>0</v>
      </c>
      <c r="P47" s="6"/>
    </row>
    <row r="48" spans="1:16" ht="39.75" customHeight="1" hidden="1">
      <c r="A48" s="15" t="s">
        <v>57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58"/>
    </row>
    <row r="49" spans="1:16" ht="40.5" customHeight="1" hidden="1">
      <c r="A49" s="6" t="s">
        <v>65</v>
      </c>
      <c r="B49" s="10">
        <f t="shared" si="1"/>
        <v>0</v>
      </c>
      <c r="C49" s="10">
        <v>0</v>
      </c>
      <c r="D49" s="10"/>
      <c r="E49" s="10"/>
      <c r="F49" s="10"/>
      <c r="G49" s="10"/>
      <c r="H49" s="10"/>
      <c r="I49" s="10">
        <f t="shared" si="0"/>
        <v>0</v>
      </c>
      <c r="J49" s="10"/>
      <c r="K49" s="10"/>
      <c r="L49" s="10"/>
      <c r="M49" s="10"/>
      <c r="N49" s="10"/>
      <c r="O49" s="10"/>
      <c r="P49" s="6"/>
    </row>
    <row r="50" spans="1:16" ht="49.5" customHeight="1" hidden="1">
      <c r="A50" s="18" t="s">
        <v>58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58"/>
    </row>
    <row r="51" spans="1:16" ht="66" customHeight="1" hidden="1">
      <c r="A51" s="57" t="s">
        <v>59</v>
      </c>
      <c r="B51" s="10">
        <f t="shared" si="1"/>
        <v>0</v>
      </c>
      <c r="C51" s="10">
        <v>0</v>
      </c>
      <c r="D51" s="10"/>
      <c r="E51" s="10"/>
      <c r="F51" s="10"/>
      <c r="G51" s="10"/>
      <c r="H51" s="10"/>
      <c r="I51" s="10">
        <f t="shared" si="0"/>
        <v>0</v>
      </c>
      <c r="J51" s="10"/>
      <c r="K51" s="10"/>
      <c r="L51" s="10"/>
      <c r="M51" s="10"/>
      <c r="N51" s="10"/>
      <c r="O51" s="10"/>
      <c r="P51" s="6"/>
    </row>
    <row r="52" spans="1:16" ht="24.75" customHeight="1" hidden="1">
      <c r="A52" s="20" t="s">
        <v>60</v>
      </c>
      <c r="B52" s="11">
        <f>C52+D52+E52+F52+G52+H52</f>
        <v>0</v>
      </c>
      <c r="C52" s="11"/>
      <c r="D52" s="11"/>
      <c r="E52" s="11"/>
      <c r="F52" s="11"/>
      <c r="G52" s="11"/>
      <c r="H52" s="11"/>
      <c r="I52" s="11">
        <f>J52+K52+L52+M52+N52+O52</f>
        <v>0</v>
      </c>
      <c r="J52" s="11"/>
      <c r="K52" s="11"/>
      <c r="L52" s="11"/>
      <c r="M52" s="11"/>
      <c r="N52" s="11"/>
      <c r="O52" s="11"/>
      <c r="P52" s="58"/>
    </row>
    <row r="53" spans="1:16" ht="55.5" customHeight="1" hidden="1">
      <c r="A53" s="6" t="s">
        <v>61</v>
      </c>
      <c r="B53" s="10">
        <f>C53+D53+E53+F53+G53+H53</f>
        <v>0</v>
      </c>
      <c r="C53" s="10"/>
      <c r="D53" s="10"/>
      <c r="E53" s="10"/>
      <c r="F53" s="10"/>
      <c r="G53" s="10"/>
      <c r="H53" s="10"/>
      <c r="I53" s="10">
        <f>J53+K53+L53+M53+N53+O53</f>
        <v>0</v>
      </c>
      <c r="J53" s="10"/>
      <c r="K53" s="10"/>
      <c r="L53" s="10"/>
      <c r="M53" s="10"/>
      <c r="N53" s="10"/>
      <c r="O53" s="10"/>
      <c r="P53" s="6"/>
    </row>
    <row r="54" spans="1:16" ht="31.5" customHeight="1" hidden="1">
      <c r="A54" s="6" t="s">
        <v>62</v>
      </c>
      <c r="B54" s="10">
        <f>C54+D54+E54+F54+G54+H54</f>
        <v>0</v>
      </c>
      <c r="C54" s="10"/>
      <c r="D54" s="10"/>
      <c r="E54" s="10"/>
      <c r="F54" s="10"/>
      <c r="G54" s="10"/>
      <c r="H54" s="10"/>
      <c r="I54" s="10">
        <f>J54+K54+L54+M54+N54+O54</f>
        <v>0</v>
      </c>
      <c r="J54" s="10"/>
      <c r="K54" s="10"/>
      <c r="L54" s="10"/>
      <c r="M54" s="10"/>
      <c r="N54" s="10"/>
      <c r="O54" s="10"/>
      <c r="P54" s="6"/>
    </row>
    <row r="55" spans="1:16" ht="45" customHeight="1" hidden="1">
      <c r="A55" s="6" t="s">
        <v>63</v>
      </c>
      <c r="B55" s="10">
        <f t="shared" si="1"/>
        <v>0</v>
      </c>
      <c r="C55" s="10"/>
      <c r="D55" s="10"/>
      <c r="E55" s="10"/>
      <c r="F55" s="10"/>
      <c r="G55" s="10"/>
      <c r="H55" s="10"/>
      <c r="I55" s="10">
        <f>J55+K55+L55+M55+N55+O55</f>
        <v>0</v>
      </c>
      <c r="J55" s="10"/>
      <c r="K55" s="10"/>
      <c r="L55" s="10"/>
      <c r="M55" s="10"/>
      <c r="N55" s="10"/>
      <c r="O55" s="10"/>
      <c r="P55" s="55"/>
    </row>
    <row r="56" spans="1:16" ht="59.25" customHeight="1" hidden="1">
      <c r="A56" s="6" t="s">
        <v>64</v>
      </c>
      <c r="B56" s="10">
        <f t="shared" si="1"/>
        <v>0</v>
      </c>
      <c r="C56" s="10"/>
      <c r="D56" s="10"/>
      <c r="E56" s="10"/>
      <c r="F56" s="10"/>
      <c r="G56" s="10"/>
      <c r="H56" s="10"/>
      <c r="I56" s="10">
        <f>J56+K56+L56+M56+N56+O56</f>
        <v>0</v>
      </c>
      <c r="J56" s="10"/>
      <c r="K56" s="10"/>
      <c r="L56" s="10"/>
      <c r="M56" s="10"/>
      <c r="N56" s="10"/>
      <c r="O56" s="10"/>
      <c r="P56" s="6"/>
    </row>
    <row r="57" spans="1:18" ht="15">
      <c r="A57" s="25" t="s">
        <v>12</v>
      </c>
      <c r="B57" s="27">
        <f t="shared" si="1"/>
        <v>826350.2000000001</v>
      </c>
      <c r="C57" s="27">
        <f aca="true" t="shared" si="2" ref="C57:O57">SUM(C40:C56)</f>
        <v>770557.8</v>
      </c>
      <c r="D57" s="27">
        <f t="shared" si="2"/>
        <v>54379.799999999996</v>
      </c>
      <c r="E57" s="27">
        <f t="shared" si="2"/>
        <v>391</v>
      </c>
      <c r="F57" s="27">
        <f t="shared" si="2"/>
        <v>234</v>
      </c>
      <c r="G57" s="27">
        <f t="shared" si="2"/>
        <v>689</v>
      </c>
      <c r="H57" s="27">
        <f t="shared" si="2"/>
        <v>98.60000000000001</v>
      </c>
      <c r="I57" s="27">
        <f t="shared" si="2"/>
        <v>793802.1</v>
      </c>
      <c r="J57" s="27">
        <f t="shared" si="2"/>
        <v>748510.5</v>
      </c>
      <c r="K57" s="27">
        <f t="shared" si="2"/>
        <v>44509.1</v>
      </c>
      <c r="L57" s="27">
        <f t="shared" si="2"/>
        <v>45.7</v>
      </c>
      <c r="M57" s="27">
        <f t="shared" si="2"/>
        <v>136</v>
      </c>
      <c r="N57" s="27">
        <f t="shared" si="2"/>
        <v>502.70000000000005</v>
      </c>
      <c r="O57" s="27">
        <f t="shared" si="2"/>
        <v>98.1</v>
      </c>
      <c r="P57" s="36">
        <f>I57/B57*100</f>
        <v>96.06122198554559</v>
      </c>
      <c r="Q57" s="86">
        <f>C57+E57+G57</f>
        <v>771637.8</v>
      </c>
      <c r="R57" s="86">
        <f>D57+F57+H57</f>
        <v>54712.399999999994</v>
      </c>
    </row>
    <row r="58" spans="1:16" ht="15.75">
      <c r="A58" s="128" t="s">
        <v>66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</row>
    <row r="59" spans="1:16" ht="21" customHeight="1">
      <c r="A59" s="15" t="s">
        <v>67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30.75" customHeight="1">
      <c r="A60" s="73" t="s">
        <v>68</v>
      </c>
      <c r="B60" s="39">
        <f aca="true" t="shared" si="3" ref="B60:B73">C60+D60+E60+F60+G60+H60</f>
        <v>1497881.9</v>
      </c>
      <c r="C60" s="10">
        <f>'додаток 1 2019'!C60+'додаток 1 2020'!C60+'додаток 1 2021  '!C58</f>
        <v>367982</v>
      </c>
      <c r="D60" s="10">
        <f>'додаток 1 2019'!D60+'додаток 1 2020'!D60+'додаток 1 2021  '!D58</f>
        <v>6712</v>
      </c>
      <c r="E60" s="10">
        <f>'додаток 1 2019'!E60+'додаток 1 2020'!E60+'додаток 1 2021  '!E58</f>
        <v>1500</v>
      </c>
      <c r="F60" s="10">
        <f>'додаток 1 2019'!F60+'додаток 1 2020'!F60+'додаток 1 2021  '!F58</f>
        <v>0</v>
      </c>
      <c r="G60" s="10">
        <f>'додаток 1 2019'!G60+'додаток 1 2020'!G60+'додаток 1 2021  '!G58</f>
        <v>1121687.9</v>
      </c>
      <c r="H60" s="10">
        <f>'додаток 1 2019'!H60+'додаток 1 2020'!H60+'додаток 1 2021  '!H58</f>
        <v>0</v>
      </c>
      <c r="I60" s="10">
        <f aca="true" t="shared" si="4" ref="I60:I73">J60+K60+L60+M60+N60+O60</f>
        <v>1475440.4000000001</v>
      </c>
      <c r="J60" s="10">
        <f>'додаток 1 2019'!J60+'додаток 1 2020'!J60+'додаток 1 2021  '!J58</f>
        <v>348777.1</v>
      </c>
      <c r="K60" s="10">
        <f>'додаток 1 2019'!K60+'додаток 1 2020'!K60+'додаток 1 2021  '!K58</f>
        <v>5623.6</v>
      </c>
      <c r="L60" s="10">
        <f>'додаток 1 2019'!L60+'додаток 1 2020'!L60+'додаток 1 2021  '!L58</f>
        <v>1500</v>
      </c>
      <c r="M60" s="10">
        <f>'додаток 1 2019'!M60+'додаток 1 2020'!M60+'додаток 1 2021  '!M58</f>
        <v>0</v>
      </c>
      <c r="N60" s="10">
        <f>'додаток 1 2019'!N60+'додаток 1 2020'!N60+'додаток 1 2021  '!N58</f>
        <v>1119539.7000000002</v>
      </c>
      <c r="O60" s="10">
        <f>'додаток 1 2019'!O60+'додаток 1 2020'!O60+'додаток 1 2021  '!O58</f>
        <v>0</v>
      </c>
      <c r="P60" s="6"/>
    </row>
    <row r="61" spans="1:16" ht="41.25" customHeight="1">
      <c r="A61" s="73" t="s">
        <v>69</v>
      </c>
      <c r="B61" s="39">
        <f>C61+D61+E61+F61+G61+H61</f>
        <v>4947.6</v>
      </c>
      <c r="C61" s="10">
        <f>'додаток 1 2019'!C61+'додаток 1 2020'!C61+'додаток 1 2021  '!C59</f>
        <v>0</v>
      </c>
      <c r="D61" s="10">
        <f>'додаток 1 2019'!D61+'додаток 1 2020'!D61+'додаток 1 2021  '!D59</f>
        <v>0</v>
      </c>
      <c r="E61" s="10">
        <f>'додаток 1 2019'!E61+'додаток 1 2020'!E61+'додаток 1 2021  '!E59</f>
        <v>0</v>
      </c>
      <c r="F61" s="10">
        <f>'додаток 1 2019'!F61+'додаток 1 2020'!F61+'додаток 1 2021  '!F59</f>
        <v>0</v>
      </c>
      <c r="G61" s="10">
        <f>'додаток 1 2019'!G61+'додаток 1 2020'!G61+'додаток 1 2021  '!G59</f>
        <v>4947.6</v>
      </c>
      <c r="H61" s="10">
        <f>'додаток 1 2019'!H61+'додаток 1 2020'!H61+'додаток 1 2021  '!H59</f>
        <v>0</v>
      </c>
      <c r="I61" s="10">
        <f>J61+K61+L61+M61+N61+O61</f>
        <v>4325.099999999999</v>
      </c>
      <c r="J61" s="10">
        <f>'додаток 1 2019'!J61+'додаток 1 2020'!J61+'додаток 1 2021  '!J59</f>
        <v>0</v>
      </c>
      <c r="K61" s="10">
        <f>'додаток 1 2019'!K61+'додаток 1 2020'!K61+'додаток 1 2021  '!K59</f>
        <v>0</v>
      </c>
      <c r="L61" s="10">
        <f>'додаток 1 2019'!L61+'додаток 1 2020'!L61+'додаток 1 2021  '!L59</f>
        <v>0</v>
      </c>
      <c r="M61" s="10">
        <f>'додаток 1 2019'!M61+'додаток 1 2020'!M61+'додаток 1 2021  '!M59</f>
        <v>0</v>
      </c>
      <c r="N61" s="10">
        <f>'додаток 1 2019'!N61+'додаток 1 2020'!N61+'додаток 1 2021  '!N59</f>
        <v>4253.299999999999</v>
      </c>
      <c r="O61" s="10">
        <f>'додаток 1 2019'!O61+'додаток 1 2020'!O61+'додаток 1 2021  '!O59</f>
        <v>71.8</v>
      </c>
      <c r="P61" s="6"/>
    </row>
    <row r="62" spans="1:16" ht="44.25" customHeight="1">
      <c r="A62" s="73" t="s">
        <v>70</v>
      </c>
      <c r="B62" s="39">
        <f>C62+D62+E62+F62+G62+H62</f>
        <v>94451.9</v>
      </c>
      <c r="C62" s="10">
        <f>'додаток 1 2019'!C62+'додаток 1 2020'!C62+'додаток 1 2021  '!C60</f>
        <v>47891</v>
      </c>
      <c r="D62" s="10">
        <f>'додаток 1 2019'!D62+'додаток 1 2020'!D62+'додаток 1 2021  '!D60</f>
        <v>46560.899999999994</v>
      </c>
      <c r="E62" s="10">
        <f>'додаток 1 2019'!E62+'додаток 1 2020'!E62+'додаток 1 2021  '!E60</f>
        <v>0</v>
      </c>
      <c r="F62" s="10">
        <f>'додаток 1 2019'!F62+'додаток 1 2020'!F62+'додаток 1 2021  '!F60</f>
        <v>0</v>
      </c>
      <c r="G62" s="10">
        <f>'додаток 1 2019'!G62+'додаток 1 2020'!G62+'додаток 1 2021  '!G60</f>
        <v>0</v>
      </c>
      <c r="H62" s="10">
        <f>'додаток 1 2019'!H62+'додаток 1 2020'!H62+'додаток 1 2021  '!H60</f>
        <v>0</v>
      </c>
      <c r="I62" s="10">
        <f>J62+K62+L62+M62+N62+O62</f>
        <v>78822.9</v>
      </c>
      <c r="J62" s="10">
        <f>'додаток 1 2019'!J62+'додаток 1 2020'!J62+'додаток 1 2021  '!J60</f>
        <v>42027.399999999994</v>
      </c>
      <c r="K62" s="10">
        <f>'додаток 1 2019'!K62+'додаток 1 2020'!K62+'додаток 1 2021  '!K60</f>
        <v>36795.5</v>
      </c>
      <c r="L62" s="10">
        <f>'додаток 1 2019'!L62+'додаток 1 2020'!L62+'додаток 1 2021  '!L60</f>
        <v>0</v>
      </c>
      <c r="M62" s="10">
        <f>'додаток 1 2019'!M62+'додаток 1 2020'!M62+'додаток 1 2021  '!M60</f>
        <v>0</v>
      </c>
      <c r="N62" s="10">
        <f>'додаток 1 2019'!N62+'додаток 1 2020'!N62+'додаток 1 2021  '!N60</f>
        <v>0</v>
      </c>
      <c r="O62" s="10">
        <f>'додаток 1 2019'!O62+'додаток 1 2020'!O62+'додаток 1 2021  '!O60</f>
        <v>0</v>
      </c>
      <c r="P62" s="6"/>
    </row>
    <row r="63" spans="1:16" ht="27.75" customHeight="1">
      <c r="A63" s="48" t="s">
        <v>71</v>
      </c>
      <c r="B63" s="39">
        <f>C63+D63+E63+F63+G63+H63</f>
        <v>210777.69999999998</v>
      </c>
      <c r="C63" s="10">
        <f>'додаток 1 2019'!C63+'додаток 1 2020'!C63+'додаток 1 2021  '!C61</f>
        <v>186239.3</v>
      </c>
      <c r="D63" s="10">
        <f>'додаток 1 2019'!D63+'додаток 1 2020'!D63+'додаток 1 2021  '!D61</f>
        <v>2796.2</v>
      </c>
      <c r="E63" s="10">
        <f>'додаток 1 2019'!E63+'додаток 1 2020'!E63+'додаток 1 2021  '!E61</f>
        <v>394.29999999999995</v>
      </c>
      <c r="F63" s="10">
        <f>'додаток 1 2019'!F63+'додаток 1 2020'!F63+'додаток 1 2021  '!F61</f>
        <v>0</v>
      </c>
      <c r="G63" s="10">
        <f>'додаток 1 2019'!G63+'додаток 1 2020'!G63+'додаток 1 2021  '!G61</f>
        <v>21347.9</v>
      </c>
      <c r="H63" s="10">
        <f>'додаток 1 2019'!H63+'додаток 1 2020'!H63+'додаток 1 2021  '!H61</f>
        <v>0</v>
      </c>
      <c r="I63" s="10">
        <f>J63+K63+L63+M63+N63+O63</f>
        <v>189659.59999999998</v>
      </c>
      <c r="J63" s="10">
        <f>'додаток 1 2019'!J63+'додаток 1 2020'!J63+'додаток 1 2021  '!J61</f>
        <v>165004.8</v>
      </c>
      <c r="K63" s="10">
        <f>'додаток 1 2019'!K63+'додаток 1 2020'!K63+'додаток 1 2021  '!K61</f>
        <v>5078.3</v>
      </c>
      <c r="L63" s="10">
        <f>'додаток 1 2019'!L63+'додаток 1 2020'!L63+'додаток 1 2021  '!L61</f>
        <v>147.1</v>
      </c>
      <c r="M63" s="10">
        <f>'додаток 1 2019'!M63+'додаток 1 2020'!M63+'додаток 1 2021  '!M61</f>
        <v>0</v>
      </c>
      <c r="N63" s="10">
        <f>'додаток 1 2019'!N63+'додаток 1 2020'!N63+'додаток 1 2021  '!N61</f>
        <v>19429.399999999998</v>
      </c>
      <c r="O63" s="10">
        <f>'додаток 1 2019'!O63+'додаток 1 2020'!O63+'додаток 1 2021  '!O61</f>
        <v>0</v>
      </c>
      <c r="P63" s="6"/>
    </row>
    <row r="64" spans="1:16" ht="20.25" customHeight="1">
      <c r="A64" s="74" t="s">
        <v>72</v>
      </c>
      <c r="B64" s="39">
        <f>C64+D64+E64+F64+G64+H64</f>
        <v>2653.8</v>
      </c>
      <c r="C64" s="10">
        <f>'додаток 1 2019'!C64+'додаток 1 2020'!C64+'додаток 1 2021  '!C62</f>
        <v>2653.8</v>
      </c>
      <c r="D64" s="10">
        <f>'додаток 1 2019'!D64+'додаток 1 2020'!D64+'додаток 1 2021  '!D62</f>
        <v>0</v>
      </c>
      <c r="E64" s="10">
        <f>'додаток 1 2019'!E64+'додаток 1 2020'!E64+'додаток 1 2021  '!E62</f>
        <v>0</v>
      </c>
      <c r="F64" s="10">
        <f>'додаток 1 2019'!F64+'додаток 1 2020'!F64+'додаток 1 2021  '!F62</f>
        <v>0</v>
      </c>
      <c r="G64" s="10">
        <f>'додаток 1 2019'!G64+'додаток 1 2020'!G64+'додаток 1 2021  '!G62</f>
        <v>0</v>
      </c>
      <c r="H64" s="10">
        <f>'додаток 1 2019'!H64+'додаток 1 2020'!H64+'додаток 1 2021  '!H62</f>
        <v>0</v>
      </c>
      <c r="I64" s="10">
        <f>J64+K64+L64+M64+N64+O64</f>
        <v>2653.8</v>
      </c>
      <c r="J64" s="10">
        <f>'додаток 1 2019'!J64+'додаток 1 2020'!J64+'додаток 1 2021  '!J62</f>
        <v>2653.8</v>
      </c>
      <c r="K64" s="10">
        <f>'додаток 1 2019'!K64+'додаток 1 2020'!K64+'додаток 1 2021  '!K62</f>
        <v>0</v>
      </c>
      <c r="L64" s="10">
        <f>'додаток 1 2019'!L64+'додаток 1 2020'!L64+'додаток 1 2021  '!L62</f>
        <v>0</v>
      </c>
      <c r="M64" s="10">
        <f>'додаток 1 2019'!M64+'додаток 1 2020'!M64+'додаток 1 2021  '!M62</f>
        <v>0</v>
      </c>
      <c r="N64" s="10">
        <f>'додаток 1 2019'!N64+'додаток 1 2020'!N64+'додаток 1 2021  '!N62</f>
        <v>0</v>
      </c>
      <c r="O64" s="10">
        <f>'додаток 1 2019'!O64+'додаток 1 2020'!O64+'додаток 1 2021  '!O62</f>
        <v>0</v>
      </c>
      <c r="P64" s="6"/>
    </row>
    <row r="65" spans="1:16" ht="30.75" customHeight="1">
      <c r="A65" s="73" t="s">
        <v>73</v>
      </c>
      <c r="B65" s="39">
        <f>C65+D65+E65+F65+G65+H65</f>
        <v>19975.1</v>
      </c>
      <c r="C65" s="10">
        <f>'додаток 1 2019'!C65+'додаток 1 2020'!C65+'додаток 1 2021  '!C63</f>
        <v>0</v>
      </c>
      <c r="D65" s="10">
        <f>'додаток 1 2019'!D65+'додаток 1 2020'!D65+'додаток 1 2021  '!D63</f>
        <v>13406</v>
      </c>
      <c r="E65" s="10">
        <f>'додаток 1 2019'!E65+'додаток 1 2020'!E65+'додаток 1 2021  '!E63</f>
        <v>0</v>
      </c>
      <c r="F65" s="10">
        <f>'додаток 1 2019'!F65+'додаток 1 2020'!F65+'додаток 1 2021  '!F63</f>
        <v>188</v>
      </c>
      <c r="G65" s="10">
        <f>'додаток 1 2019'!G65+'додаток 1 2020'!G65+'додаток 1 2021  '!G63</f>
        <v>0</v>
      </c>
      <c r="H65" s="10">
        <f>'додаток 1 2019'!H65+'додаток 1 2020'!H65+'додаток 1 2021  '!H63</f>
        <v>6381.1</v>
      </c>
      <c r="I65" s="10">
        <f>J65+K65+L65+M65+N65+O65</f>
        <v>20139.199999999997</v>
      </c>
      <c r="J65" s="10">
        <f>'додаток 1 2019'!J65+'додаток 1 2020'!J65+'додаток 1 2021  '!J63</f>
        <v>0</v>
      </c>
      <c r="K65" s="10">
        <f>'додаток 1 2019'!K65+'додаток 1 2020'!K65+'додаток 1 2021  '!K63</f>
        <v>13860.8</v>
      </c>
      <c r="L65" s="10">
        <f>'додаток 1 2019'!L65+'додаток 1 2020'!L65+'додаток 1 2021  '!L63</f>
        <v>0</v>
      </c>
      <c r="M65" s="10">
        <f>'додаток 1 2019'!M65+'додаток 1 2020'!M65+'додаток 1 2021  '!M63</f>
        <v>113</v>
      </c>
      <c r="N65" s="10">
        <f>'додаток 1 2019'!N65+'додаток 1 2020'!N65+'додаток 1 2021  '!N63</f>
        <v>0</v>
      </c>
      <c r="O65" s="10">
        <f>'додаток 1 2019'!O65+'додаток 1 2020'!O65+'додаток 1 2021  '!O63</f>
        <v>6165.4</v>
      </c>
      <c r="P65" s="6"/>
    </row>
    <row r="66" spans="1:16" ht="21.75" customHeight="1">
      <c r="A66" s="75" t="s">
        <v>74</v>
      </c>
      <c r="B66" s="39">
        <f t="shared" si="3"/>
        <v>12980.099999999999</v>
      </c>
      <c r="C66" s="10">
        <f>'додаток 1 2019'!C66+'додаток 1 2020'!C66+'додаток 1 2021  '!C64</f>
        <v>0</v>
      </c>
      <c r="D66" s="10">
        <f>'додаток 1 2019'!D66+'додаток 1 2020'!D66+'додаток 1 2021  '!D64</f>
        <v>9677.8</v>
      </c>
      <c r="E66" s="10">
        <f>'додаток 1 2019'!E66+'додаток 1 2020'!E66+'додаток 1 2021  '!E64</f>
        <v>0</v>
      </c>
      <c r="F66" s="10">
        <f>'додаток 1 2019'!F66+'додаток 1 2020'!F66+'додаток 1 2021  '!F64</f>
        <v>0</v>
      </c>
      <c r="G66" s="10">
        <f>'додаток 1 2019'!G66+'додаток 1 2020'!G66+'додаток 1 2021  '!G64</f>
        <v>0</v>
      </c>
      <c r="H66" s="10">
        <f>'додаток 1 2019'!H66+'додаток 1 2020'!H66+'додаток 1 2021  '!H64</f>
        <v>3302.3</v>
      </c>
      <c r="I66" s="10">
        <f t="shared" si="4"/>
        <v>11001.8</v>
      </c>
      <c r="J66" s="10">
        <f>'додаток 1 2019'!J66+'додаток 1 2020'!J66+'додаток 1 2021  '!J64</f>
        <v>0</v>
      </c>
      <c r="K66" s="10">
        <f>'додаток 1 2019'!K66+'додаток 1 2020'!K66+'додаток 1 2021  '!K64</f>
        <v>7699.5</v>
      </c>
      <c r="L66" s="10">
        <f>'додаток 1 2019'!L66+'додаток 1 2020'!L66+'додаток 1 2021  '!L64</f>
        <v>0</v>
      </c>
      <c r="M66" s="10">
        <f>'додаток 1 2019'!M66+'додаток 1 2020'!M66+'додаток 1 2021  '!M64</f>
        <v>0</v>
      </c>
      <c r="N66" s="10">
        <f>'додаток 1 2019'!N66+'додаток 1 2020'!N66+'додаток 1 2021  '!N64</f>
        <v>0</v>
      </c>
      <c r="O66" s="10">
        <f>'додаток 1 2019'!O66+'додаток 1 2020'!O66+'додаток 1 2021  '!O64</f>
        <v>3302.3</v>
      </c>
      <c r="P66" s="6"/>
    </row>
    <row r="67" spans="1:16" ht="30.75" customHeight="1">
      <c r="A67" s="48" t="s">
        <v>75</v>
      </c>
      <c r="B67" s="39">
        <f t="shared" si="3"/>
        <v>1362.2</v>
      </c>
      <c r="C67" s="10">
        <f>'додаток 1 2019'!C67+'додаток 1 2020'!C67+'додаток 1 2021  '!C65</f>
        <v>0</v>
      </c>
      <c r="D67" s="10">
        <f>'додаток 1 2019'!D67+'додаток 1 2020'!D67+'додаток 1 2021  '!D65</f>
        <v>985</v>
      </c>
      <c r="E67" s="10">
        <f>'додаток 1 2019'!E67+'додаток 1 2020'!E67+'додаток 1 2021  '!E65</f>
        <v>0</v>
      </c>
      <c r="F67" s="10">
        <f>'додаток 1 2019'!F67+'додаток 1 2020'!F67+'додаток 1 2021  '!F65</f>
        <v>0</v>
      </c>
      <c r="G67" s="10">
        <f>'додаток 1 2019'!G67+'додаток 1 2020'!G67+'додаток 1 2021  '!G65</f>
        <v>0</v>
      </c>
      <c r="H67" s="10">
        <f>'додаток 1 2019'!H67+'додаток 1 2020'!H67+'додаток 1 2021  '!H65</f>
        <v>377.2</v>
      </c>
      <c r="I67" s="10">
        <f t="shared" si="4"/>
        <v>1360.2999999999997</v>
      </c>
      <c r="J67" s="10">
        <f>'додаток 1 2019'!J67+'додаток 1 2020'!J67+'додаток 1 2021  '!J65</f>
        <v>0</v>
      </c>
      <c r="K67" s="10">
        <f>'додаток 1 2019'!K67+'додаток 1 2020'!K67+'додаток 1 2021  '!K65</f>
        <v>985</v>
      </c>
      <c r="L67" s="10">
        <f>'додаток 1 2019'!L67+'додаток 1 2020'!L67+'додаток 1 2021  '!L65</f>
        <v>0</v>
      </c>
      <c r="M67" s="10">
        <f>'додаток 1 2019'!M67+'додаток 1 2020'!M67+'додаток 1 2021  '!M65</f>
        <v>0</v>
      </c>
      <c r="N67" s="10">
        <f>'додаток 1 2019'!N67+'додаток 1 2020'!N67+'додаток 1 2021  '!N65</f>
        <v>0</v>
      </c>
      <c r="O67" s="10">
        <f>'додаток 1 2019'!O67+'додаток 1 2020'!O67+'додаток 1 2021  '!O65</f>
        <v>375.2999999999997</v>
      </c>
      <c r="P67" s="6"/>
    </row>
    <row r="68" spans="1:16" ht="42" customHeight="1" hidden="1">
      <c r="A68" s="15" t="s">
        <v>57</v>
      </c>
      <c r="B68" s="12"/>
      <c r="C68" s="12"/>
      <c r="D68" s="17"/>
      <c r="E68" s="17"/>
      <c r="F68" s="17"/>
      <c r="G68" s="17"/>
      <c r="H68" s="17"/>
      <c r="I68" s="12"/>
      <c r="J68" s="17"/>
      <c r="K68" s="17"/>
      <c r="L68" s="17"/>
      <c r="M68" s="17"/>
      <c r="N68" s="17"/>
      <c r="O68" s="17"/>
      <c r="P68" s="17"/>
    </row>
    <row r="69" spans="1:16" ht="42.75" customHeight="1" hidden="1">
      <c r="A69" s="6" t="s">
        <v>76</v>
      </c>
      <c r="B69" s="10">
        <f t="shared" si="3"/>
        <v>0</v>
      </c>
      <c r="C69" s="10">
        <v>0</v>
      </c>
      <c r="D69" s="8"/>
      <c r="E69" s="8"/>
      <c r="F69" s="8"/>
      <c r="G69" s="8"/>
      <c r="H69" s="8"/>
      <c r="I69" s="10">
        <f t="shared" si="4"/>
        <v>0</v>
      </c>
      <c r="J69" s="8"/>
      <c r="K69" s="8"/>
      <c r="L69" s="8"/>
      <c r="M69" s="8"/>
      <c r="N69" s="8"/>
      <c r="O69" s="8"/>
      <c r="P69" s="60"/>
    </row>
    <row r="70" spans="1:16" ht="51" customHeight="1" hidden="1">
      <c r="A70" s="15" t="s">
        <v>77</v>
      </c>
      <c r="B70" s="11">
        <f t="shared" si="3"/>
        <v>0</v>
      </c>
      <c r="C70" s="12"/>
      <c r="D70" s="17"/>
      <c r="E70" s="17"/>
      <c r="F70" s="17"/>
      <c r="G70" s="17"/>
      <c r="H70" s="17"/>
      <c r="I70" s="11">
        <f t="shared" si="4"/>
        <v>0</v>
      </c>
      <c r="J70" s="17"/>
      <c r="K70" s="17"/>
      <c r="L70" s="17"/>
      <c r="M70" s="17"/>
      <c r="N70" s="17"/>
      <c r="O70" s="17"/>
      <c r="P70" s="62"/>
    </row>
    <row r="71" spans="1:16" ht="68.25" customHeight="1" hidden="1">
      <c r="A71" s="6" t="s">
        <v>79</v>
      </c>
      <c r="B71" s="10">
        <f t="shared" si="3"/>
        <v>0</v>
      </c>
      <c r="C71" s="10">
        <v>0</v>
      </c>
      <c r="D71" s="8"/>
      <c r="E71" s="8"/>
      <c r="F71" s="8"/>
      <c r="G71" s="8"/>
      <c r="H71" s="8"/>
      <c r="I71" s="10">
        <f t="shared" si="4"/>
        <v>0</v>
      </c>
      <c r="J71" s="8"/>
      <c r="K71" s="8"/>
      <c r="L71" s="8"/>
      <c r="M71" s="8"/>
      <c r="N71" s="8"/>
      <c r="O71" s="8"/>
      <c r="P71" s="60"/>
    </row>
    <row r="72" spans="1:16" ht="50.25" customHeight="1" hidden="1">
      <c r="A72" s="61" t="s">
        <v>80</v>
      </c>
      <c r="B72" s="11"/>
      <c r="C72" s="12"/>
      <c r="D72" s="17"/>
      <c r="E72" s="17"/>
      <c r="F72" s="17"/>
      <c r="G72" s="17"/>
      <c r="H72" s="17"/>
      <c r="I72" s="11"/>
      <c r="J72" s="17"/>
      <c r="K72" s="17"/>
      <c r="L72" s="17"/>
      <c r="M72" s="17"/>
      <c r="N72" s="17"/>
      <c r="O72" s="17"/>
      <c r="P72" s="58"/>
    </row>
    <row r="73" spans="1:16" ht="28.5" hidden="1">
      <c r="A73" s="63" t="s">
        <v>78</v>
      </c>
      <c r="B73" s="10">
        <f t="shared" si="3"/>
        <v>0</v>
      </c>
      <c r="C73" s="10">
        <v>0</v>
      </c>
      <c r="D73" s="10"/>
      <c r="E73" s="10"/>
      <c r="F73" s="10"/>
      <c r="G73" s="10"/>
      <c r="H73" s="10"/>
      <c r="I73" s="10">
        <f t="shared" si="4"/>
        <v>0</v>
      </c>
      <c r="J73" s="10"/>
      <c r="K73" s="10"/>
      <c r="L73" s="10"/>
      <c r="M73" s="10"/>
      <c r="N73" s="10"/>
      <c r="O73" s="10"/>
      <c r="P73" s="60"/>
    </row>
    <row r="74" spans="1:16" ht="38.25" hidden="1">
      <c r="A74" s="65" t="s">
        <v>81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64"/>
    </row>
    <row r="75" spans="1:16" ht="38.25" hidden="1">
      <c r="A75" s="7" t="s">
        <v>82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60"/>
    </row>
    <row r="76" spans="1:16" ht="26.25" hidden="1">
      <c r="A76" s="6" t="s">
        <v>83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60"/>
    </row>
    <row r="77" spans="1:16" ht="31.5" customHeight="1" hidden="1">
      <c r="A77" s="6" t="s">
        <v>84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60"/>
    </row>
    <row r="78" spans="1:16" ht="26.25" hidden="1">
      <c r="A78" s="6" t="s">
        <v>85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60"/>
    </row>
    <row r="79" spans="1:18" ht="20.25" customHeight="1">
      <c r="A79" s="25" t="s">
        <v>13</v>
      </c>
      <c r="B79" s="27">
        <f>C79+D79+E79+F79+G79+H79</f>
        <v>1845030.3000000003</v>
      </c>
      <c r="C79" s="27">
        <f aca="true" t="shared" si="5" ref="C79:O79">SUM(C60:C73)</f>
        <v>604766.1000000001</v>
      </c>
      <c r="D79" s="26">
        <f t="shared" si="5"/>
        <v>80137.9</v>
      </c>
      <c r="E79" s="27">
        <f t="shared" si="5"/>
        <v>1894.3</v>
      </c>
      <c r="F79" s="27">
        <f t="shared" si="5"/>
        <v>188</v>
      </c>
      <c r="G79" s="27">
        <f t="shared" si="5"/>
        <v>1147983.4</v>
      </c>
      <c r="H79" s="26">
        <f t="shared" si="5"/>
        <v>10060.600000000002</v>
      </c>
      <c r="I79" s="27">
        <f t="shared" si="5"/>
        <v>1783403.1</v>
      </c>
      <c r="J79" s="27">
        <f t="shared" si="5"/>
        <v>558463.1000000001</v>
      </c>
      <c r="K79" s="26">
        <f t="shared" si="5"/>
        <v>70042.7</v>
      </c>
      <c r="L79" s="26">
        <f t="shared" si="5"/>
        <v>1647.1</v>
      </c>
      <c r="M79" s="27">
        <f t="shared" si="5"/>
        <v>113</v>
      </c>
      <c r="N79" s="26">
        <f t="shared" si="5"/>
        <v>1143222.4000000001</v>
      </c>
      <c r="O79" s="26">
        <f t="shared" si="5"/>
        <v>9914.8</v>
      </c>
      <c r="P79" s="36">
        <f>I79/B79*100</f>
        <v>96.65982721259373</v>
      </c>
      <c r="Q79" s="86">
        <f>C79+E79+G79</f>
        <v>1754643.8</v>
      </c>
      <c r="R79" s="86">
        <f>D79+F79+H79</f>
        <v>90386.5</v>
      </c>
    </row>
    <row r="80" spans="1:16" ht="15">
      <c r="A80" s="129" t="s">
        <v>86</v>
      </c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</row>
    <row r="81" spans="1:16" ht="25.5">
      <c r="A81" s="21" t="s">
        <v>14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ht="26.25">
      <c r="A82" s="9" t="s">
        <v>87</v>
      </c>
      <c r="B82" s="39">
        <f>C82+D82+E82+F82+G82+H82</f>
        <v>1039.7</v>
      </c>
      <c r="C82" s="10">
        <f>'додаток 1 2019'!C82+'додаток 1 2020'!C82+'додаток 1 2021  '!C80</f>
        <v>91.8</v>
      </c>
      <c r="D82" s="10">
        <f>'додаток 1 2019'!D82+'додаток 1 2020'!D82+'додаток 1 2021  '!D80</f>
        <v>0</v>
      </c>
      <c r="E82" s="10">
        <f>'додаток 1 2019'!E82+'додаток 1 2020'!E82+'додаток 1 2021  '!E80</f>
        <v>0</v>
      </c>
      <c r="F82" s="10">
        <f>'додаток 1 2019'!F82+'додаток 1 2020'!F82+'додаток 1 2021  '!F80</f>
        <v>0</v>
      </c>
      <c r="G82" s="10">
        <f>'додаток 1 2019'!G82+'додаток 1 2020'!G82+'додаток 1 2021  '!G80</f>
        <v>947.9</v>
      </c>
      <c r="H82" s="10">
        <f>'додаток 1 2019'!H82+'додаток 1 2020'!H82+'додаток 1 2021  '!H80</f>
        <v>0</v>
      </c>
      <c r="I82" s="39">
        <f>J82+K82+L82+M82+N82+O82</f>
        <v>1009.4</v>
      </c>
      <c r="J82" s="10">
        <f>'додаток 1 2019'!J82+'додаток 1 2020'!J82+'додаток 1 2021  '!J80</f>
        <v>63.9</v>
      </c>
      <c r="K82" s="10">
        <f>'додаток 1 2019'!K82+'додаток 1 2020'!K82+'додаток 1 2021  '!K80</f>
        <v>0</v>
      </c>
      <c r="L82" s="10">
        <f>'додаток 1 2019'!L82+'додаток 1 2020'!L82+'додаток 1 2021  '!L80</f>
        <v>0</v>
      </c>
      <c r="M82" s="10">
        <f>'додаток 1 2019'!M82+'додаток 1 2020'!M82+'додаток 1 2021  '!M80</f>
        <v>0</v>
      </c>
      <c r="N82" s="10">
        <f>'додаток 1 2019'!N82+'додаток 1 2020'!N82+'додаток 1 2021  '!N80</f>
        <v>945.5</v>
      </c>
      <c r="O82" s="10">
        <f>'додаток 1 2019'!O82+'додаток 1 2020'!O82+'додаток 1 2021  '!O80</f>
        <v>0</v>
      </c>
      <c r="P82" s="6"/>
    </row>
    <row r="83" spans="1:16" ht="30.75" customHeight="1">
      <c r="A83" s="9" t="s">
        <v>88</v>
      </c>
      <c r="B83" s="39">
        <f>C83+D83+E83+F83+G83+H83</f>
        <v>1.4</v>
      </c>
      <c r="C83" s="10">
        <f>'додаток 1 2019'!C83+'додаток 1 2020'!C83+'додаток 1 2021  '!C81</f>
        <v>1.4</v>
      </c>
      <c r="D83" s="10">
        <f>'додаток 1 2019'!D83+'додаток 1 2020'!D83+'додаток 1 2021  '!D81</f>
        <v>0</v>
      </c>
      <c r="E83" s="10">
        <f>'додаток 1 2019'!E83+'додаток 1 2020'!E83+'додаток 1 2021  '!E81</f>
        <v>0</v>
      </c>
      <c r="F83" s="10">
        <f>'додаток 1 2019'!F83+'додаток 1 2020'!F83+'додаток 1 2021  '!F81</f>
        <v>0</v>
      </c>
      <c r="G83" s="10">
        <f>'додаток 1 2019'!G83+'додаток 1 2020'!G83+'додаток 1 2021  '!G81</f>
        <v>0</v>
      </c>
      <c r="H83" s="10">
        <f>'додаток 1 2019'!H83+'додаток 1 2020'!H83+'додаток 1 2021  '!H81</f>
        <v>0</v>
      </c>
      <c r="I83" s="39">
        <f>J83+K83+L83+M83+N83+O83</f>
        <v>1.3</v>
      </c>
      <c r="J83" s="10">
        <f>'додаток 1 2019'!J83+'додаток 1 2020'!J83+'додаток 1 2021  '!J81</f>
        <v>1.3</v>
      </c>
      <c r="K83" s="10">
        <f>'додаток 1 2019'!K83+'додаток 1 2020'!K83+'додаток 1 2021  '!K81</f>
        <v>0</v>
      </c>
      <c r="L83" s="10">
        <f>'додаток 1 2019'!L83+'додаток 1 2020'!L83+'додаток 1 2021  '!L81</f>
        <v>0</v>
      </c>
      <c r="M83" s="10">
        <f>'додаток 1 2019'!M83+'додаток 1 2020'!M83+'додаток 1 2021  '!M81</f>
        <v>0</v>
      </c>
      <c r="N83" s="10">
        <f>'додаток 1 2019'!N83+'додаток 1 2020'!N83+'додаток 1 2021  '!N81</f>
        <v>0</v>
      </c>
      <c r="O83" s="10">
        <f>'додаток 1 2019'!O83+'додаток 1 2020'!O83+'додаток 1 2021  '!O81</f>
        <v>0</v>
      </c>
      <c r="P83" s="48"/>
    </row>
    <row r="84" spans="1:16" ht="15">
      <c r="A84" s="25" t="s">
        <v>15</v>
      </c>
      <c r="B84" s="27">
        <f>SUM(B82:B83)</f>
        <v>1041.1000000000001</v>
      </c>
      <c r="C84" s="27">
        <f aca="true" t="shared" si="6" ref="C84:O84">SUM(C82:C83)</f>
        <v>93.2</v>
      </c>
      <c r="D84" s="27">
        <f t="shared" si="6"/>
        <v>0</v>
      </c>
      <c r="E84" s="27">
        <f t="shared" si="6"/>
        <v>0</v>
      </c>
      <c r="F84" s="27">
        <f t="shared" si="6"/>
        <v>0</v>
      </c>
      <c r="G84" s="27">
        <f t="shared" si="6"/>
        <v>947.9</v>
      </c>
      <c r="H84" s="27">
        <f t="shared" si="6"/>
        <v>0</v>
      </c>
      <c r="I84" s="27">
        <f t="shared" si="6"/>
        <v>1010.6999999999999</v>
      </c>
      <c r="J84" s="27">
        <f t="shared" si="6"/>
        <v>65.2</v>
      </c>
      <c r="K84" s="27">
        <f t="shared" si="6"/>
        <v>0</v>
      </c>
      <c r="L84" s="27">
        <f t="shared" si="6"/>
        <v>0</v>
      </c>
      <c r="M84" s="27">
        <f t="shared" si="6"/>
        <v>0</v>
      </c>
      <c r="N84" s="27">
        <f t="shared" si="6"/>
        <v>945.5</v>
      </c>
      <c r="O84" s="27">
        <f t="shared" si="6"/>
        <v>0</v>
      </c>
      <c r="P84" s="25"/>
    </row>
    <row r="85" spans="1:16" ht="15.75">
      <c r="A85" s="128" t="s">
        <v>89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</row>
    <row r="86" spans="1:16" ht="26.25">
      <c r="A86" s="67" t="s">
        <v>95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</row>
    <row r="87" spans="1:16" ht="27.75" customHeight="1">
      <c r="A87" s="9" t="s">
        <v>90</v>
      </c>
      <c r="B87" s="10">
        <f aca="true" t="shared" si="7" ref="B87:B93">C87+D87+E87+F87+G87+H87</f>
        <v>47790.1</v>
      </c>
      <c r="C87" s="10">
        <f>'додаток 1 2019'!C87+'додаток 1 2020'!C87+'додаток 1 2021  '!C85</f>
        <v>16794.6</v>
      </c>
      <c r="D87" s="10">
        <f>'додаток 1 2019'!D87+'додаток 1 2020'!D87+'додаток 1 2021  '!D85</f>
        <v>0</v>
      </c>
      <c r="E87" s="10">
        <f>'додаток 1 2019'!E87+'додаток 1 2020'!E87+'додаток 1 2021  '!E85</f>
        <v>0</v>
      </c>
      <c r="F87" s="10">
        <f>'додаток 1 2019'!F87+'додаток 1 2020'!F87+'додаток 1 2021  '!F85</f>
        <v>0</v>
      </c>
      <c r="G87" s="10">
        <f>'додаток 1 2019'!G87+'додаток 1 2020'!G87+'додаток 1 2021  '!G85</f>
        <v>30995.5</v>
      </c>
      <c r="H87" s="10">
        <f>'додаток 1 2019'!H87+'додаток 1 2020'!H87+'додаток 1 2021  '!H85</f>
        <v>0</v>
      </c>
      <c r="I87" s="10">
        <f aca="true" t="shared" si="8" ref="I87:I93">J87+K87+L87+M87+N87+O87</f>
        <v>47687.3</v>
      </c>
      <c r="J87" s="10">
        <f>'додаток 1 2019'!J87+'додаток 1 2020'!J87+'додаток 1 2021  '!J85</f>
        <v>16775.3</v>
      </c>
      <c r="K87" s="10">
        <f>'додаток 1 2019'!K87+'додаток 1 2020'!K87+'додаток 1 2021  '!K85</f>
        <v>0</v>
      </c>
      <c r="L87" s="10">
        <f>'додаток 1 2019'!L87+'додаток 1 2020'!L87+'додаток 1 2021  '!L85</f>
        <v>0</v>
      </c>
      <c r="M87" s="10">
        <f>'додаток 1 2019'!M87+'додаток 1 2020'!M87+'додаток 1 2021  '!M85</f>
        <v>0</v>
      </c>
      <c r="N87" s="10">
        <f>'додаток 1 2019'!N87+'додаток 1 2020'!N87+'додаток 1 2021  '!N85</f>
        <v>30912</v>
      </c>
      <c r="O87" s="10">
        <f>'додаток 1 2019'!O87+'додаток 1 2020'!O87+'додаток 1 2021  '!O85</f>
        <v>0</v>
      </c>
      <c r="P87" s="6"/>
    </row>
    <row r="88" spans="1:16" ht="26.25">
      <c r="A88" s="9" t="s">
        <v>91</v>
      </c>
      <c r="B88" s="10">
        <f t="shared" si="7"/>
        <v>2004.4</v>
      </c>
      <c r="C88" s="10">
        <f>'додаток 1 2019'!C88+'додаток 1 2020'!C88+'додаток 1 2021  '!C86</f>
        <v>2004.4</v>
      </c>
      <c r="D88" s="10">
        <f>'додаток 1 2019'!D88+'додаток 1 2020'!D88+'додаток 1 2021  '!D86</f>
        <v>0</v>
      </c>
      <c r="E88" s="10">
        <f>'додаток 1 2019'!E88+'додаток 1 2020'!E88+'додаток 1 2021  '!E86</f>
        <v>0</v>
      </c>
      <c r="F88" s="10">
        <f>'додаток 1 2019'!F88+'додаток 1 2020'!F88+'додаток 1 2021  '!F86</f>
        <v>0</v>
      </c>
      <c r="G88" s="10">
        <f>'додаток 1 2019'!G88+'додаток 1 2020'!G88+'додаток 1 2021  '!G86</f>
        <v>0</v>
      </c>
      <c r="H88" s="10">
        <f>'додаток 1 2019'!H88+'додаток 1 2020'!H88+'додаток 1 2021  '!H86</f>
        <v>0</v>
      </c>
      <c r="I88" s="10">
        <f t="shared" si="8"/>
        <v>1839.3</v>
      </c>
      <c r="J88" s="10">
        <f>'додаток 1 2019'!J88+'додаток 1 2020'!J88+'додаток 1 2021  '!J86</f>
        <v>1839.3</v>
      </c>
      <c r="K88" s="10">
        <f>'додаток 1 2019'!K88+'додаток 1 2020'!K88+'додаток 1 2021  '!K86</f>
        <v>0</v>
      </c>
      <c r="L88" s="10">
        <f>'додаток 1 2019'!L88+'додаток 1 2020'!L88+'додаток 1 2021  '!L86</f>
        <v>0</v>
      </c>
      <c r="M88" s="10">
        <f>'додаток 1 2019'!M88+'додаток 1 2020'!M88+'додаток 1 2021  '!M86</f>
        <v>0</v>
      </c>
      <c r="N88" s="10">
        <f>'додаток 1 2019'!N88+'додаток 1 2020'!N88+'додаток 1 2021  '!N86</f>
        <v>0</v>
      </c>
      <c r="O88" s="10">
        <f>'додаток 1 2019'!O88+'додаток 1 2020'!O88+'додаток 1 2021  '!O86</f>
        <v>0</v>
      </c>
      <c r="P88" s="6"/>
    </row>
    <row r="89" spans="1:16" ht="26.25">
      <c r="A89" s="9" t="s">
        <v>92</v>
      </c>
      <c r="B89" s="10">
        <f t="shared" si="7"/>
        <v>6280.5</v>
      </c>
      <c r="C89" s="10">
        <f>'додаток 1 2019'!C89+'додаток 1 2020'!C89+'додаток 1 2021  '!C87</f>
        <v>5906.8</v>
      </c>
      <c r="D89" s="10">
        <f>'додаток 1 2019'!D89+'додаток 1 2020'!D89+'додаток 1 2021  '!D87</f>
        <v>50</v>
      </c>
      <c r="E89" s="10">
        <f>'додаток 1 2019'!E89+'додаток 1 2020'!E89+'додаток 1 2021  '!E87</f>
        <v>0</v>
      </c>
      <c r="F89" s="10">
        <f>'додаток 1 2019'!F89+'додаток 1 2020'!F89+'додаток 1 2021  '!F87</f>
        <v>0</v>
      </c>
      <c r="G89" s="10">
        <f>'додаток 1 2019'!G89+'додаток 1 2020'!G89+'додаток 1 2021  '!G87</f>
        <v>323.7</v>
      </c>
      <c r="H89" s="10">
        <f>'додаток 1 2019'!H89+'додаток 1 2020'!H89+'додаток 1 2021  '!H87</f>
        <v>0</v>
      </c>
      <c r="I89" s="10">
        <f t="shared" si="8"/>
        <v>5734.2</v>
      </c>
      <c r="J89" s="10">
        <f>'додаток 1 2019'!J89+'додаток 1 2020'!J89+'додаток 1 2021  '!J87</f>
        <v>5456.9</v>
      </c>
      <c r="K89" s="10">
        <f>'додаток 1 2019'!K89+'додаток 1 2020'!K89+'додаток 1 2021  '!K87</f>
        <v>93.6</v>
      </c>
      <c r="L89" s="10">
        <f>'додаток 1 2019'!L89+'додаток 1 2020'!L89+'додаток 1 2021  '!L87</f>
        <v>0</v>
      </c>
      <c r="M89" s="10">
        <f>'додаток 1 2019'!M89+'додаток 1 2020'!M89+'додаток 1 2021  '!M87</f>
        <v>0</v>
      </c>
      <c r="N89" s="10">
        <f>'додаток 1 2019'!N89+'додаток 1 2020'!N89+'додаток 1 2021  '!N87</f>
        <v>183.7</v>
      </c>
      <c r="O89" s="10">
        <f>'додаток 1 2019'!O89+'додаток 1 2020'!O89+'додаток 1 2021  '!O87</f>
        <v>0</v>
      </c>
      <c r="P89" s="3"/>
    </row>
    <row r="90" spans="1:16" ht="15">
      <c r="A90" s="59" t="s">
        <v>53</v>
      </c>
      <c r="B90" s="10">
        <f t="shared" si="7"/>
        <v>14.7</v>
      </c>
      <c r="C90" s="10">
        <f>'додаток 1 2019'!C90+'додаток 1 2020'!C90+'додаток 1 2021  '!C88</f>
        <v>14.7</v>
      </c>
      <c r="D90" s="10">
        <f>'додаток 1 2019'!D90+'додаток 1 2020'!D90+'додаток 1 2021  '!D88</f>
        <v>0</v>
      </c>
      <c r="E90" s="10">
        <f>'додаток 1 2019'!E90+'додаток 1 2020'!E90+'додаток 1 2021  '!E88</f>
        <v>0</v>
      </c>
      <c r="F90" s="10">
        <f>'додаток 1 2019'!F90+'додаток 1 2020'!F90+'додаток 1 2021  '!F88</f>
        <v>0</v>
      </c>
      <c r="G90" s="10">
        <f>'додаток 1 2019'!G90+'додаток 1 2020'!G90+'додаток 1 2021  '!G88</f>
        <v>0</v>
      </c>
      <c r="H90" s="10">
        <f>'додаток 1 2019'!H90+'додаток 1 2020'!H90+'додаток 1 2021  '!H88</f>
        <v>0</v>
      </c>
      <c r="I90" s="10">
        <f t="shared" si="8"/>
        <v>14.7</v>
      </c>
      <c r="J90" s="10">
        <f>'додаток 1 2019'!J90+'додаток 1 2020'!J90+'додаток 1 2021  '!J88</f>
        <v>14.7</v>
      </c>
      <c r="K90" s="10">
        <f>'додаток 1 2019'!K90+'додаток 1 2020'!K90+'додаток 1 2021  '!K88</f>
        <v>0</v>
      </c>
      <c r="L90" s="10">
        <f>'додаток 1 2019'!L90+'додаток 1 2020'!L90+'додаток 1 2021  '!L88</f>
        <v>0</v>
      </c>
      <c r="M90" s="10">
        <f>'додаток 1 2019'!M90+'додаток 1 2020'!M90+'додаток 1 2021  '!M88</f>
        <v>0</v>
      </c>
      <c r="N90" s="10">
        <f>'додаток 1 2019'!N90+'додаток 1 2020'!N90+'додаток 1 2021  '!N88</f>
        <v>0</v>
      </c>
      <c r="O90" s="10">
        <f>'додаток 1 2019'!O90+'додаток 1 2020'!O90+'додаток 1 2021  '!O88</f>
        <v>0</v>
      </c>
      <c r="P90" s="3"/>
    </row>
    <row r="91" spans="1:16" ht="26.25">
      <c r="A91" s="73" t="s">
        <v>54</v>
      </c>
      <c r="B91" s="39">
        <f t="shared" si="7"/>
        <v>690.1</v>
      </c>
      <c r="C91" s="10">
        <f>'додаток 1 2019'!C91+'додаток 1 2020'!C91+'додаток 1 2021  '!C89</f>
        <v>0</v>
      </c>
      <c r="D91" s="10">
        <f>'додаток 1 2019'!D91+'додаток 1 2020'!D91+'додаток 1 2021  '!D89</f>
        <v>616</v>
      </c>
      <c r="E91" s="10">
        <f>'додаток 1 2019'!E91+'додаток 1 2020'!E91+'додаток 1 2021  '!E89</f>
        <v>0</v>
      </c>
      <c r="F91" s="10">
        <f>'додаток 1 2019'!F91+'додаток 1 2020'!F91+'додаток 1 2021  '!F89</f>
        <v>15</v>
      </c>
      <c r="G91" s="10">
        <f>'додаток 1 2019'!G91+'додаток 1 2020'!G91+'додаток 1 2021  '!G89</f>
        <v>0</v>
      </c>
      <c r="H91" s="10">
        <f>'додаток 1 2019'!H91+'додаток 1 2020'!H91+'додаток 1 2021  '!H89</f>
        <v>59.1</v>
      </c>
      <c r="I91" s="10">
        <f t="shared" si="8"/>
        <v>386.6</v>
      </c>
      <c r="J91" s="10">
        <f>'додаток 1 2019'!J91+'додаток 1 2020'!J91+'додаток 1 2021  '!J89</f>
        <v>0</v>
      </c>
      <c r="K91" s="10">
        <f>'додаток 1 2019'!K91+'додаток 1 2020'!K91+'додаток 1 2021  '!K89</f>
        <v>339.90000000000003</v>
      </c>
      <c r="L91" s="10">
        <f>'додаток 1 2019'!L91+'додаток 1 2020'!L91+'додаток 1 2021  '!L89</f>
        <v>0</v>
      </c>
      <c r="M91" s="10">
        <f>'додаток 1 2019'!M91+'додаток 1 2020'!M91+'додаток 1 2021  '!M89</f>
        <v>15</v>
      </c>
      <c r="N91" s="10">
        <f>'додаток 1 2019'!N91+'додаток 1 2020'!N91+'додаток 1 2021  '!N89</f>
        <v>0</v>
      </c>
      <c r="O91" s="10">
        <f>'додаток 1 2019'!O91+'додаток 1 2020'!O91+'додаток 1 2021  '!O89</f>
        <v>31.7</v>
      </c>
      <c r="P91" s="3"/>
    </row>
    <row r="92" spans="1:16" ht="15">
      <c r="A92" s="75" t="s">
        <v>93</v>
      </c>
      <c r="B92" s="39">
        <f t="shared" si="7"/>
        <v>75</v>
      </c>
      <c r="C92" s="10">
        <f>'додаток 1 2019'!C92+'додаток 1 2020'!C92+'додаток 1 2021  '!C90</f>
        <v>0</v>
      </c>
      <c r="D92" s="10">
        <f>'додаток 1 2019'!D92+'додаток 1 2020'!D92+'додаток 1 2021  '!D90</f>
        <v>75</v>
      </c>
      <c r="E92" s="10">
        <f>'додаток 1 2019'!E92+'додаток 1 2020'!E92+'додаток 1 2021  '!E90</f>
        <v>0</v>
      </c>
      <c r="F92" s="10">
        <f>'додаток 1 2019'!F92+'додаток 1 2020'!F92+'додаток 1 2021  '!F90</f>
        <v>0</v>
      </c>
      <c r="G92" s="10">
        <f>'додаток 1 2019'!G92+'додаток 1 2020'!G92+'додаток 1 2021  '!G90</f>
        <v>0</v>
      </c>
      <c r="H92" s="10">
        <f>'додаток 1 2019'!H92+'додаток 1 2020'!H92+'додаток 1 2021  '!H90</f>
        <v>0</v>
      </c>
      <c r="I92" s="10">
        <f t="shared" si="8"/>
        <v>73.4</v>
      </c>
      <c r="J92" s="10">
        <f>'додаток 1 2019'!J92+'додаток 1 2020'!J92+'додаток 1 2021  '!J90</f>
        <v>0</v>
      </c>
      <c r="K92" s="10">
        <f>'додаток 1 2019'!K92+'додаток 1 2020'!K92+'додаток 1 2021  '!K90</f>
        <v>73.4</v>
      </c>
      <c r="L92" s="10">
        <f>'додаток 1 2019'!L92+'додаток 1 2020'!L92+'додаток 1 2021  '!L90</f>
        <v>0</v>
      </c>
      <c r="M92" s="10">
        <f>'додаток 1 2019'!M92+'додаток 1 2020'!M92+'додаток 1 2021  '!M90</f>
        <v>0</v>
      </c>
      <c r="N92" s="10">
        <f>'додаток 1 2019'!N92+'додаток 1 2020'!N92+'додаток 1 2021  '!N90</f>
        <v>0</v>
      </c>
      <c r="O92" s="10">
        <f>'додаток 1 2019'!O92+'додаток 1 2020'!O92+'додаток 1 2021  '!O90</f>
        <v>0</v>
      </c>
      <c r="P92" s="3"/>
    </row>
    <row r="93" spans="1:16" ht="15">
      <c r="A93" s="5" t="s">
        <v>94</v>
      </c>
      <c r="B93" s="10">
        <f t="shared" si="7"/>
        <v>300</v>
      </c>
      <c r="C93" s="10">
        <f>'додаток 1 2019'!C93+'додаток 1 2020'!C93+'додаток 1 2021  '!C91</f>
        <v>0</v>
      </c>
      <c r="D93" s="10">
        <f>'додаток 1 2019'!D93+'додаток 1 2020'!D93+'додаток 1 2021  '!D91</f>
        <v>300</v>
      </c>
      <c r="E93" s="10">
        <f>'додаток 1 2019'!E93+'додаток 1 2020'!E93+'додаток 1 2021  '!E91</f>
        <v>0</v>
      </c>
      <c r="F93" s="10">
        <f>'додаток 1 2019'!F93+'додаток 1 2020'!F93+'додаток 1 2021  '!F91</f>
        <v>0</v>
      </c>
      <c r="G93" s="10">
        <f>'додаток 1 2019'!G93+'додаток 1 2020'!G93+'додаток 1 2021  '!G91</f>
        <v>0</v>
      </c>
      <c r="H93" s="10">
        <f>'додаток 1 2019'!H93+'додаток 1 2020'!H93+'додаток 1 2021  '!H91</f>
        <v>0</v>
      </c>
      <c r="I93" s="10">
        <f t="shared" si="8"/>
        <v>0</v>
      </c>
      <c r="J93" s="10">
        <f>'додаток 1 2019'!J93+'додаток 1 2020'!J93+'додаток 1 2021  '!J91</f>
        <v>0</v>
      </c>
      <c r="K93" s="10">
        <f>'додаток 1 2019'!K93+'додаток 1 2020'!K93+'додаток 1 2021  '!K91</f>
        <v>0</v>
      </c>
      <c r="L93" s="10">
        <f>'додаток 1 2019'!L93+'додаток 1 2020'!L93+'додаток 1 2021  '!L91</f>
        <v>0</v>
      </c>
      <c r="M93" s="10">
        <f>'додаток 1 2019'!M93+'додаток 1 2020'!M93+'додаток 1 2021  '!M91</f>
        <v>0</v>
      </c>
      <c r="N93" s="10">
        <f>'додаток 1 2019'!N93+'додаток 1 2020'!N93+'додаток 1 2021  '!N91</f>
        <v>0</v>
      </c>
      <c r="O93" s="10">
        <f>'додаток 1 2019'!O93+'додаток 1 2020'!O93+'додаток 1 2021  '!O91</f>
        <v>0</v>
      </c>
      <c r="P93" s="3"/>
    </row>
    <row r="94" spans="1:18" ht="15">
      <c r="A94" s="25" t="s">
        <v>17</v>
      </c>
      <c r="B94" s="27">
        <f>SUM(B87:B93)</f>
        <v>57154.799999999996</v>
      </c>
      <c r="C94" s="27">
        <f aca="true" t="shared" si="9" ref="C94:O94">SUM(C87:C93)</f>
        <v>24720.5</v>
      </c>
      <c r="D94" s="27">
        <f t="shared" si="9"/>
        <v>1041</v>
      </c>
      <c r="E94" s="27">
        <f t="shared" si="9"/>
        <v>0</v>
      </c>
      <c r="F94" s="27">
        <f t="shared" si="9"/>
        <v>15</v>
      </c>
      <c r="G94" s="27">
        <f t="shared" si="9"/>
        <v>31319.2</v>
      </c>
      <c r="H94" s="27">
        <f t="shared" si="9"/>
        <v>59.1</v>
      </c>
      <c r="I94" s="27">
        <f t="shared" si="9"/>
        <v>55735.5</v>
      </c>
      <c r="J94" s="27">
        <f t="shared" si="9"/>
        <v>24086.2</v>
      </c>
      <c r="K94" s="27">
        <f t="shared" si="9"/>
        <v>506.9</v>
      </c>
      <c r="L94" s="27">
        <f t="shared" si="9"/>
        <v>0</v>
      </c>
      <c r="M94" s="27">
        <f t="shared" si="9"/>
        <v>15</v>
      </c>
      <c r="N94" s="27">
        <f t="shared" si="9"/>
        <v>31095.7</v>
      </c>
      <c r="O94" s="27">
        <f t="shared" si="9"/>
        <v>31.7</v>
      </c>
      <c r="P94" s="36">
        <f>I94/B94*100</f>
        <v>97.5167440005039</v>
      </c>
      <c r="Q94" s="86">
        <f>C94+E94+G94</f>
        <v>56039.7</v>
      </c>
      <c r="R94" s="86">
        <f>D94+F94+H94</f>
        <v>1115.1</v>
      </c>
    </row>
    <row r="95" spans="1:16" ht="15.75">
      <c r="A95" s="128" t="s">
        <v>96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</row>
    <row r="96" spans="1:16" ht="15">
      <c r="A96" s="15" t="s">
        <v>97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ht="26.25">
      <c r="A97" s="9" t="s">
        <v>98</v>
      </c>
      <c r="B97" s="39">
        <f aca="true" t="shared" si="10" ref="B97:B102">C97+D97+E97+F97+G97+H97</f>
        <v>77950.1</v>
      </c>
      <c r="C97" s="10">
        <f>'додаток 1 2019'!C97+'додаток 1 2020'!C97+'додаток 1 2021  '!C95</f>
        <v>77950.1</v>
      </c>
      <c r="D97" s="10">
        <f>'додаток 1 2019'!D97+'додаток 1 2020'!D97+'додаток 1 2021  '!D95</f>
        <v>0</v>
      </c>
      <c r="E97" s="10">
        <f>'додаток 1 2019'!E97+'додаток 1 2020'!E97+'додаток 1 2021  '!E95</f>
        <v>0</v>
      </c>
      <c r="F97" s="10">
        <f>'додаток 1 2019'!F97+'додаток 1 2020'!F97+'додаток 1 2021  '!F95</f>
        <v>0</v>
      </c>
      <c r="G97" s="10">
        <f>'додаток 1 2019'!G97+'додаток 1 2020'!G97+'додаток 1 2021  '!G95</f>
        <v>0</v>
      </c>
      <c r="H97" s="10">
        <f>'додаток 1 2019'!H97+'додаток 1 2020'!H97+'додаток 1 2021  '!H95</f>
        <v>0</v>
      </c>
      <c r="I97" s="39">
        <f aca="true" t="shared" si="11" ref="I97:I102">J97+K97+L97+M97+N97+O97</f>
        <v>77203.9</v>
      </c>
      <c r="J97" s="10">
        <f>'додаток 1 2019'!J97+'додаток 1 2020'!J97+'додаток 1 2021  '!J95</f>
        <v>77203.9</v>
      </c>
      <c r="K97" s="10">
        <f>'додаток 1 2019'!K97+'додаток 1 2020'!K97+'додаток 1 2021  '!K95</f>
        <v>0</v>
      </c>
      <c r="L97" s="10">
        <f>'додаток 1 2019'!L97+'додаток 1 2020'!L97+'додаток 1 2021  '!L95</f>
        <v>0</v>
      </c>
      <c r="M97" s="10">
        <f>'додаток 1 2019'!M97+'додаток 1 2020'!M97+'додаток 1 2021  '!M95</f>
        <v>0</v>
      </c>
      <c r="N97" s="10">
        <f>'додаток 1 2019'!N97+'додаток 1 2020'!N97+'додаток 1 2021  '!N95</f>
        <v>0</v>
      </c>
      <c r="O97" s="10">
        <f>'додаток 1 2019'!O97+'додаток 1 2020'!O97+'додаток 1 2021  '!O95</f>
        <v>0</v>
      </c>
      <c r="P97" s="6"/>
    </row>
    <row r="98" spans="1:16" ht="26.25">
      <c r="A98" s="9" t="s">
        <v>99</v>
      </c>
      <c r="B98" s="39">
        <f t="shared" si="10"/>
        <v>12668</v>
      </c>
      <c r="C98" s="10">
        <f>'додаток 1 2019'!C98+'додаток 1 2020'!C98+'додаток 1 2021  '!C96</f>
        <v>12468</v>
      </c>
      <c r="D98" s="10">
        <f>'додаток 1 2019'!D98+'додаток 1 2020'!D98+'додаток 1 2021  '!D96</f>
        <v>200</v>
      </c>
      <c r="E98" s="10">
        <f>'додаток 1 2019'!E98+'додаток 1 2020'!E98+'додаток 1 2021  '!E96</f>
        <v>0</v>
      </c>
      <c r="F98" s="10">
        <f>'додаток 1 2019'!F98+'додаток 1 2020'!F98+'додаток 1 2021  '!F96</f>
        <v>0</v>
      </c>
      <c r="G98" s="10">
        <f>'додаток 1 2019'!G98+'додаток 1 2020'!G98+'додаток 1 2021  '!G96</f>
        <v>0</v>
      </c>
      <c r="H98" s="10">
        <f>'додаток 1 2019'!H98+'додаток 1 2020'!H98+'додаток 1 2021  '!H96</f>
        <v>0</v>
      </c>
      <c r="I98" s="39">
        <f t="shared" si="11"/>
        <v>10965.699999999999</v>
      </c>
      <c r="J98" s="10">
        <f>'додаток 1 2019'!J98+'додаток 1 2020'!J98+'додаток 1 2021  '!J96</f>
        <v>10779.8</v>
      </c>
      <c r="K98" s="10">
        <f>'додаток 1 2019'!K98+'додаток 1 2020'!K98+'додаток 1 2021  '!K96</f>
        <v>185.9</v>
      </c>
      <c r="L98" s="10">
        <f>'додаток 1 2019'!L98+'додаток 1 2020'!L98+'додаток 1 2021  '!L96</f>
        <v>0</v>
      </c>
      <c r="M98" s="10">
        <f>'додаток 1 2019'!M98+'додаток 1 2020'!M98+'додаток 1 2021  '!M96</f>
        <v>0</v>
      </c>
      <c r="N98" s="10">
        <f>'додаток 1 2019'!N98+'додаток 1 2020'!N98+'додаток 1 2021  '!N96</f>
        <v>0</v>
      </c>
      <c r="O98" s="10">
        <f>'додаток 1 2019'!O98+'додаток 1 2020'!O98+'додаток 1 2021  '!O96</f>
        <v>0</v>
      </c>
      <c r="P98" s="6"/>
    </row>
    <row r="99" spans="1:16" ht="15">
      <c r="A99" s="59" t="s">
        <v>100</v>
      </c>
      <c r="B99" s="39">
        <f t="shared" si="10"/>
        <v>296.9</v>
      </c>
      <c r="C99" s="10">
        <f>'додаток 1 2019'!C99+'додаток 1 2020'!C99+'додаток 1 2021  '!C97</f>
        <v>296.9</v>
      </c>
      <c r="D99" s="10">
        <f>'додаток 1 2019'!D99+'додаток 1 2020'!D99+'додаток 1 2021  '!D97</f>
        <v>0</v>
      </c>
      <c r="E99" s="10">
        <f>'додаток 1 2019'!E99+'додаток 1 2020'!E99+'додаток 1 2021  '!E97</f>
        <v>0</v>
      </c>
      <c r="F99" s="10">
        <f>'додаток 1 2019'!F99+'додаток 1 2020'!F99+'додаток 1 2021  '!F97</f>
        <v>0</v>
      </c>
      <c r="G99" s="10">
        <f>'додаток 1 2019'!G99+'додаток 1 2020'!G99+'додаток 1 2021  '!G97</f>
        <v>0</v>
      </c>
      <c r="H99" s="10">
        <f>'додаток 1 2019'!H99+'додаток 1 2020'!H99+'додаток 1 2021  '!H97</f>
        <v>0</v>
      </c>
      <c r="I99" s="39">
        <f t="shared" si="11"/>
        <v>296.9</v>
      </c>
      <c r="J99" s="10">
        <f>'додаток 1 2019'!J99+'додаток 1 2020'!J99+'додаток 1 2021  '!J97</f>
        <v>296.9</v>
      </c>
      <c r="K99" s="10">
        <f>'додаток 1 2019'!K99+'додаток 1 2020'!K99+'додаток 1 2021  '!K97</f>
        <v>0</v>
      </c>
      <c r="L99" s="10">
        <f>'додаток 1 2019'!L99+'додаток 1 2020'!L99+'додаток 1 2021  '!L97</f>
        <v>0</v>
      </c>
      <c r="M99" s="10">
        <f>'додаток 1 2019'!M99+'додаток 1 2020'!M99+'додаток 1 2021  '!M97</f>
        <v>0</v>
      </c>
      <c r="N99" s="10">
        <f>'додаток 1 2019'!N99+'додаток 1 2020'!N99+'додаток 1 2021  '!N97</f>
        <v>0</v>
      </c>
      <c r="O99" s="10">
        <f>'додаток 1 2019'!O99+'додаток 1 2020'!O99+'додаток 1 2021  '!O97</f>
        <v>0</v>
      </c>
      <c r="P99" s="6"/>
    </row>
    <row r="100" spans="1:16" ht="26.25">
      <c r="A100" s="9" t="s">
        <v>101</v>
      </c>
      <c r="B100" s="39">
        <f t="shared" si="10"/>
        <v>676.8</v>
      </c>
      <c r="C100" s="10">
        <f>'додаток 1 2019'!C100+'додаток 1 2020'!C100+'додаток 1 2021  '!C98</f>
        <v>0</v>
      </c>
      <c r="D100" s="10">
        <f>'додаток 1 2019'!D100+'додаток 1 2020'!D100+'додаток 1 2021  '!D98</f>
        <v>676.8</v>
      </c>
      <c r="E100" s="10">
        <f>'додаток 1 2019'!E100+'додаток 1 2020'!E100+'додаток 1 2021  '!E98</f>
        <v>0</v>
      </c>
      <c r="F100" s="10">
        <f>'додаток 1 2019'!F100+'додаток 1 2020'!F100+'додаток 1 2021  '!F98</f>
        <v>0</v>
      </c>
      <c r="G100" s="10">
        <f>'додаток 1 2019'!G100+'додаток 1 2020'!G100+'додаток 1 2021  '!G98</f>
        <v>0</v>
      </c>
      <c r="H100" s="10">
        <f>'додаток 1 2019'!H100+'додаток 1 2020'!H100+'додаток 1 2021  '!H98</f>
        <v>0</v>
      </c>
      <c r="I100" s="39">
        <f t="shared" si="11"/>
        <v>128.1</v>
      </c>
      <c r="J100" s="10">
        <f>'додаток 1 2019'!J100+'додаток 1 2020'!J100+'додаток 1 2021  '!J98</f>
        <v>0</v>
      </c>
      <c r="K100" s="10">
        <f>'додаток 1 2019'!K100+'додаток 1 2020'!K100+'додаток 1 2021  '!K98</f>
        <v>128.1</v>
      </c>
      <c r="L100" s="10">
        <f>'додаток 1 2019'!L100+'додаток 1 2020'!L100+'додаток 1 2021  '!L98</f>
        <v>0</v>
      </c>
      <c r="M100" s="10">
        <f>'додаток 1 2019'!M100+'додаток 1 2020'!M100+'додаток 1 2021  '!M98</f>
        <v>0</v>
      </c>
      <c r="N100" s="10">
        <f>'додаток 1 2019'!N100+'додаток 1 2020'!N100+'додаток 1 2021  '!N98</f>
        <v>0</v>
      </c>
      <c r="O100" s="10">
        <f>'додаток 1 2019'!O100+'додаток 1 2020'!O100+'додаток 1 2021  '!O98</f>
        <v>0</v>
      </c>
      <c r="P100" s="6"/>
    </row>
    <row r="101" spans="1:16" ht="15">
      <c r="A101" s="5" t="s">
        <v>102</v>
      </c>
      <c r="B101" s="39">
        <f t="shared" si="10"/>
        <v>400</v>
      </c>
      <c r="C101" s="10">
        <f>'додаток 1 2019'!C101+'додаток 1 2020'!C101+'додаток 1 2021  '!C99</f>
        <v>0</v>
      </c>
      <c r="D101" s="10">
        <f>'додаток 1 2019'!D101+'додаток 1 2020'!D101+'додаток 1 2021  '!D99</f>
        <v>400</v>
      </c>
      <c r="E101" s="10">
        <f>'додаток 1 2019'!E101+'додаток 1 2020'!E101+'додаток 1 2021  '!E99</f>
        <v>0</v>
      </c>
      <c r="F101" s="10">
        <f>'додаток 1 2019'!F101+'додаток 1 2020'!F101+'додаток 1 2021  '!F99</f>
        <v>0</v>
      </c>
      <c r="G101" s="10">
        <f>'додаток 1 2019'!G101+'додаток 1 2020'!G101+'додаток 1 2021  '!G99</f>
        <v>0</v>
      </c>
      <c r="H101" s="10">
        <f>'додаток 1 2019'!H101+'додаток 1 2020'!H101+'додаток 1 2021  '!H99</f>
        <v>0</v>
      </c>
      <c r="I101" s="39">
        <f t="shared" si="11"/>
        <v>295.2</v>
      </c>
      <c r="J101" s="10">
        <f>'додаток 1 2019'!J101+'додаток 1 2020'!J101+'додаток 1 2021  '!J99</f>
        <v>0</v>
      </c>
      <c r="K101" s="10">
        <f>'додаток 1 2019'!K101+'додаток 1 2020'!K101+'додаток 1 2021  '!K99</f>
        <v>295.2</v>
      </c>
      <c r="L101" s="10">
        <f>'додаток 1 2019'!L101+'додаток 1 2020'!L101+'додаток 1 2021  '!L99</f>
        <v>0</v>
      </c>
      <c r="M101" s="10">
        <f>'додаток 1 2019'!M101+'додаток 1 2020'!M101+'додаток 1 2021  '!M99</f>
        <v>0</v>
      </c>
      <c r="N101" s="10">
        <f>'додаток 1 2019'!N101+'додаток 1 2020'!N101+'додаток 1 2021  '!N99</f>
        <v>0</v>
      </c>
      <c r="O101" s="10">
        <f>'додаток 1 2019'!O101+'додаток 1 2020'!O101+'додаток 1 2021  '!O99</f>
        <v>0</v>
      </c>
      <c r="P101" s="6"/>
    </row>
    <row r="102" spans="1:16" ht="26.25">
      <c r="A102" s="6" t="s">
        <v>103</v>
      </c>
      <c r="B102" s="39">
        <f t="shared" si="10"/>
        <v>400</v>
      </c>
      <c r="C102" s="10">
        <f>'додаток 1 2019'!C102+'додаток 1 2020'!C102+'додаток 1 2021  '!C100</f>
        <v>0</v>
      </c>
      <c r="D102" s="10">
        <f>'додаток 1 2019'!D102+'додаток 1 2020'!D102+'додаток 1 2021  '!D100</f>
        <v>400</v>
      </c>
      <c r="E102" s="10">
        <f>'додаток 1 2019'!E102+'додаток 1 2020'!E102+'додаток 1 2021  '!E100</f>
        <v>0</v>
      </c>
      <c r="F102" s="10">
        <f>'додаток 1 2019'!F102+'додаток 1 2020'!F102+'додаток 1 2021  '!F100</f>
        <v>0</v>
      </c>
      <c r="G102" s="10">
        <f>'додаток 1 2019'!G102+'додаток 1 2020'!G102+'додаток 1 2021  '!G100</f>
        <v>0</v>
      </c>
      <c r="H102" s="10">
        <f>'додаток 1 2019'!H102+'додаток 1 2020'!H102+'додаток 1 2021  '!H100</f>
        <v>0</v>
      </c>
      <c r="I102" s="39">
        <f t="shared" si="11"/>
        <v>0</v>
      </c>
      <c r="J102" s="10">
        <f>'додаток 1 2019'!J102+'додаток 1 2020'!J102+'додаток 1 2021  '!J100</f>
        <v>0</v>
      </c>
      <c r="K102" s="10">
        <f>'додаток 1 2019'!K102+'додаток 1 2020'!K102+'додаток 1 2021  '!K100</f>
        <v>0</v>
      </c>
      <c r="L102" s="10">
        <f>'додаток 1 2019'!L102+'додаток 1 2020'!L102+'додаток 1 2021  '!L100</f>
        <v>0</v>
      </c>
      <c r="M102" s="10">
        <f>'додаток 1 2019'!M102+'додаток 1 2020'!M102+'додаток 1 2021  '!M100</f>
        <v>0</v>
      </c>
      <c r="N102" s="10">
        <f>'додаток 1 2019'!N102+'додаток 1 2020'!N102+'додаток 1 2021  '!N100</f>
        <v>0</v>
      </c>
      <c r="O102" s="10">
        <f>'додаток 1 2019'!O102+'додаток 1 2020'!O102+'додаток 1 2021  '!O100</f>
        <v>0</v>
      </c>
      <c r="P102" s="6"/>
    </row>
    <row r="103" spans="1:18" ht="15">
      <c r="A103" s="25" t="s">
        <v>18</v>
      </c>
      <c r="B103" s="27">
        <f aca="true" t="shared" si="12" ref="B103:O103">SUM(B97:B102)</f>
        <v>92391.8</v>
      </c>
      <c r="C103" s="27">
        <f t="shared" si="12"/>
        <v>90715</v>
      </c>
      <c r="D103" s="27">
        <f t="shared" si="12"/>
        <v>1676.8</v>
      </c>
      <c r="E103" s="27">
        <f t="shared" si="12"/>
        <v>0</v>
      </c>
      <c r="F103" s="27">
        <f t="shared" si="12"/>
        <v>0</v>
      </c>
      <c r="G103" s="27">
        <f t="shared" si="12"/>
        <v>0</v>
      </c>
      <c r="H103" s="27">
        <f t="shared" si="12"/>
        <v>0</v>
      </c>
      <c r="I103" s="27">
        <f t="shared" si="12"/>
        <v>88889.79999999999</v>
      </c>
      <c r="J103" s="27">
        <f t="shared" si="12"/>
        <v>88280.59999999999</v>
      </c>
      <c r="K103" s="27">
        <f t="shared" si="12"/>
        <v>609.2</v>
      </c>
      <c r="L103" s="27">
        <f t="shared" si="12"/>
        <v>0</v>
      </c>
      <c r="M103" s="27">
        <f t="shared" si="12"/>
        <v>0</v>
      </c>
      <c r="N103" s="27">
        <f t="shared" si="12"/>
        <v>0</v>
      </c>
      <c r="O103" s="27">
        <f t="shared" si="12"/>
        <v>0</v>
      </c>
      <c r="P103" s="36">
        <f>I103/B103*100</f>
        <v>96.20962033427207</v>
      </c>
      <c r="Q103" s="86">
        <f>C103+E103+G103</f>
        <v>90715</v>
      </c>
      <c r="R103" s="86">
        <f>D103+F103+H103</f>
        <v>1676.8</v>
      </c>
    </row>
    <row r="104" spans="1:16" ht="15.75">
      <c r="A104" s="128" t="s">
        <v>104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</row>
    <row r="105" spans="1:16" ht="30" customHeight="1">
      <c r="A105" s="15" t="s">
        <v>105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ht="64.5">
      <c r="A106" s="6" t="s">
        <v>106</v>
      </c>
      <c r="B106" s="43">
        <f>C106+D106+E106+F106+G106+H106</f>
        <v>11909.8</v>
      </c>
      <c r="C106" s="10">
        <f>'додаток 1 2019'!C106+'додаток 1 2020'!C106+'додаток 1 2021  '!C104</f>
        <v>11846.8</v>
      </c>
      <c r="D106" s="10">
        <f>'додаток 1 2019'!D106+'додаток 1 2020'!D106+'додаток 1 2021  '!D104</f>
        <v>63</v>
      </c>
      <c r="E106" s="10">
        <f>'додаток 1 2019'!E106+'додаток 1 2020'!E106+'додаток 1 2021  '!E104</f>
        <v>0</v>
      </c>
      <c r="F106" s="10">
        <f>'додаток 1 2019'!F106+'додаток 1 2020'!F106+'додаток 1 2021  '!F104</f>
        <v>0</v>
      </c>
      <c r="G106" s="10">
        <f>'додаток 1 2019'!G106+'додаток 1 2020'!G106+'додаток 1 2021  '!G104</f>
        <v>0</v>
      </c>
      <c r="H106" s="10">
        <f>'додаток 1 2019'!H106+'додаток 1 2020'!H106+'додаток 1 2021  '!H104</f>
        <v>0</v>
      </c>
      <c r="I106" s="43">
        <f>J106+K106+L106+M106+N106+O106</f>
        <v>11659.999999999998</v>
      </c>
      <c r="J106" s="10">
        <f>'додаток 1 2019'!J106+'додаток 1 2020'!J106+'додаток 1 2021  '!J104</f>
        <v>11650.099999999999</v>
      </c>
      <c r="K106" s="10">
        <f>'додаток 1 2019'!K106+'додаток 1 2020'!K106+'додаток 1 2021  '!K104</f>
        <v>9.9</v>
      </c>
      <c r="L106" s="10">
        <f>'додаток 1 2019'!L106+'додаток 1 2020'!L106+'додаток 1 2021  '!L104</f>
        <v>0</v>
      </c>
      <c r="M106" s="10">
        <f>'додаток 1 2019'!M106+'додаток 1 2020'!M106+'додаток 1 2021  '!M104</f>
        <v>0</v>
      </c>
      <c r="N106" s="10">
        <f>'додаток 1 2019'!N106+'додаток 1 2020'!N106+'додаток 1 2021  '!N104</f>
        <v>0</v>
      </c>
      <c r="O106" s="10">
        <f>'додаток 1 2019'!O106+'додаток 1 2020'!O106+'додаток 1 2021  '!O104</f>
        <v>0</v>
      </c>
      <c r="P106" s="6"/>
    </row>
    <row r="107" spans="1:16" ht="15">
      <c r="A107" s="25" t="s">
        <v>19</v>
      </c>
      <c r="B107" s="27">
        <f aca="true" t="shared" si="13" ref="B107:O107">SUM(B106:B106)</f>
        <v>11909.8</v>
      </c>
      <c r="C107" s="27">
        <f t="shared" si="13"/>
        <v>11846.8</v>
      </c>
      <c r="D107" s="27">
        <f t="shared" si="13"/>
        <v>63</v>
      </c>
      <c r="E107" s="27">
        <f t="shared" si="13"/>
        <v>0</v>
      </c>
      <c r="F107" s="27">
        <f t="shared" si="13"/>
        <v>0</v>
      </c>
      <c r="G107" s="27">
        <f t="shared" si="13"/>
        <v>0</v>
      </c>
      <c r="H107" s="27">
        <f t="shared" si="13"/>
        <v>0</v>
      </c>
      <c r="I107" s="27">
        <f t="shared" si="13"/>
        <v>11659.999999999998</v>
      </c>
      <c r="J107" s="27">
        <f t="shared" si="13"/>
        <v>11650.099999999999</v>
      </c>
      <c r="K107" s="27">
        <f t="shared" si="13"/>
        <v>9.9</v>
      </c>
      <c r="L107" s="27">
        <f t="shared" si="13"/>
        <v>0</v>
      </c>
      <c r="M107" s="27">
        <f t="shared" si="13"/>
        <v>0</v>
      </c>
      <c r="N107" s="27">
        <f t="shared" si="13"/>
        <v>0</v>
      </c>
      <c r="O107" s="27">
        <f t="shared" si="13"/>
        <v>0</v>
      </c>
      <c r="P107" s="36">
        <f>I107/B107*100</f>
        <v>97.90256763337754</v>
      </c>
    </row>
    <row r="108" spans="1:16" ht="15.75">
      <c r="A108" s="128" t="s">
        <v>107</v>
      </c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</row>
    <row r="109" spans="1:16" ht="26.25">
      <c r="A109" s="15" t="s">
        <v>108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ht="51.75">
      <c r="A110" s="6" t="s">
        <v>109</v>
      </c>
      <c r="B110" s="13">
        <f>C110+D110+E110+F110+G110+H110</f>
        <v>1781.6000000000001</v>
      </c>
      <c r="C110" s="10">
        <f>'додаток 1 2019'!C110+'додаток 1 2020'!C110+'додаток 1 2021  '!C108</f>
        <v>1685.3000000000002</v>
      </c>
      <c r="D110" s="10">
        <f>'додаток 1 2019'!D110+'додаток 1 2020'!D110+'додаток 1 2021  '!D108</f>
        <v>96.3</v>
      </c>
      <c r="E110" s="10">
        <f>'додаток 1 2019'!E110+'додаток 1 2020'!E110+'додаток 1 2021  '!E108</f>
        <v>0</v>
      </c>
      <c r="F110" s="10">
        <f>'додаток 1 2019'!F110+'додаток 1 2020'!F110+'додаток 1 2021  '!F108</f>
        <v>0</v>
      </c>
      <c r="G110" s="10">
        <f>'додаток 1 2019'!G110+'додаток 1 2020'!G110+'додаток 1 2021  '!G108</f>
        <v>0</v>
      </c>
      <c r="H110" s="10">
        <f>'додаток 1 2019'!H110+'додаток 1 2020'!H110+'додаток 1 2021  '!H108</f>
        <v>0</v>
      </c>
      <c r="I110" s="13">
        <f>J110+K110+L110+M110+N110+O110</f>
        <v>1442.3</v>
      </c>
      <c r="J110" s="10">
        <f>'додаток 1 2019'!J110+'додаток 1 2020'!J110+'додаток 1 2021  '!J108</f>
        <v>1412.7</v>
      </c>
      <c r="K110" s="10">
        <f>'додаток 1 2019'!K110+'додаток 1 2020'!K110+'додаток 1 2021  '!K108</f>
        <v>29.6</v>
      </c>
      <c r="L110" s="10">
        <f>'додаток 1 2019'!L110+'додаток 1 2020'!L110+'додаток 1 2021  '!L108</f>
        <v>0</v>
      </c>
      <c r="M110" s="10">
        <f>'додаток 1 2019'!M110+'додаток 1 2020'!M110+'додаток 1 2021  '!M108</f>
        <v>0</v>
      </c>
      <c r="N110" s="10">
        <f>'додаток 1 2019'!N110+'додаток 1 2020'!N110+'додаток 1 2021  '!N108</f>
        <v>0</v>
      </c>
      <c r="O110" s="10">
        <f>'додаток 1 2019'!O110+'додаток 1 2020'!O110+'додаток 1 2021  '!O108</f>
        <v>0</v>
      </c>
      <c r="P110" s="8"/>
    </row>
    <row r="111" spans="1:18" ht="15">
      <c r="A111" s="25" t="s">
        <v>20</v>
      </c>
      <c r="B111" s="27">
        <f aca="true" t="shared" si="14" ref="B111:O111">SUM(B110:B110)</f>
        <v>1781.6000000000001</v>
      </c>
      <c r="C111" s="27">
        <f t="shared" si="14"/>
        <v>1685.3000000000002</v>
      </c>
      <c r="D111" s="27">
        <f t="shared" si="14"/>
        <v>96.3</v>
      </c>
      <c r="E111" s="27">
        <f t="shared" si="14"/>
        <v>0</v>
      </c>
      <c r="F111" s="27">
        <f t="shared" si="14"/>
        <v>0</v>
      </c>
      <c r="G111" s="27">
        <f t="shared" si="14"/>
        <v>0</v>
      </c>
      <c r="H111" s="27">
        <f t="shared" si="14"/>
        <v>0</v>
      </c>
      <c r="I111" s="27">
        <f t="shared" si="14"/>
        <v>1442.3</v>
      </c>
      <c r="J111" s="27">
        <f t="shared" si="14"/>
        <v>1412.7</v>
      </c>
      <c r="K111" s="27">
        <f t="shared" si="14"/>
        <v>29.6</v>
      </c>
      <c r="L111" s="27">
        <f t="shared" si="14"/>
        <v>0</v>
      </c>
      <c r="M111" s="27">
        <f t="shared" si="14"/>
        <v>0</v>
      </c>
      <c r="N111" s="27">
        <f t="shared" si="14"/>
        <v>0</v>
      </c>
      <c r="O111" s="27">
        <f t="shared" si="14"/>
        <v>0</v>
      </c>
      <c r="P111" s="36">
        <f>I111/B111*100</f>
        <v>80.95532105972158</v>
      </c>
      <c r="Q111" s="86">
        <f>C111+E111+G111</f>
        <v>1685.3000000000002</v>
      </c>
      <c r="R111" s="86">
        <f>D111+F111+H111</f>
        <v>96.3</v>
      </c>
    </row>
    <row r="112" spans="1:16" ht="15.75">
      <c r="A112" s="128" t="s">
        <v>110</v>
      </c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</row>
    <row r="113" spans="1:16" ht="25.5">
      <c r="A113" s="19" t="s">
        <v>108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ht="39">
      <c r="A114" s="57" t="s">
        <v>111</v>
      </c>
      <c r="B114" s="43">
        <f>C114+D114+E114+F114+G114+H114</f>
        <v>5884.5</v>
      </c>
      <c r="C114" s="10">
        <f>'додаток 1 2019'!C114+'додаток 1 2020'!C114+'додаток 1 2021  '!C112</f>
        <v>5850</v>
      </c>
      <c r="D114" s="10">
        <f>'додаток 1 2019'!D114+'додаток 1 2020'!D114+'додаток 1 2021  '!D112</f>
        <v>34.5</v>
      </c>
      <c r="E114" s="10">
        <f>'додаток 1 2019'!E114+'додаток 1 2020'!E114+'додаток 1 2021  '!E112</f>
        <v>0</v>
      </c>
      <c r="F114" s="10">
        <f>'додаток 1 2019'!F114+'додаток 1 2020'!F114+'додаток 1 2021  '!F112</f>
        <v>0</v>
      </c>
      <c r="G114" s="10">
        <f>'додаток 1 2019'!G114+'додаток 1 2020'!G114+'додаток 1 2021  '!G112</f>
        <v>0</v>
      </c>
      <c r="H114" s="10">
        <f>'додаток 1 2019'!H114+'додаток 1 2020'!H114+'додаток 1 2021  '!H112</f>
        <v>0</v>
      </c>
      <c r="I114" s="43">
        <f>J114+K114+L114+M114+N114+O114</f>
        <v>5109</v>
      </c>
      <c r="J114" s="10">
        <f>'додаток 1 2019'!J114+'додаток 1 2020'!J114+'додаток 1 2021  '!J112</f>
        <v>5102.5</v>
      </c>
      <c r="K114" s="10">
        <f>'додаток 1 2019'!K114+'додаток 1 2020'!K114+'додаток 1 2021  '!K112</f>
        <v>6.5</v>
      </c>
      <c r="L114" s="10">
        <f>'додаток 1 2019'!L114+'додаток 1 2020'!L114+'додаток 1 2021  '!L112</f>
        <v>0</v>
      </c>
      <c r="M114" s="10">
        <f>'додаток 1 2019'!M114+'додаток 1 2020'!M114+'додаток 1 2021  '!M112</f>
        <v>0</v>
      </c>
      <c r="N114" s="10">
        <f>'додаток 1 2019'!N114+'додаток 1 2020'!N114+'додаток 1 2021  '!N112</f>
        <v>0</v>
      </c>
      <c r="O114" s="10">
        <f>'додаток 1 2019'!O114+'додаток 1 2020'!O114+'додаток 1 2021  '!O112</f>
        <v>0</v>
      </c>
      <c r="P114" s="44"/>
    </row>
    <row r="115" spans="1:16" ht="15">
      <c r="A115" s="25" t="s">
        <v>21</v>
      </c>
      <c r="B115" s="27">
        <f aca="true" t="shared" si="15" ref="B115:O115">SUM(B114:B114)</f>
        <v>5884.5</v>
      </c>
      <c r="C115" s="27">
        <f t="shared" si="15"/>
        <v>5850</v>
      </c>
      <c r="D115" s="27">
        <f t="shared" si="15"/>
        <v>34.5</v>
      </c>
      <c r="E115" s="27">
        <f t="shared" si="15"/>
        <v>0</v>
      </c>
      <c r="F115" s="27">
        <f t="shared" si="15"/>
        <v>0</v>
      </c>
      <c r="G115" s="27">
        <f t="shared" si="15"/>
        <v>0</v>
      </c>
      <c r="H115" s="27">
        <f t="shared" si="15"/>
        <v>0</v>
      </c>
      <c r="I115" s="27">
        <f t="shared" si="15"/>
        <v>5109</v>
      </c>
      <c r="J115" s="27">
        <f t="shared" si="15"/>
        <v>5102.5</v>
      </c>
      <c r="K115" s="27">
        <f t="shared" si="15"/>
        <v>6.5</v>
      </c>
      <c r="L115" s="27">
        <f t="shared" si="15"/>
        <v>0</v>
      </c>
      <c r="M115" s="27">
        <f t="shared" si="15"/>
        <v>0</v>
      </c>
      <c r="N115" s="27">
        <f t="shared" si="15"/>
        <v>0</v>
      </c>
      <c r="O115" s="27">
        <f t="shared" si="15"/>
        <v>0</v>
      </c>
      <c r="P115" s="36">
        <f>I115/B115*100</f>
        <v>86.82131022176905</v>
      </c>
    </row>
    <row r="116" spans="1:16" ht="15.75">
      <c r="A116" s="128" t="s">
        <v>112</v>
      </c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1:16" ht="51.75" customHeight="1">
      <c r="A117" s="18" t="s">
        <v>113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 ht="26.25">
      <c r="A118" s="6" t="s">
        <v>114</v>
      </c>
      <c r="B118" s="41">
        <f>C118+D118+E118+F118+G118+H118</f>
        <v>245</v>
      </c>
      <c r="C118" s="10">
        <f>'додаток 1 2019'!C118+'додаток 1 2020'!C118+'додаток 1 2021  '!C116</f>
        <v>245</v>
      </c>
      <c r="D118" s="10">
        <f>'додаток 1 2019'!D118+'додаток 1 2020'!D118+'додаток 1 2021  '!D116</f>
        <v>0</v>
      </c>
      <c r="E118" s="10">
        <f>'додаток 1 2019'!E118+'додаток 1 2020'!E118+'додаток 1 2021  '!E116</f>
        <v>0</v>
      </c>
      <c r="F118" s="10">
        <f>'додаток 1 2019'!F118+'додаток 1 2020'!F118+'додаток 1 2021  '!F116</f>
        <v>0</v>
      </c>
      <c r="G118" s="10">
        <f>'додаток 1 2019'!G118+'додаток 1 2020'!G118+'додаток 1 2021  '!G116</f>
        <v>0</v>
      </c>
      <c r="H118" s="10">
        <f>'додаток 1 2019'!H118+'додаток 1 2020'!H118+'додаток 1 2021  '!H116</f>
        <v>0</v>
      </c>
      <c r="I118" s="43">
        <f>J118+K118+L118+M118+N118+O118</f>
        <v>234.2</v>
      </c>
      <c r="J118" s="10">
        <f>'додаток 1 2019'!J118+'додаток 1 2020'!J118+'додаток 1 2021  '!J116</f>
        <v>234.2</v>
      </c>
      <c r="K118" s="10">
        <f>'додаток 1 2019'!K118+'додаток 1 2020'!K118+'додаток 1 2021  '!K116</f>
        <v>0</v>
      </c>
      <c r="L118" s="10">
        <f>'додаток 1 2019'!L118+'додаток 1 2020'!L118+'додаток 1 2021  '!L116</f>
        <v>0</v>
      </c>
      <c r="M118" s="10">
        <f>'додаток 1 2019'!M118+'додаток 1 2020'!M118+'додаток 1 2021  '!M116</f>
        <v>0</v>
      </c>
      <c r="N118" s="10">
        <f>'додаток 1 2019'!N118+'додаток 1 2020'!N118+'додаток 1 2021  '!N116</f>
        <v>0</v>
      </c>
      <c r="O118" s="10">
        <f>'додаток 1 2019'!O118+'додаток 1 2020'!O118+'додаток 1 2021  '!O116</f>
        <v>0</v>
      </c>
      <c r="P118" s="45"/>
    </row>
    <row r="119" spans="1:16" ht="23.25" customHeight="1">
      <c r="A119" s="49" t="s">
        <v>16</v>
      </c>
      <c r="B119" s="41">
        <f>C119+D119+E119+F119+G119+H119</f>
        <v>65.8</v>
      </c>
      <c r="C119" s="10">
        <f>'додаток 1 2019'!C119+'додаток 1 2020'!C119+'додаток 1 2021  '!C117</f>
        <v>65.8</v>
      </c>
      <c r="D119" s="10">
        <f>'додаток 1 2019'!D119+'додаток 1 2020'!D119+'додаток 1 2021  '!D117</f>
        <v>0</v>
      </c>
      <c r="E119" s="10">
        <f>'додаток 1 2019'!E119+'додаток 1 2020'!E119+'додаток 1 2021  '!E117</f>
        <v>0</v>
      </c>
      <c r="F119" s="10">
        <f>'додаток 1 2019'!F119+'додаток 1 2020'!F119+'додаток 1 2021  '!F117</f>
        <v>0</v>
      </c>
      <c r="G119" s="10">
        <f>'додаток 1 2019'!G119+'додаток 1 2020'!G119+'додаток 1 2021  '!G117</f>
        <v>0</v>
      </c>
      <c r="H119" s="10">
        <f>'додаток 1 2019'!H119+'додаток 1 2020'!H119+'додаток 1 2021  '!H117</f>
        <v>0</v>
      </c>
      <c r="I119" s="41">
        <f>J119+K119+L119+M119+N119+O119</f>
        <v>65.3</v>
      </c>
      <c r="J119" s="10">
        <f>'додаток 1 2019'!J119+'додаток 1 2020'!J119+'додаток 1 2021  '!J117</f>
        <v>65.3</v>
      </c>
      <c r="K119" s="10">
        <f>'додаток 1 2019'!K119+'додаток 1 2020'!K119+'додаток 1 2021  '!K117</f>
        <v>0</v>
      </c>
      <c r="L119" s="10">
        <f>'додаток 1 2019'!L119+'додаток 1 2020'!L119+'додаток 1 2021  '!L117</f>
        <v>0</v>
      </c>
      <c r="M119" s="10">
        <f>'додаток 1 2019'!M119+'додаток 1 2020'!M119+'додаток 1 2021  '!M117</f>
        <v>0</v>
      </c>
      <c r="N119" s="10">
        <f>'додаток 1 2019'!N119+'додаток 1 2020'!N119+'додаток 1 2021  '!N117</f>
        <v>0</v>
      </c>
      <c r="O119" s="10">
        <f>'додаток 1 2019'!O119+'додаток 1 2020'!O119+'додаток 1 2021  '!O117</f>
        <v>0</v>
      </c>
      <c r="P119" s="45"/>
    </row>
    <row r="120" spans="1:16" ht="15">
      <c r="A120" s="25" t="s">
        <v>22</v>
      </c>
      <c r="B120" s="27">
        <f aca="true" t="shared" si="16" ref="B120:O120">SUM(B117:B119)</f>
        <v>310.8</v>
      </c>
      <c r="C120" s="27">
        <f t="shared" si="16"/>
        <v>310.8</v>
      </c>
      <c r="D120" s="27">
        <f t="shared" si="16"/>
        <v>0</v>
      </c>
      <c r="E120" s="27">
        <f t="shared" si="16"/>
        <v>0</v>
      </c>
      <c r="F120" s="27">
        <f t="shared" si="16"/>
        <v>0</v>
      </c>
      <c r="G120" s="27">
        <f t="shared" si="16"/>
        <v>0</v>
      </c>
      <c r="H120" s="27">
        <f t="shared" si="16"/>
        <v>0</v>
      </c>
      <c r="I120" s="27">
        <f t="shared" si="16"/>
        <v>299.5</v>
      </c>
      <c r="J120" s="27">
        <f t="shared" si="16"/>
        <v>299.5</v>
      </c>
      <c r="K120" s="27">
        <f t="shared" si="16"/>
        <v>0</v>
      </c>
      <c r="L120" s="27">
        <f t="shared" si="16"/>
        <v>0</v>
      </c>
      <c r="M120" s="27">
        <f t="shared" si="16"/>
        <v>0</v>
      </c>
      <c r="N120" s="27">
        <f t="shared" si="16"/>
        <v>0</v>
      </c>
      <c r="O120" s="27">
        <f t="shared" si="16"/>
        <v>0</v>
      </c>
      <c r="P120" s="36">
        <f>I120/B120*100</f>
        <v>96.36422136422136</v>
      </c>
    </row>
    <row r="121" spans="1:16" ht="15.75">
      <c r="A121" s="128" t="s">
        <v>115</v>
      </c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</row>
    <row r="122" spans="1:16" ht="26.25">
      <c r="A122" s="15" t="s">
        <v>116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 ht="26.25">
      <c r="A123" s="6" t="s">
        <v>117</v>
      </c>
      <c r="B123" s="13">
        <f aca="true" t="shared" si="17" ref="B123:B128">C123+D123+E123+F123+G123+H123</f>
        <v>9095.3</v>
      </c>
      <c r="C123" s="10">
        <f>'додаток 1 2019'!C123+'додаток 1 2020'!C123+'додаток 1 2021  '!C121</f>
        <v>9095.3</v>
      </c>
      <c r="D123" s="10">
        <f>'додаток 1 2019'!D123+'додаток 1 2020'!D123+'додаток 1 2021  '!D121</f>
        <v>0</v>
      </c>
      <c r="E123" s="10">
        <f>'додаток 1 2019'!E123+'додаток 1 2020'!E123+'додаток 1 2021  '!E121</f>
        <v>0</v>
      </c>
      <c r="F123" s="10">
        <f>'додаток 1 2019'!F123+'додаток 1 2020'!F123+'додаток 1 2021  '!F121</f>
        <v>0</v>
      </c>
      <c r="G123" s="10">
        <f>'додаток 1 2019'!G123+'додаток 1 2020'!G123+'додаток 1 2021  '!G121</f>
        <v>0</v>
      </c>
      <c r="H123" s="10">
        <f>'додаток 1 2019'!H123+'додаток 1 2020'!H123+'додаток 1 2021  '!H121</f>
        <v>0</v>
      </c>
      <c r="I123" s="13">
        <f aca="true" t="shared" si="18" ref="I123:I128">J123+K123+L123+M123+N123+O123</f>
        <v>8767.900000000001</v>
      </c>
      <c r="J123" s="10">
        <f>'додаток 1 2019'!J123+'додаток 1 2020'!J123+'додаток 1 2021  '!J121</f>
        <v>8767.900000000001</v>
      </c>
      <c r="K123" s="10">
        <f>'додаток 1 2019'!K123+'додаток 1 2020'!K123+'додаток 1 2021  '!K121</f>
        <v>0</v>
      </c>
      <c r="L123" s="10">
        <f>'додаток 1 2019'!L123+'додаток 1 2020'!L123+'додаток 1 2021  '!L121</f>
        <v>0</v>
      </c>
      <c r="M123" s="10">
        <f>'додаток 1 2019'!M123+'додаток 1 2020'!M123+'додаток 1 2021  '!M121</f>
        <v>0</v>
      </c>
      <c r="N123" s="10">
        <f>'додаток 1 2019'!N123+'додаток 1 2020'!N123+'додаток 1 2021  '!N121</f>
        <v>0</v>
      </c>
      <c r="O123" s="10">
        <f>'додаток 1 2019'!O123+'додаток 1 2020'!O123+'додаток 1 2021  '!O121</f>
        <v>0</v>
      </c>
      <c r="P123" s="3"/>
    </row>
    <row r="124" spans="1:16" ht="30.75" customHeight="1">
      <c r="A124" s="9" t="s">
        <v>118</v>
      </c>
      <c r="B124" s="13">
        <f t="shared" si="17"/>
        <v>2841.3</v>
      </c>
      <c r="C124" s="10">
        <f>'додаток 1 2019'!C124+'додаток 1 2020'!C124+'додаток 1 2021  '!C122</f>
        <v>2716.3</v>
      </c>
      <c r="D124" s="10">
        <f>'додаток 1 2019'!D124+'додаток 1 2020'!D124+'додаток 1 2021  '!D122</f>
        <v>100</v>
      </c>
      <c r="E124" s="10">
        <f>'додаток 1 2019'!E124+'додаток 1 2020'!E124+'додаток 1 2021  '!E122</f>
        <v>25</v>
      </c>
      <c r="F124" s="10">
        <f>'додаток 1 2019'!F124+'додаток 1 2020'!F124+'додаток 1 2021  '!F122</f>
        <v>0</v>
      </c>
      <c r="G124" s="10">
        <f>'додаток 1 2019'!G124+'додаток 1 2020'!G124+'додаток 1 2021  '!G122</f>
        <v>0</v>
      </c>
      <c r="H124" s="10">
        <f>'додаток 1 2019'!H124+'додаток 1 2020'!H124+'додаток 1 2021  '!H122</f>
        <v>0</v>
      </c>
      <c r="I124" s="13">
        <f t="shared" si="18"/>
        <v>2254.7</v>
      </c>
      <c r="J124" s="10">
        <f>'додаток 1 2019'!J124+'додаток 1 2020'!J124+'додаток 1 2021  '!J122</f>
        <v>2051.5</v>
      </c>
      <c r="K124" s="10">
        <f>'додаток 1 2019'!K124+'додаток 1 2020'!K124+'додаток 1 2021  '!K122</f>
        <v>178.2</v>
      </c>
      <c r="L124" s="10">
        <f>'додаток 1 2019'!L124+'додаток 1 2020'!L124+'додаток 1 2021  '!L122</f>
        <v>25</v>
      </c>
      <c r="M124" s="10">
        <f>'додаток 1 2019'!M124+'додаток 1 2020'!M124+'додаток 1 2021  '!M122</f>
        <v>0</v>
      </c>
      <c r="N124" s="10">
        <f>'додаток 1 2019'!N124+'додаток 1 2020'!N124+'додаток 1 2021  '!N122</f>
        <v>0</v>
      </c>
      <c r="O124" s="10">
        <f>'додаток 1 2019'!O124+'додаток 1 2020'!O124+'додаток 1 2021  '!O122</f>
        <v>0</v>
      </c>
      <c r="P124" s="3"/>
    </row>
    <row r="125" spans="1:16" ht="26.25">
      <c r="A125" s="9" t="s">
        <v>119</v>
      </c>
      <c r="B125" s="13">
        <f t="shared" si="17"/>
        <v>204.3</v>
      </c>
      <c r="C125" s="10">
        <f>'додаток 1 2019'!C125+'додаток 1 2020'!C125+'додаток 1 2021  '!C123</f>
        <v>204.3</v>
      </c>
      <c r="D125" s="10">
        <f>'додаток 1 2019'!D125+'додаток 1 2020'!D125+'додаток 1 2021  '!D123</f>
        <v>0</v>
      </c>
      <c r="E125" s="10">
        <f>'додаток 1 2019'!E125+'додаток 1 2020'!E125+'додаток 1 2021  '!E123</f>
        <v>0</v>
      </c>
      <c r="F125" s="10">
        <f>'додаток 1 2019'!F125+'додаток 1 2020'!F125+'додаток 1 2021  '!F123</f>
        <v>0</v>
      </c>
      <c r="G125" s="10">
        <f>'додаток 1 2019'!G125+'додаток 1 2020'!G125+'додаток 1 2021  '!G123</f>
        <v>0</v>
      </c>
      <c r="H125" s="10">
        <f>'додаток 1 2019'!H125+'додаток 1 2020'!H125+'додаток 1 2021  '!H123</f>
        <v>0</v>
      </c>
      <c r="I125" s="13">
        <f t="shared" si="18"/>
        <v>204.3</v>
      </c>
      <c r="J125" s="10">
        <f>'додаток 1 2019'!J125+'додаток 1 2020'!J125+'додаток 1 2021  '!J123</f>
        <v>204.3</v>
      </c>
      <c r="K125" s="10">
        <f>'додаток 1 2019'!K125+'додаток 1 2020'!K125+'додаток 1 2021  '!K123</f>
        <v>0</v>
      </c>
      <c r="L125" s="10">
        <f>'додаток 1 2019'!L125+'додаток 1 2020'!L125+'додаток 1 2021  '!L123</f>
        <v>0</v>
      </c>
      <c r="M125" s="10">
        <f>'додаток 1 2019'!M125+'додаток 1 2020'!M125+'додаток 1 2021  '!M123</f>
        <v>0</v>
      </c>
      <c r="N125" s="10">
        <f>'додаток 1 2019'!N125+'додаток 1 2020'!N125+'додаток 1 2021  '!N123</f>
        <v>0</v>
      </c>
      <c r="O125" s="10">
        <f>'додаток 1 2019'!O125+'додаток 1 2020'!O125+'додаток 1 2021  '!O123</f>
        <v>0</v>
      </c>
      <c r="P125" s="3"/>
    </row>
    <row r="126" spans="1:16" ht="26.25">
      <c r="A126" s="9" t="s">
        <v>120</v>
      </c>
      <c r="B126" s="13">
        <f t="shared" si="17"/>
        <v>595.1</v>
      </c>
      <c r="C126" s="10">
        <f>'додаток 1 2019'!C126+'додаток 1 2020'!C126+'додаток 1 2021  '!C124</f>
        <v>0</v>
      </c>
      <c r="D126" s="10">
        <f>'додаток 1 2019'!D126+'додаток 1 2020'!D126+'додаток 1 2021  '!D124</f>
        <v>595.1</v>
      </c>
      <c r="E126" s="10">
        <f>'додаток 1 2019'!E126+'додаток 1 2020'!E126+'додаток 1 2021  '!E124</f>
        <v>0</v>
      </c>
      <c r="F126" s="10">
        <f>'додаток 1 2019'!F126+'додаток 1 2020'!F126+'додаток 1 2021  '!F124</f>
        <v>0</v>
      </c>
      <c r="G126" s="10">
        <f>'додаток 1 2019'!G126+'додаток 1 2020'!G126+'додаток 1 2021  '!G124</f>
        <v>0</v>
      </c>
      <c r="H126" s="10">
        <f>'додаток 1 2019'!H126+'додаток 1 2020'!H126+'додаток 1 2021  '!H124</f>
        <v>0</v>
      </c>
      <c r="I126" s="13">
        <f t="shared" si="18"/>
        <v>139.6</v>
      </c>
      <c r="J126" s="10">
        <f>'додаток 1 2019'!J126+'додаток 1 2020'!J126+'додаток 1 2021  '!J124</f>
        <v>0</v>
      </c>
      <c r="K126" s="10">
        <f>'додаток 1 2019'!K126+'додаток 1 2020'!K126+'додаток 1 2021  '!K124</f>
        <v>139.6</v>
      </c>
      <c r="L126" s="10">
        <f>'додаток 1 2019'!L126+'додаток 1 2020'!L126+'додаток 1 2021  '!L124</f>
        <v>0</v>
      </c>
      <c r="M126" s="10">
        <f>'додаток 1 2019'!M126+'додаток 1 2020'!M126+'додаток 1 2021  '!M124</f>
        <v>0</v>
      </c>
      <c r="N126" s="10">
        <f>'додаток 1 2019'!N126+'додаток 1 2020'!N126+'додаток 1 2021  '!N124</f>
        <v>0</v>
      </c>
      <c r="O126" s="10">
        <f>'додаток 1 2019'!O126+'додаток 1 2020'!O126+'додаток 1 2021  '!O124</f>
        <v>0</v>
      </c>
      <c r="P126" s="3"/>
    </row>
    <row r="127" spans="1:16" ht="30.75" customHeight="1">
      <c r="A127" s="7" t="s">
        <v>121</v>
      </c>
      <c r="B127" s="13">
        <f t="shared" si="17"/>
        <v>200</v>
      </c>
      <c r="C127" s="10">
        <f>'додаток 1 2019'!C127+'додаток 1 2020'!C127+'додаток 1 2021  '!C125</f>
        <v>0</v>
      </c>
      <c r="D127" s="10">
        <f>'додаток 1 2019'!D127+'додаток 1 2020'!D127+'додаток 1 2021  '!D125</f>
        <v>200</v>
      </c>
      <c r="E127" s="10">
        <f>'додаток 1 2019'!E127+'додаток 1 2020'!E127+'додаток 1 2021  '!E125</f>
        <v>0</v>
      </c>
      <c r="F127" s="10">
        <f>'додаток 1 2019'!F127+'додаток 1 2020'!F127+'додаток 1 2021  '!F125</f>
        <v>0</v>
      </c>
      <c r="G127" s="10">
        <f>'додаток 1 2019'!G127+'додаток 1 2020'!G127+'додаток 1 2021  '!G125</f>
        <v>0</v>
      </c>
      <c r="H127" s="10">
        <f>'додаток 1 2019'!H127+'додаток 1 2020'!H127+'додаток 1 2021  '!H125</f>
        <v>0</v>
      </c>
      <c r="I127" s="13">
        <f t="shared" si="18"/>
        <v>99</v>
      </c>
      <c r="J127" s="10">
        <f>'додаток 1 2019'!J127+'додаток 1 2020'!J127+'додаток 1 2021  '!J125</f>
        <v>0</v>
      </c>
      <c r="K127" s="10">
        <f>'додаток 1 2019'!K127+'додаток 1 2020'!K127+'додаток 1 2021  '!K125</f>
        <v>99</v>
      </c>
      <c r="L127" s="10">
        <f>'додаток 1 2019'!L127+'додаток 1 2020'!L127+'додаток 1 2021  '!L125</f>
        <v>0</v>
      </c>
      <c r="M127" s="10">
        <f>'додаток 1 2019'!M127+'додаток 1 2020'!M127+'додаток 1 2021  '!M125</f>
        <v>0</v>
      </c>
      <c r="N127" s="10">
        <f>'додаток 1 2019'!N127+'додаток 1 2020'!N127+'додаток 1 2021  '!N125</f>
        <v>0</v>
      </c>
      <c r="O127" s="10">
        <f>'додаток 1 2019'!O127+'додаток 1 2020'!O127+'додаток 1 2021  '!O125</f>
        <v>0</v>
      </c>
      <c r="P127" s="3"/>
    </row>
    <row r="128" spans="1:16" ht="26.25">
      <c r="A128" s="6" t="s">
        <v>122</v>
      </c>
      <c r="B128" s="13">
        <f t="shared" si="17"/>
        <v>200</v>
      </c>
      <c r="C128" s="10">
        <f>'додаток 1 2019'!C128+'додаток 1 2020'!C128+'додаток 1 2021  '!C126</f>
        <v>0</v>
      </c>
      <c r="D128" s="10">
        <f>'додаток 1 2019'!D128+'додаток 1 2020'!D128+'додаток 1 2021  '!D126</f>
        <v>200</v>
      </c>
      <c r="E128" s="10">
        <f>'додаток 1 2019'!E128+'додаток 1 2020'!E128+'додаток 1 2021  '!E126</f>
        <v>0</v>
      </c>
      <c r="F128" s="10">
        <f>'додаток 1 2019'!F128+'додаток 1 2020'!F128+'додаток 1 2021  '!F126</f>
        <v>0</v>
      </c>
      <c r="G128" s="10">
        <f>'додаток 1 2019'!G128+'додаток 1 2020'!G128+'додаток 1 2021  '!G126</f>
        <v>0</v>
      </c>
      <c r="H128" s="10">
        <f>'додаток 1 2019'!H128+'додаток 1 2020'!H128+'додаток 1 2021  '!H126</f>
        <v>0</v>
      </c>
      <c r="I128" s="13">
        <f t="shared" si="18"/>
        <v>0</v>
      </c>
      <c r="J128" s="10">
        <f>'додаток 1 2019'!J128+'додаток 1 2020'!J128+'додаток 1 2021  '!J126</f>
        <v>0</v>
      </c>
      <c r="K128" s="10">
        <f>'додаток 1 2019'!K128+'додаток 1 2020'!K128+'додаток 1 2021  '!K126</f>
        <v>0</v>
      </c>
      <c r="L128" s="10">
        <f>'додаток 1 2019'!L128+'додаток 1 2020'!L128+'додаток 1 2021  '!L126</f>
        <v>0</v>
      </c>
      <c r="M128" s="10">
        <f>'додаток 1 2019'!M128+'додаток 1 2020'!M128+'додаток 1 2021  '!M126</f>
        <v>0</v>
      </c>
      <c r="N128" s="10">
        <f>'додаток 1 2019'!N128+'додаток 1 2020'!N128+'додаток 1 2021  '!N126</f>
        <v>0</v>
      </c>
      <c r="O128" s="10">
        <f>'додаток 1 2019'!O128+'додаток 1 2020'!O128+'додаток 1 2021  '!O126</f>
        <v>0</v>
      </c>
      <c r="P128" s="3"/>
    </row>
    <row r="129" spans="1:16" ht="15">
      <c r="A129" s="15" t="s">
        <v>123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6" ht="26.25">
      <c r="A130" s="56" t="s">
        <v>124</v>
      </c>
      <c r="B130" s="100">
        <f>C130+D130+E130+F130+G130+H130</f>
        <v>4934.6</v>
      </c>
      <c r="C130" s="10">
        <f>'додаток 1 2019'!C130+'додаток 1 2020'!C130+'додаток 1 2021  '!C128</f>
        <v>4934.6</v>
      </c>
      <c r="D130" s="10">
        <f>'додаток 1 2019'!D130+'додаток 1 2020'!D130+'додаток 1 2021  '!D128</f>
        <v>0</v>
      </c>
      <c r="E130" s="10">
        <f>'додаток 1 2019'!E130+'додаток 1 2020'!E130+'додаток 1 2021  '!E128</f>
        <v>0</v>
      </c>
      <c r="F130" s="10">
        <f>'додаток 1 2019'!F130+'додаток 1 2020'!F130+'додаток 1 2021  '!F128</f>
        <v>0</v>
      </c>
      <c r="G130" s="10">
        <f>'додаток 1 2019'!G130+'додаток 1 2020'!G130+'додаток 1 2021  '!G128</f>
        <v>0</v>
      </c>
      <c r="H130" s="10">
        <f>'додаток 1 2019'!H130+'додаток 1 2020'!H130+'додаток 1 2021  '!H128</f>
        <v>0</v>
      </c>
      <c r="I130" s="13">
        <f>J130+K130+L130+M130+N130+O130</f>
        <v>4811.5</v>
      </c>
      <c r="J130" s="10">
        <f>'додаток 1 2019'!J130+'додаток 1 2020'!J130+'додаток 1 2021  '!J128</f>
        <v>4811.5</v>
      </c>
      <c r="K130" s="10">
        <f>'додаток 1 2019'!K130+'додаток 1 2020'!K130+'додаток 1 2021  '!K128</f>
        <v>0</v>
      </c>
      <c r="L130" s="10">
        <f>'додаток 1 2019'!L130+'додаток 1 2020'!L130+'додаток 1 2021  '!L128</f>
        <v>0</v>
      </c>
      <c r="M130" s="10">
        <f>'додаток 1 2019'!M130+'додаток 1 2020'!M130+'додаток 1 2021  '!M128</f>
        <v>0</v>
      </c>
      <c r="N130" s="10">
        <f>'додаток 1 2019'!N130+'додаток 1 2020'!N130+'додаток 1 2021  '!N128</f>
        <v>0</v>
      </c>
      <c r="O130" s="10">
        <f>'додаток 1 2019'!O130+'додаток 1 2020'!O130+'додаток 1 2021  '!O128</f>
        <v>0</v>
      </c>
      <c r="P130" s="3"/>
    </row>
    <row r="131" spans="1:16" ht="26.25">
      <c r="A131" s="22" t="s">
        <v>167</v>
      </c>
      <c r="B131" s="11"/>
      <c r="C131" s="16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7"/>
    </row>
    <row r="132" spans="1:16" ht="26.25">
      <c r="A132" s="9" t="s">
        <v>168</v>
      </c>
      <c r="B132" s="100">
        <f>C132+D132+E132+F132+G132+H132</f>
        <v>2955.4</v>
      </c>
      <c r="C132" s="10">
        <f>'додаток 1 2019'!C132+'додаток 1 2020'!C132+'додаток 1 2021  '!C130</f>
        <v>2905.4</v>
      </c>
      <c r="D132" s="10">
        <f>'додаток 1 2019'!D132+'додаток 1 2020'!D132+'додаток 1 2021  '!D130</f>
        <v>50</v>
      </c>
      <c r="E132" s="10">
        <f>'додаток 1 2019'!E132+'додаток 1 2020'!E132+'додаток 1 2021  '!E130</f>
        <v>0</v>
      </c>
      <c r="F132" s="10">
        <f>'додаток 1 2019'!F132+'додаток 1 2020'!F132+'додаток 1 2021  '!F130</f>
        <v>0</v>
      </c>
      <c r="G132" s="10">
        <f>'додаток 1 2019'!G132+'додаток 1 2020'!G132+'додаток 1 2021  '!G130</f>
        <v>0</v>
      </c>
      <c r="H132" s="10">
        <f>'додаток 1 2019'!H132+'додаток 1 2020'!H132+'додаток 1 2021  '!H130</f>
        <v>0</v>
      </c>
      <c r="I132" s="13">
        <f>J132+K132+L132+M132+N132+O132</f>
        <v>3080.2</v>
      </c>
      <c r="J132" s="10">
        <f>'додаток 1 2019'!J132+'додаток 1 2020'!J132+'додаток 1 2021  '!J130</f>
        <v>3024.8999999999996</v>
      </c>
      <c r="K132" s="10">
        <f>'додаток 1 2019'!K132+'додаток 1 2020'!K132+'додаток 1 2021  '!K130</f>
        <v>55.3</v>
      </c>
      <c r="L132" s="10">
        <f>'додаток 1 2019'!L132+'додаток 1 2020'!L132+'додаток 1 2021  '!L130</f>
        <v>0</v>
      </c>
      <c r="M132" s="10">
        <f>'додаток 1 2019'!M132+'додаток 1 2020'!M132+'додаток 1 2021  '!M130</f>
        <v>0</v>
      </c>
      <c r="N132" s="10">
        <f>'додаток 1 2019'!N132+'додаток 1 2020'!N132+'додаток 1 2021  '!N130</f>
        <v>0</v>
      </c>
      <c r="O132" s="10">
        <f>'додаток 1 2019'!O132+'додаток 1 2020'!O132+'додаток 1 2021  '!O130</f>
        <v>0</v>
      </c>
      <c r="P132" s="3"/>
    </row>
    <row r="133" spans="1:16" ht="15">
      <c r="A133" s="25" t="s">
        <v>23</v>
      </c>
      <c r="B133" s="26">
        <f>SUM(B122:B132)</f>
        <v>21026</v>
      </c>
      <c r="C133" s="26">
        <f>SUM(C122:C132)</f>
        <v>19855.9</v>
      </c>
      <c r="D133" s="26">
        <f aca="true" t="shared" si="19" ref="D133:O133">SUM(D122:D132)</f>
        <v>1145.1</v>
      </c>
      <c r="E133" s="26">
        <f t="shared" si="19"/>
        <v>25</v>
      </c>
      <c r="F133" s="26">
        <f t="shared" si="19"/>
        <v>0</v>
      </c>
      <c r="G133" s="26">
        <f t="shared" si="19"/>
        <v>0</v>
      </c>
      <c r="H133" s="26">
        <f t="shared" si="19"/>
        <v>0</v>
      </c>
      <c r="I133" s="26">
        <f t="shared" si="19"/>
        <v>19357.2</v>
      </c>
      <c r="J133" s="26">
        <f t="shared" si="19"/>
        <v>18860.1</v>
      </c>
      <c r="K133" s="26">
        <f t="shared" si="19"/>
        <v>472.09999999999997</v>
      </c>
      <c r="L133" s="26">
        <f t="shared" si="19"/>
        <v>25</v>
      </c>
      <c r="M133" s="26">
        <f t="shared" si="19"/>
        <v>0</v>
      </c>
      <c r="N133" s="26">
        <f t="shared" si="19"/>
        <v>0</v>
      </c>
      <c r="O133" s="26">
        <f t="shared" si="19"/>
        <v>0</v>
      </c>
      <c r="P133" s="36">
        <f>I133/B133*100</f>
        <v>92.06315989727005</v>
      </c>
    </row>
    <row r="134" spans="1:16" ht="15.75">
      <c r="A134" s="128" t="s">
        <v>24</v>
      </c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</row>
    <row r="135" spans="1:16" ht="64.5">
      <c r="A135" s="22" t="s">
        <v>25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1:16" ht="25.5">
      <c r="A136" s="7" t="s">
        <v>26</v>
      </c>
      <c r="B136" s="13">
        <f>C136+D136+E136+F136+G136+H136</f>
        <v>1033.3</v>
      </c>
      <c r="C136" s="10">
        <f>'додаток 1 2019'!C136+'додаток 1 2020'!C136+'додаток 1 2021  '!C134</f>
        <v>1033.3</v>
      </c>
      <c r="D136" s="10">
        <f>'додаток 1 2019'!D136+'додаток 1 2020'!D136+'додаток 1 2021  '!D134</f>
        <v>0</v>
      </c>
      <c r="E136" s="10">
        <f>'додаток 1 2019'!E136+'додаток 1 2020'!E136+'додаток 1 2021  '!E134</f>
        <v>0</v>
      </c>
      <c r="F136" s="10">
        <f>'додаток 1 2019'!F136+'додаток 1 2020'!F136+'додаток 1 2021  '!F134</f>
        <v>0</v>
      </c>
      <c r="G136" s="10">
        <f>'додаток 1 2019'!G136+'додаток 1 2020'!G136+'додаток 1 2021  '!G134</f>
        <v>0</v>
      </c>
      <c r="H136" s="10">
        <f>'додаток 1 2019'!H136+'додаток 1 2020'!H136+'додаток 1 2021  '!H134</f>
        <v>0</v>
      </c>
      <c r="I136" s="13">
        <f>J136+K136+L136+M136+N136+O136</f>
        <v>810.97</v>
      </c>
      <c r="J136" s="10">
        <f>'додаток 1 2019'!J136+'додаток 1 2020'!J136+'додаток 1 2021  '!J134</f>
        <v>810.97</v>
      </c>
      <c r="K136" s="10">
        <f>'додаток 1 2019'!K136+'додаток 1 2020'!K136+'додаток 1 2021  '!K134</f>
        <v>0</v>
      </c>
      <c r="L136" s="10">
        <f>'додаток 1 2019'!L136+'додаток 1 2020'!L136+'додаток 1 2021  '!L134</f>
        <v>0</v>
      </c>
      <c r="M136" s="10">
        <f>'додаток 1 2019'!M136+'додаток 1 2020'!M136+'додаток 1 2021  '!M134</f>
        <v>0</v>
      </c>
      <c r="N136" s="10">
        <f>'додаток 1 2019'!N136+'додаток 1 2020'!N136+'додаток 1 2021  '!N134</f>
        <v>0</v>
      </c>
      <c r="O136" s="10">
        <f>'додаток 1 2019'!O136+'додаток 1 2020'!O136+'додаток 1 2021  '!O134</f>
        <v>0</v>
      </c>
      <c r="P136" s="3"/>
    </row>
    <row r="137" spans="1:16" ht="38.25">
      <c r="A137" s="23" t="s">
        <v>27</v>
      </c>
      <c r="B137" s="13">
        <f>C137+D137+E137+F137+G137+H137</f>
        <v>773.4</v>
      </c>
      <c r="C137" s="10">
        <f>'додаток 1 2019'!C137+'додаток 1 2020'!C137+'додаток 1 2021  '!C135</f>
        <v>773.4</v>
      </c>
      <c r="D137" s="10">
        <f>'додаток 1 2019'!D137+'додаток 1 2020'!D137+'додаток 1 2021  '!D135</f>
        <v>0</v>
      </c>
      <c r="E137" s="10">
        <f>'додаток 1 2019'!E137+'додаток 1 2020'!E137+'додаток 1 2021  '!E135</f>
        <v>0</v>
      </c>
      <c r="F137" s="10">
        <f>'додаток 1 2019'!F137+'додаток 1 2020'!F137+'додаток 1 2021  '!F135</f>
        <v>0</v>
      </c>
      <c r="G137" s="10">
        <f>'додаток 1 2019'!G137+'додаток 1 2020'!G137+'додаток 1 2021  '!G135</f>
        <v>0</v>
      </c>
      <c r="H137" s="10">
        <f>'додаток 1 2019'!H137+'додаток 1 2020'!H137+'додаток 1 2021  '!H135</f>
        <v>0</v>
      </c>
      <c r="I137" s="13">
        <f>J137+K137+L137+M137+N137+O137</f>
        <v>591</v>
      </c>
      <c r="J137" s="10">
        <f>'додаток 1 2019'!J137+'додаток 1 2020'!J137+'додаток 1 2021  '!J135</f>
        <v>591</v>
      </c>
      <c r="K137" s="10">
        <f>'додаток 1 2019'!K137+'додаток 1 2020'!K137+'додаток 1 2021  '!K135</f>
        <v>0</v>
      </c>
      <c r="L137" s="10">
        <f>'додаток 1 2019'!L137+'додаток 1 2020'!L137+'додаток 1 2021  '!L135</f>
        <v>0</v>
      </c>
      <c r="M137" s="10">
        <f>'додаток 1 2019'!M137+'додаток 1 2020'!M137+'додаток 1 2021  '!M135</f>
        <v>0</v>
      </c>
      <c r="N137" s="10">
        <f>'додаток 1 2019'!N137+'додаток 1 2020'!N137+'додаток 1 2021  '!N135</f>
        <v>0</v>
      </c>
      <c r="O137" s="10">
        <f>'додаток 1 2019'!O137+'додаток 1 2020'!O137+'додаток 1 2021  '!O135</f>
        <v>0</v>
      </c>
      <c r="P137" s="3"/>
    </row>
    <row r="138" spans="1:16" ht="15">
      <c r="A138" s="25" t="s">
        <v>28</v>
      </c>
      <c r="B138" s="27">
        <f>SUM(B136:B137)</f>
        <v>1806.6999999999998</v>
      </c>
      <c r="C138" s="27">
        <f aca="true" t="shared" si="20" ref="C138:O138">SUM(C136:C137)</f>
        <v>1806.6999999999998</v>
      </c>
      <c r="D138" s="27">
        <f t="shared" si="20"/>
        <v>0</v>
      </c>
      <c r="E138" s="27">
        <f t="shared" si="20"/>
        <v>0</v>
      </c>
      <c r="F138" s="27">
        <f t="shared" si="20"/>
        <v>0</v>
      </c>
      <c r="G138" s="27">
        <f t="shared" si="20"/>
        <v>0</v>
      </c>
      <c r="H138" s="27">
        <f t="shared" si="20"/>
        <v>0</v>
      </c>
      <c r="I138" s="27">
        <f t="shared" si="20"/>
        <v>1401.97</v>
      </c>
      <c r="J138" s="27">
        <f t="shared" si="20"/>
        <v>1401.97</v>
      </c>
      <c r="K138" s="27">
        <f t="shared" si="20"/>
        <v>0</v>
      </c>
      <c r="L138" s="27">
        <f t="shared" si="20"/>
        <v>0</v>
      </c>
      <c r="M138" s="27">
        <f t="shared" si="20"/>
        <v>0</v>
      </c>
      <c r="N138" s="27">
        <f t="shared" si="20"/>
        <v>0</v>
      </c>
      <c r="O138" s="27">
        <f t="shared" si="20"/>
        <v>0</v>
      </c>
      <c r="P138" s="36">
        <f>I138/B138*100</f>
        <v>77.59838379365695</v>
      </c>
    </row>
    <row r="139" spans="1:16" ht="15.75">
      <c r="A139" s="128" t="s">
        <v>126</v>
      </c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</row>
    <row r="140" spans="1:16" ht="21" customHeight="1">
      <c r="A140" s="72" t="s">
        <v>125</v>
      </c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1"/>
    </row>
    <row r="141" spans="1:16" ht="26.25">
      <c r="A141" s="9" t="s">
        <v>128</v>
      </c>
      <c r="B141" s="13">
        <f aca="true" t="shared" si="21" ref="B141:B147">C141+D141+E141+F141+G141+H141</f>
        <v>144306.8</v>
      </c>
      <c r="C141" s="10">
        <f>'додаток 1 2019'!C141+'додаток 1 2020'!C141+'додаток 1 2021  '!C139</f>
        <v>118504.8</v>
      </c>
      <c r="D141" s="10">
        <f>'додаток 1 2019'!D141+'додаток 1 2020'!D141+'додаток 1 2021  '!D139</f>
        <v>6269</v>
      </c>
      <c r="E141" s="10">
        <f>'додаток 1 2019'!E141+'додаток 1 2020'!E141+'додаток 1 2021  '!E139</f>
        <v>0</v>
      </c>
      <c r="F141" s="10">
        <f>'додаток 1 2019'!F141+'додаток 1 2020'!F141+'додаток 1 2021  '!F139</f>
        <v>0</v>
      </c>
      <c r="G141" s="10">
        <f>'додаток 1 2019'!G141+'додаток 1 2020'!G141+'додаток 1 2021  '!G139</f>
        <v>19533</v>
      </c>
      <c r="H141" s="10">
        <f>'додаток 1 2019'!H141+'додаток 1 2020'!H141+'додаток 1 2021  '!H139</f>
        <v>0</v>
      </c>
      <c r="I141" s="13">
        <f aca="true" t="shared" si="22" ref="I141:I147">J141+K141+L141+M141+N141+O141</f>
        <v>128761.4</v>
      </c>
      <c r="J141" s="10">
        <f>'додаток 1 2019'!J141+'додаток 1 2020'!J141+'додаток 1 2021  '!J139</f>
        <v>105473.4</v>
      </c>
      <c r="K141" s="10">
        <f>'додаток 1 2019'!K141+'додаток 1 2020'!K141+'додаток 1 2021  '!K139</f>
        <v>3820.5</v>
      </c>
      <c r="L141" s="10">
        <f>'додаток 1 2019'!L141+'додаток 1 2020'!L141+'додаток 1 2021  '!L139</f>
        <v>0</v>
      </c>
      <c r="M141" s="10">
        <f>'додаток 1 2019'!M141+'додаток 1 2020'!M141+'додаток 1 2021  '!M139</f>
        <v>0</v>
      </c>
      <c r="N141" s="10">
        <f>'додаток 1 2019'!N141+'додаток 1 2020'!N141+'додаток 1 2021  '!N139</f>
        <v>19467.5</v>
      </c>
      <c r="O141" s="10">
        <f>'додаток 1 2019'!O141+'додаток 1 2020'!O141+'додаток 1 2021  '!O139</f>
        <v>0</v>
      </c>
      <c r="P141" s="69"/>
    </row>
    <row r="142" spans="1:16" ht="26.25">
      <c r="A142" s="9" t="s">
        <v>129</v>
      </c>
      <c r="B142" s="13">
        <f t="shared" si="21"/>
        <v>11057.5</v>
      </c>
      <c r="C142" s="10">
        <f>'додаток 1 2019'!C142+'додаток 1 2020'!C142+'додаток 1 2021  '!C140</f>
        <v>9507.5</v>
      </c>
      <c r="D142" s="10">
        <f>'додаток 1 2019'!D142+'додаток 1 2020'!D142+'додаток 1 2021  '!D140</f>
        <v>1550</v>
      </c>
      <c r="E142" s="10">
        <f>'додаток 1 2019'!E142+'додаток 1 2020'!E142+'додаток 1 2021  '!E140</f>
        <v>0</v>
      </c>
      <c r="F142" s="10">
        <f>'додаток 1 2019'!F142+'додаток 1 2020'!F142+'додаток 1 2021  '!F140</f>
        <v>0</v>
      </c>
      <c r="G142" s="10">
        <f>'додаток 1 2019'!G142+'додаток 1 2020'!G142+'додаток 1 2021  '!G140</f>
        <v>0</v>
      </c>
      <c r="H142" s="10">
        <f>'додаток 1 2019'!H142+'додаток 1 2020'!H142+'додаток 1 2021  '!H140</f>
        <v>0</v>
      </c>
      <c r="I142" s="13">
        <f t="shared" si="22"/>
        <v>7173.299999999999</v>
      </c>
      <c r="J142" s="10">
        <f>'додаток 1 2019'!J142+'додаток 1 2020'!J142+'додаток 1 2021  '!J140</f>
        <v>6386.4</v>
      </c>
      <c r="K142" s="10">
        <f>'додаток 1 2019'!K142+'додаток 1 2020'!K142+'додаток 1 2021  '!K140</f>
        <v>786.9</v>
      </c>
      <c r="L142" s="10">
        <f>'додаток 1 2019'!L142+'додаток 1 2020'!L142+'додаток 1 2021  '!L140</f>
        <v>0</v>
      </c>
      <c r="M142" s="10">
        <f>'додаток 1 2019'!M142+'додаток 1 2020'!M142+'додаток 1 2021  '!M140</f>
        <v>0</v>
      </c>
      <c r="N142" s="10">
        <f>'додаток 1 2019'!N142+'додаток 1 2020'!N142+'додаток 1 2021  '!N140</f>
        <v>0</v>
      </c>
      <c r="O142" s="10">
        <f>'додаток 1 2019'!O142+'додаток 1 2020'!O142+'додаток 1 2021  '!O140</f>
        <v>0</v>
      </c>
      <c r="P142" s="69"/>
    </row>
    <row r="143" spans="1:16" ht="26.25">
      <c r="A143" s="9" t="s">
        <v>130</v>
      </c>
      <c r="B143" s="13">
        <f t="shared" si="21"/>
        <v>36348.5</v>
      </c>
      <c r="C143" s="10">
        <f>'додаток 1 2019'!C143+'додаток 1 2020'!C143+'додаток 1 2021  '!C141</f>
        <v>23245.1</v>
      </c>
      <c r="D143" s="10">
        <f>'додаток 1 2019'!D143+'додаток 1 2020'!D143+'додаток 1 2021  '!D141</f>
        <v>8100</v>
      </c>
      <c r="E143" s="10">
        <f>'додаток 1 2019'!E143+'додаток 1 2020'!E143+'додаток 1 2021  '!E141</f>
        <v>40</v>
      </c>
      <c r="F143" s="10">
        <f>'додаток 1 2019'!F143+'додаток 1 2020'!F143+'додаток 1 2021  '!F141</f>
        <v>0</v>
      </c>
      <c r="G143" s="10">
        <f>'додаток 1 2019'!G143+'додаток 1 2020'!G143+'додаток 1 2021  '!G141</f>
        <v>4963.4</v>
      </c>
      <c r="H143" s="10">
        <f>'додаток 1 2019'!H143+'додаток 1 2020'!H143+'додаток 1 2021  '!H141</f>
        <v>0</v>
      </c>
      <c r="I143" s="13">
        <f t="shared" si="22"/>
        <v>24534.5</v>
      </c>
      <c r="J143" s="10">
        <f>'додаток 1 2019'!J143+'додаток 1 2020'!J143+'додаток 1 2021  '!J141</f>
        <v>19387.1</v>
      </c>
      <c r="K143" s="10">
        <f>'додаток 1 2019'!K143+'додаток 1 2020'!K143+'додаток 1 2021  '!K141</f>
        <v>2071</v>
      </c>
      <c r="L143" s="10">
        <f>'додаток 1 2019'!L143+'додаток 1 2020'!L143+'додаток 1 2021  '!L141</f>
        <v>40</v>
      </c>
      <c r="M143" s="10">
        <f>'додаток 1 2019'!M143+'додаток 1 2020'!M143+'додаток 1 2021  '!M141</f>
        <v>0</v>
      </c>
      <c r="N143" s="10">
        <f>'додаток 1 2019'!N143+'додаток 1 2020'!N143+'додаток 1 2021  '!N141</f>
        <v>3036.4</v>
      </c>
      <c r="O143" s="10">
        <f>'додаток 1 2019'!O143+'додаток 1 2020'!O143+'додаток 1 2021  '!O141</f>
        <v>0</v>
      </c>
      <c r="P143" s="69"/>
    </row>
    <row r="144" spans="1:16" ht="15">
      <c r="A144" s="59" t="s">
        <v>131</v>
      </c>
      <c r="B144" s="13">
        <f t="shared" si="21"/>
        <v>26398.6</v>
      </c>
      <c r="C144" s="10">
        <f>'додаток 1 2019'!C144+'додаток 1 2020'!C144+'додаток 1 2021  '!C142</f>
        <v>26398.6</v>
      </c>
      <c r="D144" s="10">
        <f>'додаток 1 2019'!D144+'додаток 1 2020'!D144+'додаток 1 2021  '!D142</f>
        <v>0</v>
      </c>
      <c r="E144" s="10">
        <f>'додаток 1 2019'!E144+'додаток 1 2020'!E144+'додаток 1 2021  '!E142</f>
        <v>0</v>
      </c>
      <c r="F144" s="10">
        <f>'додаток 1 2019'!F144+'додаток 1 2020'!F144+'додаток 1 2021  '!F142</f>
        <v>0</v>
      </c>
      <c r="G144" s="10">
        <f>'додаток 1 2019'!G144+'додаток 1 2020'!G144+'додаток 1 2021  '!G142</f>
        <v>0</v>
      </c>
      <c r="H144" s="10">
        <f>'додаток 1 2019'!H144+'додаток 1 2020'!H144+'додаток 1 2021  '!H142</f>
        <v>0</v>
      </c>
      <c r="I144" s="13">
        <f t="shared" si="22"/>
        <v>20297.7</v>
      </c>
      <c r="J144" s="10">
        <f>'додаток 1 2019'!J144+'додаток 1 2020'!J144+'додаток 1 2021  '!J142</f>
        <v>20297.7</v>
      </c>
      <c r="K144" s="10">
        <f>'додаток 1 2019'!K144+'додаток 1 2020'!K144+'додаток 1 2021  '!K142</f>
        <v>0</v>
      </c>
      <c r="L144" s="10">
        <f>'додаток 1 2019'!L144+'додаток 1 2020'!L144+'додаток 1 2021  '!L142</f>
        <v>0</v>
      </c>
      <c r="M144" s="10">
        <f>'додаток 1 2019'!M144+'додаток 1 2020'!M144+'додаток 1 2021  '!M142</f>
        <v>0</v>
      </c>
      <c r="N144" s="10">
        <f>'додаток 1 2019'!N144+'додаток 1 2020'!N144+'додаток 1 2021  '!N142</f>
        <v>0</v>
      </c>
      <c r="O144" s="10">
        <f>'додаток 1 2019'!O144+'додаток 1 2020'!O144+'додаток 1 2021  '!O142</f>
        <v>0</v>
      </c>
      <c r="P144" s="69"/>
    </row>
    <row r="145" spans="1:16" ht="26.25">
      <c r="A145" s="9" t="s">
        <v>54</v>
      </c>
      <c r="B145" s="13">
        <f t="shared" si="21"/>
        <v>2143.7</v>
      </c>
      <c r="C145" s="10">
        <f>'додаток 1 2019'!C145+'додаток 1 2020'!C145+'додаток 1 2021  '!C143</f>
        <v>0</v>
      </c>
      <c r="D145" s="10">
        <f>'додаток 1 2019'!D145+'додаток 1 2020'!D145+'додаток 1 2021  '!D143</f>
        <v>347</v>
      </c>
      <c r="E145" s="10">
        <f>'додаток 1 2019'!E145+'додаток 1 2020'!E145+'додаток 1 2021  '!E143</f>
        <v>0</v>
      </c>
      <c r="F145" s="10">
        <f>'додаток 1 2019'!F145+'додаток 1 2020'!F145+'додаток 1 2021  '!F143</f>
        <v>0</v>
      </c>
      <c r="G145" s="10">
        <f>'додаток 1 2019'!G145+'додаток 1 2020'!G145+'додаток 1 2021  '!G143</f>
        <v>0</v>
      </c>
      <c r="H145" s="10">
        <f>'додаток 1 2019'!H145+'додаток 1 2020'!H145+'додаток 1 2021  '!H143</f>
        <v>1796.6999999999998</v>
      </c>
      <c r="I145" s="13">
        <f t="shared" si="22"/>
        <v>1968.6</v>
      </c>
      <c r="J145" s="10">
        <f>'додаток 1 2019'!J145+'додаток 1 2020'!J145+'додаток 1 2021  '!J143</f>
        <v>0</v>
      </c>
      <c r="K145" s="10">
        <f>'додаток 1 2019'!K145+'додаток 1 2020'!K145+'додаток 1 2021  '!K143</f>
        <v>175</v>
      </c>
      <c r="L145" s="10">
        <f>'додаток 1 2019'!L145+'додаток 1 2020'!L145+'додаток 1 2021  '!L143</f>
        <v>0</v>
      </c>
      <c r="M145" s="10">
        <f>'додаток 1 2019'!M145+'додаток 1 2020'!M145+'додаток 1 2021  '!M143</f>
        <v>0</v>
      </c>
      <c r="N145" s="10">
        <f>'додаток 1 2019'!N145+'додаток 1 2020'!N145+'додаток 1 2021  '!N143</f>
        <v>0</v>
      </c>
      <c r="O145" s="10">
        <f>'додаток 1 2019'!O145+'додаток 1 2020'!O145+'додаток 1 2021  '!O143</f>
        <v>1793.6</v>
      </c>
      <c r="P145" s="69"/>
    </row>
    <row r="146" spans="1:16" ht="15">
      <c r="A146" s="82" t="s">
        <v>146</v>
      </c>
      <c r="B146" s="13">
        <f t="shared" si="21"/>
        <v>3318</v>
      </c>
      <c r="C146" s="10">
        <f>'додаток 1 2019'!C146+'додаток 1 2020'!C146+'додаток 1 2021  '!C144</f>
        <v>0</v>
      </c>
      <c r="D146" s="10">
        <f>'додаток 1 2019'!D146+'додаток 1 2020'!D146+'додаток 1 2021  '!D144</f>
        <v>0</v>
      </c>
      <c r="E146" s="10">
        <f>'додаток 1 2019'!E146+'додаток 1 2020'!E146+'додаток 1 2021  '!E144</f>
        <v>0</v>
      </c>
      <c r="F146" s="10">
        <f>'додаток 1 2019'!F146+'додаток 1 2020'!F146+'додаток 1 2021  '!F144</f>
        <v>0</v>
      </c>
      <c r="G146" s="10">
        <f>'додаток 1 2019'!G146+'додаток 1 2020'!G146+'додаток 1 2021  '!G144</f>
        <v>0</v>
      </c>
      <c r="H146" s="10">
        <f>'додаток 1 2019'!H146+'додаток 1 2020'!H146+'додаток 1 2021  '!H144</f>
        <v>3318</v>
      </c>
      <c r="I146" s="13">
        <f t="shared" si="22"/>
        <v>3317.7</v>
      </c>
      <c r="J146" s="10">
        <f>'додаток 1 2019'!J146+'додаток 1 2020'!J146+'додаток 1 2021  '!J144</f>
        <v>0</v>
      </c>
      <c r="K146" s="10">
        <f>'додаток 1 2019'!K146+'додаток 1 2020'!K146+'додаток 1 2021  '!K144</f>
        <v>0</v>
      </c>
      <c r="L146" s="10">
        <f>'додаток 1 2019'!L146+'додаток 1 2020'!L146+'додаток 1 2021  '!L144</f>
        <v>0</v>
      </c>
      <c r="M146" s="10">
        <f>'додаток 1 2019'!M146+'додаток 1 2020'!M146+'додаток 1 2021  '!M144</f>
        <v>0</v>
      </c>
      <c r="N146" s="10">
        <f>'додаток 1 2019'!N146+'додаток 1 2020'!N146+'додаток 1 2021  '!N144</f>
        <v>0</v>
      </c>
      <c r="O146" s="10">
        <f>'додаток 1 2019'!O146+'додаток 1 2020'!O146+'додаток 1 2021  '!O144</f>
        <v>3317.7</v>
      </c>
      <c r="P146" s="69"/>
    </row>
    <row r="147" spans="1:16" ht="57.75" customHeight="1">
      <c r="A147" s="97" t="s">
        <v>163</v>
      </c>
      <c r="B147" s="13">
        <f t="shared" si="21"/>
        <v>98512.3</v>
      </c>
      <c r="C147" s="10">
        <f>'додаток 1 2019'!C147+'додаток 1 2020'!C147+'додаток 1 2021  '!C145</f>
        <v>88374</v>
      </c>
      <c r="D147" s="10">
        <f>'додаток 1 2019'!D147+'додаток 1 2020'!D147+'додаток 1 2021  '!D145</f>
        <v>0</v>
      </c>
      <c r="E147" s="10">
        <f>'додаток 1 2019'!E147+'додаток 1 2020'!E147+'додаток 1 2021  '!E145</f>
        <v>0</v>
      </c>
      <c r="F147" s="10">
        <f>'додаток 1 2019'!F147+'додаток 1 2020'!F147+'додаток 1 2021  '!F145</f>
        <v>0</v>
      </c>
      <c r="G147" s="10">
        <f>'додаток 1 2019'!G147+'додаток 1 2020'!G147+'додаток 1 2021  '!G145</f>
        <v>10138.3</v>
      </c>
      <c r="H147" s="10">
        <f>'додаток 1 2019'!H147+'додаток 1 2020'!H147+'додаток 1 2021  '!H145</f>
        <v>0</v>
      </c>
      <c r="I147" s="13">
        <f t="shared" si="22"/>
        <v>93380.9</v>
      </c>
      <c r="J147" s="10">
        <f>'додаток 1 2019'!J147+'додаток 1 2020'!J147+'додаток 1 2021  '!J145</f>
        <v>88374</v>
      </c>
      <c r="K147" s="10">
        <f>'додаток 1 2019'!K147+'додаток 1 2020'!K147+'додаток 1 2021  '!K145</f>
        <v>0</v>
      </c>
      <c r="L147" s="10">
        <f>'додаток 1 2019'!L147+'додаток 1 2020'!L147+'додаток 1 2021  '!L145</f>
        <v>0</v>
      </c>
      <c r="M147" s="10">
        <f>'додаток 1 2019'!M147+'додаток 1 2020'!M147+'додаток 1 2021  '!M145</f>
        <v>0</v>
      </c>
      <c r="N147" s="10">
        <f>'додаток 1 2019'!N147+'додаток 1 2020'!N147+'додаток 1 2021  '!N145</f>
        <v>5006.9</v>
      </c>
      <c r="O147" s="10">
        <f>'додаток 1 2019'!O147+'додаток 1 2020'!O147+'додаток 1 2021  '!O145</f>
        <v>0</v>
      </c>
      <c r="P147" s="69"/>
    </row>
    <row r="148" spans="1:16" ht="15" customHeight="1">
      <c r="A148" s="25" t="s">
        <v>31</v>
      </c>
      <c r="B148" s="27">
        <f aca="true" t="shared" si="23" ref="B148:O148">SUM(B141:B147)</f>
        <v>322085.4</v>
      </c>
      <c r="C148" s="27">
        <f t="shared" si="23"/>
        <v>266030</v>
      </c>
      <c r="D148" s="27">
        <f t="shared" si="23"/>
        <v>16266</v>
      </c>
      <c r="E148" s="27">
        <f t="shared" si="23"/>
        <v>40</v>
      </c>
      <c r="F148" s="27">
        <f t="shared" si="23"/>
        <v>0</v>
      </c>
      <c r="G148" s="27">
        <f t="shared" si="23"/>
        <v>34634.7</v>
      </c>
      <c r="H148" s="27">
        <f t="shared" si="23"/>
        <v>5114.7</v>
      </c>
      <c r="I148" s="27">
        <f t="shared" si="23"/>
        <v>279434.1</v>
      </c>
      <c r="J148" s="27">
        <f t="shared" si="23"/>
        <v>239918.6</v>
      </c>
      <c r="K148" s="27">
        <f t="shared" si="23"/>
        <v>6853.4</v>
      </c>
      <c r="L148" s="27">
        <f t="shared" si="23"/>
        <v>40</v>
      </c>
      <c r="M148" s="27">
        <f t="shared" si="23"/>
        <v>0</v>
      </c>
      <c r="N148" s="27">
        <f t="shared" si="23"/>
        <v>27510.800000000003</v>
      </c>
      <c r="O148" s="27">
        <f t="shared" si="23"/>
        <v>5111.299999999999</v>
      </c>
      <c r="P148" s="36">
        <f>I148/B148*100</f>
        <v>86.75776672894827</v>
      </c>
    </row>
    <row r="149" spans="1:16" ht="15.75">
      <c r="A149" s="128" t="s">
        <v>127</v>
      </c>
      <c r="B149" s="128"/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</row>
    <row r="150" spans="1:16" ht="26.25">
      <c r="A150" s="15" t="s">
        <v>29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 ht="26.25">
      <c r="A151" s="46" t="s">
        <v>139</v>
      </c>
      <c r="B151" s="13">
        <f>C151+D151+E151+F151+G151+H151</f>
        <v>2301.2</v>
      </c>
      <c r="C151" s="10">
        <f>'додаток 1 2019'!C151+'додаток 1 2020'!C151+'додаток 1 2021  '!C149</f>
        <v>0</v>
      </c>
      <c r="D151" s="10">
        <f>'додаток 1 2019'!D151+'додаток 1 2020'!D151+'додаток 1 2021  '!D149</f>
        <v>32</v>
      </c>
      <c r="E151" s="10">
        <f>'додаток 1 2019'!E151+'додаток 1 2020'!E151+'додаток 1 2021  '!E149</f>
        <v>0</v>
      </c>
      <c r="F151" s="10">
        <f>'додаток 1 2019'!F151+'додаток 1 2020'!F151+'додаток 1 2021  '!F149</f>
        <v>0</v>
      </c>
      <c r="G151" s="10">
        <f>'додаток 1 2019'!G151+'додаток 1 2020'!G151+'додаток 1 2021  '!G149</f>
        <v>0</v>
      </c>
      <c r="H151" s="10">
        <f>'додаток 1 2019'!H151+'додаток 1 2020'!H151+'додаток 1 2021  '!H149</f>
        <v>2269.2</v>
      </c>
      <c r="I151" s="41">
        <f>J151+K151+L151+M151+N151+O151</f>
        <v>1980.6</v>
      </c>
      <c r="J151" s="10">
        <f>'додаток 1 2019'!J151+'додаток 1 2020'!J151+'додаток 1 2021  '!J149</f>
        <v>0</v>
      </c>
      <c r="K151" s="10">
        <f>'додаток 1 2019'!K151+'додаток 1 2020'!K151+'додаток 1 2021  '!K149</f>
        <v>7</v>
      </c>
      <c r="L151" s="10">
        <f>'додаток 1 2019'!L151+'додаток 1 2020'!L151+'додаток 1 2021  '!L149</f>
        <v>0</v>
      </c>
      <c r="M151" s="10">
        <f>'додаток 1 2019'!M151+'додаток 1 2020'!M151+'додаток 1 2021  '!M149</f>
        <v>0</v>
      </c>
      <c r="N151" s="10">
        <f>'додаток 1 2019'!N151+'додаток 1 2020'!N151+'додаток 1 2021  '!N149</f>
        <v>0</v>
      </c>
      <c r="O151" s="10">
        <f>'додаток 1 2019'!O151+'додаток 1 2020'!O151+'додаток 1 2021  '!O149</f>
        <v>1973.6</v>
      </c>
      <c r="P151" s="45"/>
    </row>
    <row r="152" spans="1:16" ht="26.25">
      <c r="A152" s="46" t="s">
        <v>161</v>
      </c>
      <c r="B152" s="13">
        <f>C152+D152+E152+F152+G152+H152</f>
        <v>17432.5</v>
      </c>
      <c r="C152" s="10">
        <f>'додаток 1 2019'!C152+'додаток 1 2020'!C152+'додаток 1 2021  '!C150</f>
        <v>0</v>
      </c>
      <c r="D152" s="10">
        <f>'додаток 1 2019'!D152+'додаток 1 2020'!D152+'додаток 1 2021  '!D150</f>
        <v>5022.599999999999</v>
      </c>
      <c r="E152" s="10">
        <f>'додаток 1 2019'!E152+'додаток 1 2020'!E152+'додаток 1 2021  '!E150</f>
        <v>0</v>
      </c>
      <c r="F152" s="10">
        <f>'додаток 1 2019'!F152+'додаток 1 2020'!F152+'додаток 1 2021  '!F150</f>
        <v>0</v>
      </c>
      <c r="G152" s="10">
        <f>'додаток 1 2019'!G152+'додаток 1 2020'!G152+'додаток 1 2021  '!G150</f>
        <v>0</v>
      </c>
      <c r="H152" s="10">
        <f>'додаток 1 2019'!H152+'додаток 1 2020'!H152+'додаток 1 2021  '!H150</f>
        <v>12409.9</v>
      </c>
      <c r="I152" s="41">
        <f>J152+K152+L152+M152+N152+O152</f>
        <v>17971.6</v>
      </c>
      <c r="J152" s="10">
        <f>'додаток 1 2019'!J152+'додаток 1 2020'!J152+'додаток 1 2021  '!J150</f>
        <v>0</v>
      </c>
      <c r="K152" s="10">
        <f>'додаток 1 2019'!K152+'додаток 1 2020'!K152+'додаток 1 2021  '!K150</f>
        <v>5981.4</v>
      </c>
      <c r="L152" s="10">
        <f>'додаток 1 2019'!L152+'додаток 1 2020'!L152+'додаток 1 2021  '!L150</f>
        <v>0</v>
      </c>
      <c r="M152" s="10">
        <f>'додаток 1 2019'!M152+'додаток 1 2020'!M152+'додаток 1 2021  '!M150</f>
        <v>0</v>
      </c>
      <c r="N152" s="10">
        <f>'додаток 1 2019'!N152+'додаток 1 2020'!N152+'додаток 1 2021  '!N150</f>
        <v>0</v>
      </c>
      <c r="O152" s="10">
        <f>'додаток 1 2019'!O152+'додаток 1 2020'!O152+'додаток 1 2021  '!O150</f>
        <v>11990.2</v>
      </c>
      <c r="P152" s="45"/>
    </row>
    <row r="153" spans="1:16" ht="39">
      <c r="A153" s="6" t="s">
        <v>162</v>
      </c>
      <c r="B153" s="13">
        <f>C153+D153+E153+F153+G153+H153</f>
        <v>6032.2</v>
      </c>
      <c r="C153" s="10">
        <f>'додаток 1 2019'!C153+'додаток 1 2020'!C153+'додаток 1 2021  '!C151</f>
        <v>0</v>
      </c>
      <c r="D153" s="10">
        <f>'додаток 1 2019'!D153+'додаток 1 2020'!D153+'додаток 1 2021  '!D151</f>
        <v>2115.4</v>
      </c>
      <c r="E153" s="10">
        <f>'додаток 1 2019'!E153+'додаток 1 2020'!E153+'додаток 1 2021  '!E151</f>
        <v>0</v>
      </c>
      <c r="F153" s="10">
        <f>'додаток 1 2019'!F153+'додаток 1 2020'!F153+'додаток 1 2021  '!F151</f>
        <v>0</v>
      </c>
      <c r="G153" s="10">
        <f>'додаток 1 2019'!G153+'додаток 1 2020'!G153+'додаток 1 2021  '!G151</f>
        <v>0</v>
      </c>
      <c r="H153" s="10">
        <f>'додаток 1 2019'!H153+'додаток 1 2020'!H153+'додаток 1 2021  '!H151</f>
        <v>3916.7999999999997</v>
      </c>
      <c r="I153" s="41">
        <f>J153+K153+L153+M153+N153+O153</f>
        <v>5314.9</v>
      </c>
      <c r="J153" s="10">
        <f>'додаток 1 2019'!J153+'додаток 1 2020'!J153+'додаток 1 2021  '!J151</f>
        <v>0</v>
      </c>
      <c r="K153" s="10">
        <f>'додаток 1 2019'!K153+'додаток 1 2020'!K153+'додаток 1 2021  '!K151</f>
        <v>2091.8999999999996</v>
      </c>
      <c r="L153" s="10">
        <f>'додаток 1 2019'!L153+'додаток 1 2020'!L153+'додаток 1 2021  '!L151</f>
        <v>0</v>
      </c>
      <c r="M153" s="10">
        <f>'додаток 1 2019'!M153+'додаток 1 2020'!M153+'додаток 1 2021  '!M151</f>
        <v>0</v>
      </c>
      <c r="N153" s="10">
        <f>'додаток 1 2019'!N153+'додаток 1 2020'!N153+'додаток 1 2021  '!N151</f>
        <v>0</v>
      </c>
      <c r="O153" s="10">
        <f>'додаток 1 2019'!O153+'додаток 1 2020'!O153+'додаток 1 2021  '!O151</f>
        <v>3223</v>
      </c>
      <c r="P153" s="45"/>
    </row>
    <row r="154" spans="1:16" ht="15">
      <c r="A154" s="25" t="s">
        <v>137</v>
      </c>
      <c r="B154" s="27">
        <f aca="true" t="shared" si="24" ref="B154:O154">SUM(B151:B153)</f>
        <v>25765.9</v>
      </c>
      <c r="C154" s="27">
        <f t="shared" si="24"/>
        <v>0</v>
      </c>
      <c r="D154" s="27">
        <f>SUM(D151:D153)</f>
        <v>7170</v>
      </c>
      <c r="E154" s="27">
        <f t="shared" si="24"/>
        <v>0</v>
      </c>
      <c r="F154" s="27">
        <f t="shared" si="24"/>
        <v>0</v>
      </c>
      <c r="G154" s="27">
        <f t="shared" si="24"/>
        <v>0</v>
      </c>
      <c r="H154" s="27">
        <f t="shared" si="24"/>
        <v>18595.899999999998</v>
      </c>
      <c r="I154" s="27">
        <f t="shared" si="24"/>
        <v>25267.1</v>
      </c>
      <c r="J154" s="27">
        <f t="shared" si="24"/>
        <v>0</v>
      </c>
      <c r="K154" s="27">
        <f t="shared" si="24"/>
        <v>8080.299999999999</v>
      </c>
      <c r="L154" s="27">
        <f t="shared" si="24"/>
        <v>0</v>
      </c>
      <c r="M154" s="27">
        <f t="shared" si="24"/>
        <v>0</v>
      </c>
      <c r="N154" s="27">
        <f t="shared" si="24"/>
        <v>0</v>
      </c>
      <c r="O154" s="27">
        <f t="shared" si="24"/>
        <v>17186.800000000003</v>
      </c>
      <c r="P154" s="36">
        <f>I154/B154*100</f>
        <v>98.06410798768914</v>
      </c>
    </row>
    <row r="155" spans="1:16" ht="15.75">
      <c r="A155" s="128" t="s">
        <v>132</v>
      </c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</row>
    <row r="156" spans="1:16" ht="33.75" customHeight="1">
      <c r="A156" s="15" t="s">
        <v>133</v>
      </c>
      <c r="B156" s="11"/>
      <c r="C156" s="16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7"/>
    </row>
    <row r="157" spans="1:16" ht="26.25">
      <c r="A157" s="9" t="s">
        <v>134</v>
      </c>
      <c r="B157" s="13">
        <f>C157+D157+E157+F157+G157+H157</f>
        <v>4372.900000000001</v>
      </c>
      <c r="C157" s="10">
        <f>'додаток 1 2019'!C157+'додаток 1 2020'!C157+'додаток 1 2021  '!C155</f>
        <v>416.8</v>
      </c>
      <c r="D157" s="10">
        <f>'додаток 1 2019'!D157+'додаток 1 2020'!D157+'додаток 1 2021  '!D155</f>
        <v>0</v>
      </c>
      <c r="E157" s="10">
        <f>'додаток 1 2019'!E157+'додаток 1 2020'!E157+'додаток 1 2021  '!E155</f>
        <v>0</v>
      </c>
      <c r="F157" s="10">
        <f>'додаток 1 2019'!F157+'додаток 1 2020'!F157+'додаток 1 2021  '!F155</f>
        <v>0</v>
      </c>
      <c r="G157" s="10">
        <f>'додаток 1 2019'!G157+'додаток 1 2020'!G157+'додаток 1 2021  '!G155</f>
        <v>3956.1000000000004</v>
      </c>
      <c r="H157" s="10">
        <f>'додаток 1 2019'!H157+'додаток 1 2020'!H157+'додаток 1 2021  '!H155</f>
        <v>0</v>
      </c>
      <c r="I157" s="13">
        <f>J157+K157+L157+M157+N157+O157</f>
        <v>2296</v>
      </c>
      <c r="J157" s="10">
        <f>'додаток 1 2019'!J157+'додаток 1 2020'!J157+'додаток 1 2021  '!J155</f>
        <v>0</v>
      </c>
      <c r="K157" s="10">
        <f>'додаток 1 2019'!K157+'додаток 1 2020'!K157+'додаток 1 2021  '!K155</f>
        <v>0</v>
      </c>
      <c r="L157" s="10">
        <f>'додаток 1 2019'!L157+'додаток 1 2020'!L157+'додаток 1 2021  '!L155</f>
        <v>0</v>
      </c>
      <c r="M157" s="10">
        <f>'додаток 1 2019'!M157+'додаток 1 2020'!M157+'додаток 1 2021  '!M155</f>
        <v>0</v>
      </c>
      <c r="N157" s="10">
        <f>'додаток 1 2019'!N157+'додаток 1 2020'!N157+'додаток 1 2021  '!N155</f>
        <v>2296</v>
      </c>
      <c r="O157" s="10">
        <f>'додаток 1 2019'!O157+'додаток 1 2020'!O157+'додаток 1 2021  '!O155</f>
        <v>0</v>
      </c>
      <c r="P157" s="3"/>
    </row>
    <row r="158" spans="1:16" ht="15">
      <c r="A158" s="59" t="s">
        <v>135</v>
      </c>
      <c r="B158" s="13">
        <f>C158+D158+E158+F158+G158+H158</f>
        <v>480.70000000000005</v>
      </c>
      <c r="C158" s="10">
        <f>'додаток 1 2019'!C158+'додаток 1 2020'!C158+'додаток 1 2021  '!C156</f>
        <v>480.70000000000005</v>
      </c>
      <c r="D158" s="10">
        <f>'додаток 1 2019'!D158+'додаток 1 2020'!D158+'додаток 1 2021  '!D156</f>
        <v>0</v>
      </c>
      <c r="E158" s="10">
        <f>'додаток 1 2019'!E158+'додаток 1 2020'!E158+'додаток 1 2021  '!E156</f>
        <v>0</v>
      </c>
      <c r="F158" s="10">
        <f>'додаток 1 2019'!F158+'додаток 1 2020'!F158+'додаток 1 2021  '!F156</f>
        <v>0</v>
      </c>
      <c r="G158" s="10">
        <f>'додаток 1 2019'!G158+'додаток 1 2020'!G158+'додаток 1 2021  '!G156</f>
        <v>0</v>
      </c>
      <c r="H158" s="10">
        <f>'додаток 1 2019'!H158+'додаток 1 2020'!H158+'додаток 1 2021  '!H156</f>
        <v>0</v>
      </c>
      <c r="I158" s="13">
        <f>J158+K158+L158+M158+N158+O158</f>
        <v>312.9</v>
      </c>
      <c r="J158" s="10">
        <f>'додаток 1 2019'!J158+'додаток 1 2020'!J158+'додаток 1 2021  '!J156</f>
        <v>312.9</v>
      </c>
      <c r="K158" s="10">
        <f>'додаток 1 2019'!K158+'додаток 1 2020'!K158+'додаток 1 2021  '!K156</f>
        <v>0</v>
      </c>
      <c r="L158" s="10">
        <f>'додаток 1 2019'!L158+'додаток 1 2020'!L158+'додаток 1 2021  '!L156</f>
        <v>0</v>
      </c>
      <c r="M158" s="10">
        <f>'додаток 1 2019'!M158+'додаток 1 2020'!M158+'додаток 1 2021  '!M156</f>
        <v>0</v>
      </c>
      <c r="N158" s="10">
        <f>'додаток 1 2019'!N158+'додаток 1 2020'!N158+'додаток 1 2021  '!N156</f>
        <v>0</v>
      </c>
      <c r="O158" s="10">
        <f>'додаток 1 2019'!O158+'додаток 1 2020'!O158+'додаток 1 2021  '!O156</f>
        <v>0</v>
      </c>
      <c r="P158" s="3"/>
    </row>
    <row r="159" spans="1:16" ht="26.25">
      <c r="A159" s="9" t="s">
        <v>136</v>
      </c>
      <c r="B159" s="13">
        <f>C159+D159+E159+F159+G159+H159</f>
        <v>95.8</v>
      </c>
      <c r="C159" s="10">
        <f>'додаток 1 2019'!C159+'додаток 1 2020'!C159+'додаток 1 2021  '!C157</f>
        <v>0</v>
      </c>
      <c r="D159" s="10">
        <f>'додаток 1 2019'!D159+'додаток 1 2020'!D159+'додаток 1 2021  '!D157</f>
        <v>95.8</v>
      </c>
      <c r="E159" s="10">
        <f>'додаток 1 2019'!E159+'додаток 1 2020'!E159+'додаток 1 2021  '!E157</f>
        <v>0</v>
      </c>
      <c r="F159" s="10">
        <f>'додаток 1 2019'!F159+'додаток 1 2020'!F159+'додаток 1 2021  '!F157</f>
        <v>0</v>
      </c>
      <c r="G159" s="10">
        <f>'додаток 1 2019'!G159+'додаток 1 2020'!G159+'додаток 1 2021  '!G157</f>
        <v>0</v>
      </c>
      <c r="H159" s="10">
        <f>'додаток 1 2019'!H159+'додаток 1 2020'!H159+'додаток 1 2021  '!H157</f>
        <v>0</v>
      </c>
      <c r="I159" s="13">
        <f>J159+K159+L159+M159+N159+O159</f>
        <v>29</v>
      </c>
      <c r="J159" s="10">
        <f>'додаток 1 2019'!J159+'додаток 1 2020'!J159+'додаток 1 2021  '!J157</f>
        <v>0</v>
      </c>
      <c r="K159" s="10">
        <f>'додаток 1 2019'!K159+'додаток 1 2020'!K159+'додаток 1 2021  '!K157</f>
        <v>29</v>
      </c>
      <c r="L159" s="10">
        <f>'додаток 1 2019'!L159+'додаток 1 2020'!L159+'додаток 1 2021  '!L157</f>
        <v>0</v>
      </c>
      <c r="M159" s="10">
        <f>'додаток 1 2019'!M159+'додаток 1 2020'!M159+'додаток 1 2021  '!M157</f>
        <v>0</v>
      </c>
      <c r="N159" s="10">
        <f>'додаток 1 2019'!N159+'додаток 1 2020'!N159+'додаток 1 2021  '!N157</f>
        <v>0</v>
      </c>
      <c r="O159" s="10">
        <f>'додаток 1 2019'!O159+'додаток 1 2020'!O159+'додаток 1 2021  '!O157</f>
        <v>0</v>
      </c>
      <c r="P159" s="3"/>
    </row>
    <row r="160" spans="1:16" ht="15">
      <c r="A160" s="25" t="s">
        <v>138</v>
      </c>
      <c r="B160" s="27">
        <f>SUM(B157:B159)</f>
        <v>4949.400000000001</v>
      </c>
      <c r="C160" s="27">
        <f aca="true" t="shared" si="25" ref="C160:N160">SUM(C157:C159)</f>
        <v>897.5</v>
      </c>
      <c r="D160" s="27">
        <f t="shared" si="25"/>
        <v>95.8</v>
      </c>
      <c r="E160" s="27">
        <f t="shared" si="25"/>
        <v>0</v>
      </c>
      <c r="F160" s="27">
        <f t="shared" si="25"/>
        <v>0</v>
      </c>
      <c r="G160" s="27">
        <f t="shared" si="25"/>
        <v>3956.1000000000004</v>
      </c>
      <c r="H160" s="27">
        <f t="shared" si="25"/>
        <v>0</v>
      </c>
      <c r="I160" s="27">
        <f t="shared" si="25"/>
        <v>2637.9</v>
      </c>
      <c r="J160" s="27">
        <f t="shared" si="25"/>
        <v>312.9</v>
      </c>
      <c r="K160" s="27">
        <f t="shared" si="25"/>
        <v>29</v>
      </c>
      <c r="L160" s="27">
        <f t="shared" si="25"/>
        <v>0</v>
      </c>
      <c r="M160" s="27">
        <f t="shared" si="25"/>
        <v>0</v>
      </c>
      <c r="N160" s="27">
        <f t="shared" si="25"/>
        <v>2296</v>
      </c>
      <c r="O160" s="27">
        <f>SUM(O157:O159)</f>
        <v>0</v>
      </c>
      <c r="P160" s="36">
        <f>I160/B160*100</f>
        <v>53.29736937810643</v>
      </c>
    </row>
    <row r="161" spans="1:16" ht="15.75">
      <c r="A161" s="121" t="s">
        <v>144</v>
      </c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3"/>
    </row>
    <row r="162" spans="1:16" ht="26.25">
      <c r="A162" s="61" t="s">
        <v>140</v>
      </c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1"/>
    </row>
    <row r="163" spans="1:16" ht="26.25">
      <c r="A163" s="9" t="s">
        <v>142</v>
      </c>
      <c r="B163" s="13">
        <f aca="true" t="shared" si="26" ref="B163:B172">C163+D163+E163+F163+G163+H163</f>
        <v>1546.5</v>
      </c>
      <c r="C163" s="10">
        <f>'додаток 1 2019'!C163+'додаток 1 2020'!C163+'додаток 1 2021  '!C161</f>
        <v>0</v>
      </c>
      <c r="D163" s="10">
        <f>'додаток 1 2019'!D163+'додаток 1 2020'!D163+'додаток 1 2021  '!D161</f>
        <v>1546.5</v>
      </c>
      <c r="E163" s="10">
        <f>'додаток 1 2019'!E163+'додаток 1 2020'!E163+'додаток 1 2021  '!E161</f>
        <v>0</v>
      </c>
      <c r="F163" s="10">
        <f>'додаток 1 2019'!F163+'додаток 1 2020'!F163+'додаток 1 2021  '!F161</f>
        <v>0</v>
      </c>
      <c r="G163" s="10">
        <f>'додаток 1 2019'!G163+'додаток 1 2020'!G163+'додаток 1 2021  '!G161</f>
        <v>0</v>
      </c>
      <c r="H163" s="10">
        <f>'додаток 1 2019'!H163+'додаток 1 2020'!H163+'додаток 1 2021  '!H161</f>
        <v>0</v>
      </c>
      <c r="I163" s="13">
        <f>J163+K163+L163+M163+N163+O163</f>
        <v>524.7</v>
      </c>
      <c r="J163" s="10">
        <f>'додаток 1 2019'!J163+'додаток 1 2020'!J163+'додаток 1 2021  '!J161</f>
        <v>0</v>
      </c>
      <c r="K163" s="10">
        <f>'додаток 1 2019'!K163+'додаток 1 2020'!K163+'додаток 1 2021  '!K161</f>
        <v>524.7</v>
      </c>
      <c r="L163" s="10">
        <f>'додаток 1 2019'!L163+'додаток 1 2020'!L163+'додаток 1 2021  '!L161</f>
        <v>0</v>
      </c>
      <c r="M163" s="10">
        <f>'додаток 1 2019'!M163+'додаток 1 2020'!M163+'додаток 1 2021  '!M161</f>
        <v>0</v>
      </c>
      <c r="N163" s="10">
        <f>'додаток 1 2019'!N163+'додаток 1 2020'!N163+'додаток 1 2021  '!N161</f>
        <v>0</v>
      </c>
      <c r="O163" s="10">
        <f>'додаток 1 2019'!O163+'додаток 1 2020'!O163+'додаток 1 2021  '!O161</f>
        <v>0</v>
      </c>
      <c r="P163" s="69"/>
    </row>
    <row r="164" spans="1:16" ht="26.25">
      <c r="A164" s="9" t="s">
        <v>143</v>
      </c>
      <c r="B164" s="13">
        <f t="shared" si="26"/>
        <v>3141.3</v>
      </c>
      <c r="C164" s="10">
        <f>'додаток 1 2019'!C164+'додаток 1 2020'!C164+'додаток 1 2021  '!C162</f>
        <v>0</v>
      </c>
      <c r="D164" s="10">
        <f>'додаток 1 2019'!D164+'додаток 1 2020'!D164+'додаток 1 2021  '!D162</f>
        <v>3141.3</v>
      </c>
      <c r="E164" s="10">
        <f>'додаток 1 2019'!E164+'додаток 1 2020'!E164+'додаток 1 2021  '!E162</f>
        <v>0</v>
      </c>
      <c r="F164" s="10">
        <f>'додаток 1 2019'!F164+'додаток 1 2020'!F164+'додаток 1 2021  '!F162</f>
        <v>0</v>
      </c>
      <c r="G164" s="10">
        <f>'додаток 1 2019'!G164+'додаток 1 2020'!G164+'додаток 1 2021  '!G162</f>
        <v>0</v>
      </c>
      <c r="H164" s="10">
        <f>'додаток 1 2019'!H164+'додаток 1 2020'!H164+'додаток 1 2021  '!H162</f>
        <v>0</v>
      </c>
      <c r="I164" s="13">
        <f>J164+K164+L164+M164+N164+O164</f>
        <v>2620.6</v>
      </c>
      <c r="J164" s="10">
        <f>'додаток 1 2019'!J164+'додаток 1 2020'!J164+'додаток 1 2021  '!J162</f>
        <v>0</v>
      </c>
      <c r="K164" s="10">
        <f>'додаток 1 2019'!K164+'додаток 1 2020'!K164+'додаток 1 2021  '!K162</f>
        <v>2620.6</v>
      </c>
      <c r="L164" s="10">
        <f>'додаток 1 2019'!L164+'додаток 1 2020'!L164+'додаток 1 2021  '!L162</f>
        <v>0</v>
      </c>
      <c r="M164" s="10">
        <f>'додаток 1 2019'!M164+'додаток 1 2020'!M164+'додаток 1 2021  '!M162</f>
        <v>0</v>
      </c>
      <c r="N164" s="10">
        <f>'додаток 1 2019'!N164+'додаток 1 2020'!N164+'додаток 1 2021  '!N162</f>
        <v>0</v>
      </c>
      <c r="O164" s="10">
        <f>'додаток 1 2019'!O164+'додаток 1 2020'!O164+'додаток 1 2021  '!O162</f>
        <v>0</v>
      </c>
      <c r="P164" s="69"/>
    </row>
    <row r="165" spans="1:16" ht="26.25">
      <c r="A165" s="9" t="s">
        <v>159</v>
      </c>
      <c r="B165" s="13">
        <f t="shared" si="26"/>
        <v>23150</v>
      </c>
      <c r="C165" s="10">
        <f>'додаток 1 2019'!C165+'додаток 1 2020'!C165+'додаток 1 2021  '!C163</f>
        <v>0</v>
      </c>
      <c r="D165" s="10">
        <f>'додаток 1 2019'!D165+'додаток 1 2020'!D165+'додаток 1 2021  '!D163</f>
        <v>23150</v>
      </c>
      <c r="E165" s="10">
        <f>'додаток 1 2019'!E165+'додаток 1 2020'!E165+'додаток 1 2021  '!E163</f>
        <v>0</v>
      </c>
      <c r="F165" s="10">
        <f>'додаток 1 2019'!F165+'додаток 1 2020'!F165+'додаток 1 2021  '!F163</f>
        <v>0</v>
      </c>
      <c r="G165" s="10">
        <f>'додаток 1 2019'!G165+'додаток 1 2020'!G165+'додаток 1 2021  '!G163</f>
        <v>0</v>
      </c>
      <c r="H165" s="10">
        <f>'додаток 1 2019'!H165+'додаток 1 2020'!H165+'додаток 1 2021  '!H163</f>
        <v>0</v>
      </c>
      <c r="I165" s="13">
        <f>J165+K165+L165+M165+N165+O165</f>
        <v>18805.5</v>
      </c>
      <c r="J165" s="10">
        <f>'додаток 1 2019'!J165+'додаток 1 2020'!J165+'додаток 1 2021  '!J163</f>
        <v>0</v>
      </c>
      <c r="K165" s="10">
        <f>'додаток 1 2019'!K165+'додаток 1 2020'!K165+'додаток 1 2021  '!K163</f>
        <v>18805.5</v>
      </c>
      <c r="L165" s="10">
        <f>'додаток 1 2019'!L165+'додаток 1 2020'!L165+'додаток 1 2021  '!L163</f>
        <v>0</v>
      </c>
      <c r="M165" s="10">
        <f>'додаток 1 2019'!M165+'додаток 1 2020'!M165+'додаток 1 2021  '!M163</f>
        <v>0</v>
      </c>
      <c r="N165" s="10">
        <f>'додаток 1 2019'!N165+'додаток 1 2020'!N165+'додаток 1 2021  '!N163</f>
        <v>0</v>
      </c>
      <c r="O165" s="10">
        <f>'додаток 1 2019'!O165+'додаток 1 2020'!O165+'додаток 1 2021  '!O163</f>
        <v>0</v>
      </c>
      <c r="P165" s="69"/>
    </row>
    <row r="166" spans="1:16" ht="64.5">
      <c r="A166" s="9" t="s">
        <v>160</v>
      </c>
      <c r="B166" s="13">
        <f t="shared" si="26"/>
        <v>4200</v>
      </c>
      <c r="C166" s="10">
        <f>'додаток 1 2019'!C166+'додаток 1 2020'!C166+'додаток 1 2021  '!C164</f>
        <v>0</v>
      </c>
      <c r="D166" s="10">
        <f>'додаток 1 2019'!D166+'додаток 1 2020'!D166+'додаток 1 2021  '!D164</f>
        <v>4200</v>
      </c>
      <c r="E166" s="10">
        <f>'додаток 1 2019'!E166+'додаток 1 2020'!E166+'додаток 1 2021  '!E164</f>
        <v>0</v>
      </c>
      <c r="F166" s="10">
        <f>'додаток 1 2019'!F166+'додаток 1 2020'!F166+'додаток 1 2021  '!F164</f>
        <v>0</v>
      </c>
      <c r="G166" s="10">
        <f>'додаток 1 2019'!G166+'додаток 1 2020'!G166+'додаток 1 2021  '!G164</f>
        <v>0</v>
      </c>
      <c r="H166" s="10">
        <f>'додаток 1 2019'!H166+'додаток 1 2020'!H166+'додаток 1 2021  '!H164</f>
        <v>0</v>
      </c>
      <c r="I166" s="13">
        <f>J166+K166+L166+M166+N166+O166</f>
        <v>4180.6</v>
      </c>
      <c r="J166" s="10">
        <f>'додаток 1 2019'!J166+'додаток 1 2020'!J166+'додаток 1 2021  '!J164</f>
        <v>0</v>
      </c>
      <c r="K166" s="10">
        <f>'додаток 1 2019'!K166+'додаток 1 2020'!K166+'додаток 1 2021  '!K164</f>
        <v>4180.6</v>
      </c>
      <c r="L166" s="10">
        <f>'додаток 1 2019'!L166+'додаток 1 2020'!L166+'додаток 1 2021  '!L164</f>
        <v>0</v>
      </c>
      <c r="M166" s="10">
        <f>'додаток 1 2019'!M166+'додаток 1 2020'!M166+'додаток 1 2021  '!M164</f>
        <v>0</v>
      </c>
      <c r="N166" s="10">
        <f>'додаток 1 2019'!N166+'додаток 1 2020'!N166+'додаток 1 2021  '!N164</f>
        <v>0</v>
      </c>
      <c r="O166" s="10">
        <f>'додаток 1 2019'!O166+'додаток 1 2020'!O166+'додаток 1 2021  '!O164</f>
        <v>0</v>
      </c>
      <c r="P166" s="69"/>
    </row>
    <row r="167" spans="1:16" ht="15">
      <c r="A167" s="104" t="s">
        <v>169</v>
      </c>
      <c r="B167" s="13">
        <f t="shared" si="26"/>
        <v>9720</v>
      </c>
      <c r="C167" s="10">
        <f>'додаток 1 2019'!C167+'додаток 1 2020'!C167+'додаток 1 2021  '!C165</f>
        <v>0</v>
      </c>
      <c r="D167" s="10">
        <f>'додаток 1 2019'!D167+'додаток 1 2020'!D167+'додаток 1 2021  '!D165</f>
        <v>9720</v>
      </c>
      <c r="E167" s="10">
        <f>'додаток 1 2019'!E167+'додаток 1 2020'!E167+'додаток 1 2021  '!E165</f>
        <v>0</v>
      </c>
      <c r="F167" s="10">
        <f>'додаток 1 2019'!F167+'додаток 1 2020'!F167+'додаток 1 2021  '!F165</f>
        <v>0</v>
      </c>
      <c r="G167" s="10">
        <f>'додаток 1 2019'!G167+'додаток 1 2020'!G167+'додаток 1 2021  '!G165</f>
        <v>0</v>
      </c>
      <c r="H167" s="10">
        <f>'додаток 1 2019'!H167+'додаток 1 2020'!H167+'додаток 1 2021  '!H165</f>
        <v>0</v>
      </c>
      <c r="I167" s="13">
        <f aca="true" t="shared" si="27" ref="I167:I172">J167+K167+L167+M167+N167+O167</f>
        <v>8424.3</v>
      </c>
      <c r="J167" s="10">
        <f>'додаток 1 2019'!J167+'додаток 1 2020'!J167+'додаток 1 2021  '!J165</f>
        <v>0</v>
      </c>
      <c r="K167" s="10">
        <f>'додаток 1 2019'!K167+'додаток 1 2020'!K167+'додаток 1 2021  '!K165</f>
        <v>8424.3</v>
      </c>
      <c r="L167" s="10">
        <f>'додаток 1 2019'!L167+'додаток 1 2020'!L167+'додаток 1 2021  '!L165</f>
        <v>0</v>
      </c>
      <c r="M167" s="10">
        <f>'додаток 1 2019'!M167+'додаток 1 2020'!M167+'додаток 1 2021  '!M165</f>
        <v>0</v>
      </c>
      <c r="N167" s="10">
        <f>'додаток 1 2019'!N167+'додаток 1 2020'!N167+'додаток 1 2021  '!N165</f>
        <v>0</v>
      </c>
      <c r="O167" s="10">
        <f>'додаток 1 2019'!O167+'додаток 1 2020'!O167+'додаток 1 2021  '!O165</f>
        <v>0</v>
      </c>
      <c r="P167" s="69"/>
    </row>
    <row r="168" spans="1:16" ht="15">
      <c r="A168" s="104" t="s">
        <v>170</v>
      </c>
      <c r="B168" s="13">
        <f t="shared" si="26"/>
        <v>3503</v>
      </c>
      <c r="C168" s="10">
        <f>'додаток 1 2019'!C168+'додаток 1 2020'!C168+'додаток 1 2021  '!C166</f>
        <v>0</v>
      </c>
      <c r="D168" s="10">
        <f>'додаток 1 2019'!D168+'додаток 1 2020'!D168+'додаток 1 2021  '!D166</f>
        <v>3503</v>
      </c>
      <c r="E168" s="10">
        <f>'додаток 1 2019'!E168+'додаток 1 2020'!E168+'додаток 1 2021  '!E166</f>
        <v>0</v>
      </c>
      <c r="F168" s="10">
        <f>'додаток 1 2019'!F168+'додаток 1 2020'!F168+'додаток 1 2021  '!F166</f>
        <v>0</v>
      </c>
      <c r="G168" s="10">
        <f>'додаток 1 2019'!G168+'додаток 1 2020'!G168+'додаток 1 2021  '!G166</f>
        <v>0</v>
      </c>
      <c r="H168" s="10">
        <f>'додаток 1 2019'!H168+'додаток 1 2020'!H168+'додаток 1 2021  '!H166</f>
        <v>0</v>
      </c>
      <c r="I168" s="13">
        <f t="shared" si="27"/>
        <v>3500</v>
      </c>
      <c r="J168" s="10">
        <f>'додаток 1 2019'!J168+'додаток 1 2020'!J168+'додаток 1 2021  '!J166</f>
        <v>0</v>
      </c>
      <c r="K168" s="10">
        <f>'додаток 1 2019'!K168+'додаток 1 2020'!K168+'додаток 1 2021  '!K166</f>
        <v>3500</v>
      </c>
      <c r="L168" s="10">
        <f>'додаток 1 2019'!L168+'додаток 1 2020'!L168+'додаток 1 2021  '!L166</f>
        <v>0</v>
      </c>
      <c r="M168" s="10">
        <f>'додаток 1 2019'!M168+'додаток 1 2020'!M168+'додаток 1 2021  '!M166</f>
        <v>0</v>
      </c>
      <c r="N168" s="10">
        <f>'додаток 1 2019'!N168+'додаток 1 2020'!N168+'додаток 1 2021  '!N166</f>
        <v>0</v>
      </c>
      <c r="O168" s="10">
        <f>'додаток 1 2019'!O168+'додаток 1 2020'!O168+'додаток 1 2021  '!O166</f>
        <v>0</v>
      </c>
      <c r="P168" s="69"/>
    </row>
    <row r="169" spans="1:16" ht="15">
      <c r="A169" s="104" t="s">
        <v>171</v>
      </c>
      <c r="B169" s="13">
        <f t="shared" si="26"/>
        <v>5938.1</v>
      </c>
      <c r="C169" s="10">
        <f>'додаток 1 2019'!C169+'додаток 1 2020'!C169+'додаток 1 2021  '!C167</f>
        <v>0</v>
      </c>
      <c r="D169" s="10">
        <f>'додаток 1 2019'!D169+'додаток 1 2020'!D169+'додаток 1 2021  '!D167</f>
        <v>5938.1</v>
      </c>
      <c r="E169" s="10">
        <f>'додаток 1 2019'!E169+'додаток 1 2020'!E169+'додаток 1 2021  '!E167</f>
        <v>0</v>
      </c>
      <c r="F169" s="10">
        <f>'додаток 1 2019'!F169+'додаток 1 2020'!F169+'додаток 1 2021  '!F167</f>
        <v>0</v>
      </c>
      <c r="G169" s="10">
        <f>'додаток 1 2019'!G169+'додаток 1 2020'!G169+'додаток 1 2021  '!G167</f>
        <v>0</v>
      </c>
      <c r="H169" s="10">
        <f>'додаток 1 2019'!H169+'додаток 1 2020'!H169+'додаток 1 2021  '!H167</f>
        <v>0</v>
      </c>
      <c r="I169" s="13">
        <f t="shared" si="27"/>
        <v>5930</v>
      </c>
      <c r="J169" s="10">
        <f>'додаток 1 2019'!J169+'додаток 1 2020'!J169+'додаток 1 2021  '!J167</f>
        <v>0</v>
      </c>
      <c r="K169" s="10">
        <f>'додаток 1 2019'!K169+'додаток 1 2020'!K169+'додаток 1 2021  '!K167</f>
        <v>5930</v>
      </c>
      <c r="L169" s="10">
        <f>'додаток 1 2019'!L169+'додаток 1 2020'!L169+'додаток 1 2021  '!L167</f>
        <v>0</v>
      </c>
      <c r="M169" s="10">
        <f>'додаток 1 2019'!M169+'додаток 1 2020'!M169+'додаток 1 2021  '!M167</f>
        <v>0</v>
      </c>
      <c r="N169" s="10">
        <f>'додаток 1 2019'!N169+'додаток 1 2020'!N169+'додаток 1 2021  '!N167</f>
        <v>0</v>
      </c>
      <c r="O169" s="10">
        <f>'додаток 1 2019'!O169+'додаток 1 2020'!O169+'додаток 1 2021  '!O167</f>
        <v>0</v>
      </c>
      <c r="P169" s="69"/>
    </row>
    <row r="170" spans="1:16" ht="25.5">
      <c r="A170" s="104" t="s">
        <v>172</v>
      </c>
      <c r="B170" s="13">
        <f t="shared" si="26"/>
        <v>2522</v>
      </c>
      <c r="C170" s="10">
        <f>'додаток 1 2019'!C170+'додаток 1 2020'!C170+'додаток 1 2021  '!C168</f>
        <v>0</v>
      </c>
      <c r="D170" s="10">
        <f>'додаток 1 2019'!D170+'додаток 1 2020'!D170+'додаток 1 2021  '!D168</f>
        <v>2522</v>
      </c>
      <c r="E170" s="10">
        <f>'додаток 1 2019'!E170+'додаток 1 2020'!E170+'додаток 1 2021  '!E168</f>
        <v>0</v>
      </c>
      <c r="F170" s="10">
        <f>'додаток 1 2019'!F170+'додаток 1 2020'!F170+'додаток 1 2021  '!F168</f>
        <v>0</v>
      </c>
      <c r="G170" s="10">
        <f>'додаток 1 2019'!G170+'додаток 1 2020'!G170+'додаток 1 2021  '!G168</f>
        <v>0</v>
      </c>
      <c r="H170" s="10">
        <f>'додаток 1 2019'!H170+'додаток 1 2020'!H170+'додаток 1 2021  '!H168</f>
        <v>0</v>
      </c>
      <c r="I170" s="13">
        <f t="shared" si="27"/>
        <v>2500</v>
      </c>
      <c r="J170" s="10">
        <f>'додаток 1 2019'!J170+'додаток 1 2020'!J170+'додаток 1 2021  '!J168</f>
        <v>0</v>
      </c>
      <c r="K170" s="10">
        <f>'додаток 1 2019'!K170+'додаток 1 2020'!K170+'додаток 1 2021  '!K168</f>
        <v>2500</v>
      </c>
      <c r="L170" s="10">
        <f>'додаток 1 2019'!L170+'додаток 1 2020'!L170+'додаток 1 2021  '!L168</f>
        <v>0</v>
      </c>
      <c r="M170" s="10">
        <f>'додаток 1 2019'!M170+'додаток 1 2020'!M170+'додаток 1 2021  '!M168</f>
        <v>0</v>
      </c>
      <c r="N170" s="10">
        <f>'додаток 1 2019'!N170+'додаток 1 2020'!N170+'додаток 1 2021  '!N168</f>
        <v>0</v>
      </c>
      <c r="O170" s="10">
        <f>'додаток 1 2019'!O170+'додаток 1 2020'!O170+'додаток 1 2021  '!O168</f>
        <v>0</v>
      </c>
      <c r="P170" s="69"/>
    </row>
    <row r="171" spans="1:16" ht="25.5">
      <c r="A171" s="104" t="s">
        <v>173</v>
      </c>
      <c r="B171" s="13">
        <f t="shared" si="26"/>
        <v>252</v>
      </c>
      <c r="C171" s="10">
        <f>'додаток 1 2019'!C171+'додаток 1 2020'!C171+'додаток 1 2021  '!C169</f>
        <v>0</v>
      </c>
      <c r="D171" s="10">
        <f>'додаток 1 2019'!D171+'додаток 1 2020'!D171+'додаток 1 2021  '!D169</f>
        <v>252</v>
      </c>
      <c r="E171" s="10">
        <f>'додаток 1 2019'!E171+'додаток 1 2020'!E171+'додаток 1 2021  '!E169</f>
        <v>0</v>
      </c>
      <c r="F171" s="10">
        <f>'додаток 1 2019'!F171+'додаток 1 2020'!F171+'додаток 1 2021  '!F169</f>
        <v>0</v>
      </c>
      <c r="G171" s="10">
        <f>'додаток 1 2019'!G171+'додаток 1 2020'!G171+'додаток 1 2021  '!G169</f>
        <v>0</v>
      </c>
      <c r="H171" s="10">
        <f>'додаток 1 2019'!H171+'додаток 1 2020'!H171+'додаток 1 2021  '!H169</f>
        <v>0</v>
      </c>
      <c r="I171" s="13">
        <f t="shared" si="27"/>
        <v>252</v>
      </c>
      <c r="J171" s="10">
        <f>'додаток 1 2019'!J171+'додаток 1 2020'!J171+'додаток 1 2021  '!J169</f>
        <v>0</v>
      </c>
      <c r="K171" s="10">
        <f>'додаток 1 2019'!K171+'додаток 1 2020'!K171+'додаток 1 2021  '!K169</f>
        <v>252</v>
      </c>
      <c r="L171" s="10">
        <f>'додаток 1 2019'!L171+'додаток 1 2020'!L171+'додаток 1 2021  '!L169</f>
        <v>0</v>
      </c>
      <c r="M171" s="10">
        <f>'додаток 1 2019'!M171+'додаток 1 2020'!M171+'додаток 1 2021  '!M169</f>
        <v>0</v>
      </c>
      <c r="N171" s="10">
        <f>'додаток 1 2019'!N171+'додаток 1 2020'!N171+'додаток 1 2021  '!N169</f>
        <v>0</v>
      </c>
      <c r="O171" s="10">
        <f>'додаток 1 2019'!O171+'додаток 1 2020'!O171+'додаток 1 2021  '!O169</f>
        <v>0</v>
      </c>
      <c r="P171" s="69"/>
    </row>
    <row r="172" spans="1:16" ht="38.25">
      <c r="A172" s="104" t="s">
        <v>174</v>
      </c>
      <c r="B172" s="13">
        <f t="shared" si="26"/>
        <v>2701.1</v>
      </c>
      <c r="C172" s="10">
        <f>'додаток 1 2019'!C172+'додаток 1 2020'!C172+'додаток 1 2021  '!C170</f>
        <v>0</v>
      </c>
      <c r="D172" s="10">
        <f>'додаток 1 2019'!D172+'додаток 1 2020'!D172+'додаток 1 2021  '!D170</f>
        <v>2701.1</v>
      </c>
      <c r="E172" s="10">
        <f>'додаток 1 2019'!E172+'додаток 1 2020'!E172+'додаток 1 2021  '!E170</f>
        <v>0</v>
      </c>
      <c r="F172" s="10">
        <f>'додаток 1 2019'!F172+'додаток 1 2020'!F172+'додаток 1 2021  '!F170</f>
        <v>0</v>
      </c>
      <c r="G172" s="10">
        <f>'додаток 1 2019'!G172+'додаток 1 2020'!G172+'додаток 1 2021  '!G170</f>
        <v>0</v>
      </c>
      <c r="H172" s="10">
        <f>'додаток 1 2019'!H172+'додаток 1 2020'!H172+'додаток 1 2021  '!H170</f>
        <v>0</v>
      </c>
      <c r="I172" s="13">
        <f t="shared" si="27"/>
        <v>2700</v>
      </c>
      <c r="J172" s="10">
        <f>'додаток 1 2019'!J172+'додаток 1 2020'!J172+'додаток 1 2021  '!J170</f>
        <v>0</v>
      </c>
      <c r="K172" s="10">
        <f>'додаток 1 2019'!K172+'додаток 1 2020'!K172+'додаток 1 2021  '!K170</f>
        <v>2700</v>
      </c>
      <c r="L172" s="10">
        <f>'додаток 1 2019'!L172+'додаток 1 2020'!L172+'додаток 1 2021  '!L170</f>
        <v>0</v>
      </c>
      <c r="M172" s="10">
        <f>'додаток 1 2019'!M172+'додаток 1 2020'!M172+'додаток 1 2021  '!M170</f>
        <v>0</v>
      </c>
      <c r="N172" s="10">
        <f>'додаток 1 2019'!N172+'додаток 1 2020'!N172+'додаток 1 2021  '!N170</f>
        <v>0</v>
      </c>
      <c r="O172" s="10">
        <f>'додаток 1 2019'!O172+'додаток 1 2020'!O172+'додаток 1 2021  '!O170</f>
        <v>0</v>
      </c>
      <c r="P172" s="69"/>
    </row>
    <row r="173" spans="1:16" ht="15">
      <c r="A173" s="25" t="s">
        <v>141</v>
      </c>
      <c r="B173" s="27">
        <f>SUM(B163:B172)</f>
        <v>56674</v>
      </c>
      <c r="C173" s="27">
        <f aca="true" t="shared" si="28" ref="C173:O173">SUM(C163:C172)</f>
        <v>0</v>
      </c>
      <c r="D173" s="27">
        <f t="shared" si="28"/>
        <v>56674</v>
      </c>
      <c r="E173" s="27">
        <f t="shared" si="28"/>
        <v>0</v>
      </c>
      <c r="F173" s="27">
        <f t="shared" si="28"/>
        <v>0</v>
      </c>
      <c r="G173" s="27">
        <f t="shared" si="28"/>
        <v>0</v>
      </c>
      <c r="H173" s="27">
        <f t="shared" si="28"/>
        <v>0</v>
      </c>
      <c r="I173" s="27">
        <f t="shared" si="28"/>
        <v>49437.7</v>
      </c>
      <c r="J173" s="27">
        <f t="shared" si="28"/>
        <v>0</v>
      </c>
      <c r="K173" s="27">
        <f t="shared" si="28"/>
        <v>49437.7</v>
      </c>
      <c r="L173" s="27">
        <f t="shared" si="28"/>
        <v>0</v>
      </c>
      <c r="M173" s="27">
        <f t="shared" si="28"/>
        <v>0</v>
      </c>
      <c r="N173" s="27">
        <f t="shared" si="28"/>
        <v>0</v>
      </c>
      <c r="O173" s="27">
        <f t="shared" si="28"/>
        <v>0</v>
      </c>
      <c r="P173" s="36">
        <f>I173/B173*100</f>
        <v>87.23171119031655</v>
      </c>
    </row>
    <row r="174" spans="1:16" ht="15">
      <c r="A174" s="131" t="s">
        <v>147</v>
      </c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3"/>
    </row>
    <row r="175" spans="1:16" ht="25.5">
      <c r="A175" s="18" t="s">
        <v>148</v>
      </c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1"/>
    </row>
    <row r="176" spans="1:16" ht="36.75" customHeight="1">
      <c r="A176" s="98" t="s">
        <v>149</v>
      </c>
      <c r="B176" s="13">
        <f>C176+D176+E176+F176+G176+H176</f>
        <v>860</v>
      </c>
      <c r="C176" s="10">
        <f>'додаток 1 2019'!C176+'додаток 1 2020'!C176+'додаток 1 2021  '!C174</f>
        <v>0</v>
      </c>
      <c r="D176" s="10">
        <f>'додаток 1 2019'!D176+'додаток 1 2020'!D176+'додаток 1 2021  '!D174</f>
        <v>860</v>
      </c>
      <c r="E176" s="10">
        <f>'додаток 1 2019'!E176+'додаток 1 2020'!E176+'додаток 1 2021  '!E174</f>
        <v>0</v>
      </c>
      <c r="F176" s="10">
        <f>'додаток 1 2019'!F176+'додаток 1 2020'!F176+'додаток 1 2021  '!F174</f>
        <v>0</v>
      </c>
      <c r="G176" s="10">
        <f>'додаток 1 2019'!G176+'додаток 1 2020'!G176+'додаток 1 2021  '!G174</f>
        <v>0</v>
      </c>
      <c r="H176" s="10">
        <f>'додаток 1 2019'!H176+'додаток 1 2020'!H176+'додаток 1 2021  '!H174</f>
        <v>0</v>
      </c>
      <c r="I176" s="13">
        <f>J176+K176+L176+M176+N176+O176</f>
        <v>854</v>
      </c>
      <c r="J176" s="10">
        <f>'додаток 1 2019'!J176+'додаток 1 2020'!J176+'додаток 1 2021  '!J174</f>
        <v>0</v>
      </c>
      <c r="K176" s="10">
        <f>'додаток 1 2019'!K176+'додаток 1 2020'!K176+'додаток 1 2021  '!K174</f>
        <v>854</v>
      </c>
      <c r="L176" s="10">
        <f>'додаток 1 2019'!L176+'додаток 1 2020'!L176+'додаток 1 2021  '!L174</f>
        <v>0</v>
      </c>
      <c r="M176" s="10">
        <f>'додаток 1 2019'!M176+'додаток 1 2020'!M176+'додаток 1 2021  '!M174</f>
        <v>0</v>
      </c>
      <c r="N176" s="10">
        <f>'додаток 1 2019'!N176+'додаток 1 2020'!N176+'додаток 1 2021  '!N174</f>
        <v>0</v>
      </c>
      <c r="O176" s="10">
        <f>'додаток 1 2019'!O176+'додаток 1 2020'!O176+'додаток 1 2021  '!O174</f>
        <v>0</v>
      </c>
      <c r="P176" s="84"/>
    </row>
    <row r="177" spans="1:16" ht="66.75" customHeight="1">
      <c r="A177" s="98" t="s">
        <v>197</v>
      </c>
      <c r="B177" s="13">
        <f>C177+D177+E177+F177+G177+H177</f>
        <v>1256.5</v>
      </c>
      <c r="C177" s="10">
        <f>'додаток 1 2021  '!C175</f>
        <v>0</v>
      </c>
      <c r="D177" s="10">
        <f>'додаток 1 2021  '!D175</f>
        <v>1256.5</v>
      </c>
      <c r="E177" s="10">
        <f>'додаток 1 2021  '!E175</f>
        <v>0</v>
      </c>
      <c r="F177" s="10">
        <f>'додаток 1 2021  '!F175</f>
        <v>0</v>
      </c>
      <c r="G177" s="10">
        <f>'додаток 1 2021  '!G175</f>
        <v>0</v>
      </c>
      <c r="H177" s="10">
        <f>'додаток 1 2021  '!H175</f>
        <v>0</v>
      </c>
      <c r="I177" s="10">
        <f>'додаток 1 2021  '!I175</f>
        <v>1236.3</v>
      </c>
      <c r="J177" s="10">
        <f>'додаток 1 2021  '!J175</f>
        <v>0</v>
      </c>
      <c r="K177" s="10">
        <f>'додаток 1 2021  '!K175</f>
        <v>1236.3</v>
      </c>
      <c r="L177" s="10">
        <f>'додаток 1 2021  '!L175</f>
        <v>0</v>
      </c>
      <c r="M177" s="10">
        <f>'додаток 1 2021  '!M175</f>
        <v>0</v>
      </c>
      <c r="N177" s="10">
        <f>'додаток 1 2021  '!N175</f>
        <v>0</v>
      </c>
      <c r="O177" s="10">
        <f>'додаток 1 2021  '!O175</f>
        <v>0</v>
      </c>
      <c r="P177" s="10">
        <f>'додаток 1 2021  '!P175</f>
        <v>0</v>
      </c>
    </row>
    <row r="178" spans="1:16" ht="69" customHeight="1">
      <c r="A178" s="98" t="s">
        <v>198</v>
      </c>
      <c r="B178" s="13">
        <f>C178+D178+E178+F178+G178+H178</f>
        <v>350</v>
      </c>
      <c r="C178" s="10">
        <f>'додаток 1 2021  '!C176</f>
        <v>350</v>
      </c>
      <c r="D178" s="10">
        <f>'додаток 1 2021  '!D176</f>
        <v>0</v>
      </c>
      <c r="E178" s="10">
        <f>'додаток 1 2021  '!E176</f>
        <v>0</v>
      </c>
      <c r="F178" s="10">
        <f>'додаток 1 2021  '!F176</f>
        <v>0</v>
      </c>
      <c r="G178" s="10">
        <f>'додаток 1 2021  '!G176</f>
        <v>0</v>
      </c>
      <c r="H178" s="10">
        <f>'додаток 1 2021  '!H176</f>
        <v>0</v>
      </c>
      <c r="I178" s="10">
        <f>'додаток 1 2021  '!I176</f>
        <v>350</v>
      </c>
      <c r="J178" s="10">
        <f>'додаток 1 2021  '!J176</f>
        <v>350</v>
      </c>
      <c r="K178" s="10">
        <f>'додаток 1 2021  '!K176</f>
        <v>0</v>
      </c>
      <c r="L178" s="10">
        <f>'додаток 1 2021  '!L176</f>
        <v>0</v>
      </c>
      <c r="M178" s="10">
        <f>'додаток 1 2021  '!M176</f>
        <v>0</v>
      </c>
      <c r="N178" s="10">
        <f>'додаток 1 2021  '!N176</f>
        <v>0</v>
      </c>
      <c r="O178" s="10">
        <f>'додаток 1 2021  '!O176</f>
        <v>0</v>
      </c>
      <c r="P178" s="84"/>
    </row>
    <row r="179" spans="1:16" ht="40.5" customHeight="1">
      <c r="A179" s="98" t="s">
        <v>199</v>
      </c>
      <c r="B179" s="13">
        <f>C179+D179+E179+F179+G179+H179</f>
        <v>4000</v>
      </c>
      <c r="C179" s="10">
        <f>'додаток 1 2021  '!C177</f>
        <v>693</v>
      </c>
      <c r="D179" s="10">
        <f>'додаток 1 2021  '!D177</f>
        <v>3307</v>
      </c>
      <c r="E179" s="10">
        <f>'додаток 1 2021  '!E177</f>
        <v>0</v>
      </c>
      <c r="F179" s="10">
        <f>'додаток 1 2021  '!F177</f>
        <v>0</v>
      </c>
      <c r="G179" s="10">
        <f>'додаток 1 2021  '!G177</f>
        <v>0</v>
      </c>
      <c r="H179" s="10">
        <f>'додаток 1 2021  '!H177</f>
        <v>0</v>
      </c>
      <c r="I179" s="10">
        <f>'додаток 1 2021  '!I177</f>
        <v>3984.7</v>
      </c>
      <c r="J179" s="10">
        <f>'додаток 1 2021  '!J177</f>
        <v>693</v>
      </c>
      <c r="K179" s="10">
        <f>'додаток 1 2021  '!K177</f>
        <v>3291.7</v>
      </c>
      <c r="L179" s="10">
        <f>'додаток 1 2021  '!L177</f>
        <v>0</v>
      </c>
      <c r="M179" s="10">
        <f>'додаток 1 2021  '!M177</f>
        <v>0</v>
      </c>
      <c r="N179" s="10">
        <f>'додаток 1 2021  '!N177</f>
        <v>0</v>
      </c>
      <c r="O179" s="10">
        <f>'додаток 1 2021  '!O177</f>
        <v>0</v>
      </c>
      <c r="P179" s="84"/>
    </row>
    <row r="180" spans="1:16" ht="15">
      <c r="A180" s="25" t="s">
        <v>150</v>
      </c>
      <c r="B180" s="27">
        <f>B176+B177+B178+B179</f>
        <v>6466.5</v>
      </c>
      <c r="C180" s="27">
        <f aca="true" t="shared" si="29" ref="C180:O180">C176+C177+C178+C179</f>
        <v>1043</v>
      </c>
      <c r="D180" s="27">
        <f t="shared" si="29"/>
        <v>5423.5</v>
      </c>
      <c r="E180" s="27">
        <f t="shared" si="29"/>
        <v>0</v>
      </c>
      <c r="F180" s="27">
        <f t="shared" si="29"/>
        <v>0</v>
      </c>
      <c r="G180" s="27">
        <f t="shared" si="29"/>
        <v>0</v>
      </c>
      <c r="H180" s="27">
        <f t="shared" si="29"/>
        <v>0</v>
      </c>
      <c r="I180" s="27">
        <f t="shared" si="29"/>
        <v>6425</v>
      </c>
      <c r="J180" s="27">
        <f t="shared" si="29"/>
        <v>1043</v>
      </c>
      <c r="K180" s="27">
        <f t="shared" si="29"/>
        <v>5382</v>
      </c>
      <c r="L180" s="27">
        <f t="shared" si="29"/>
        <v>0</v>
      </c>
      <c r="M180" s="27">
        <f t="shared" si="29"/>
        <v>0</v>
      </c>
      <c r="N180" s="27">
        <f t="shared" si="29"/>
        <v>0</v>
      </c>
      <c r="O180" s="27">
        <f t="shared" si="29"/>
        <v>0</v>
      </c>
      <c r="P180" s="36">
        <f>I180/B180*100</f>
        <v>99.35823088223923</v>
      </c>
    </row>
    <row r="181" spans="1:16" ht="15">
      <c r="A181" s="131" t="s">
        <v>164</v>
      </c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3"/>
    </row>
    <row r="182" spans="1:16" ht="25.5">
      <c r="A182" s="18" t="s">
        <v>148</v>
      </c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1"/>
    </row>
    <row r="183" spans="1:16" ht="35.25" customHeight="1">
      <c r="A183" s="99" t="s">
        <v>165</v>
      </c>
      <c r="B183" s="13">
        <f>C183+D183+E183+F183+G183+H183</f>
        <v>2081</v>
      </c>
      <c r="C183" s="10">
        <f>'додаток 1 2019'!C180+'додаток 1 2020'!C180+'додаток 1 2021  '!C181</f>
        <v>0</v>
      </c>
      <c r="D183" s="10">
        <f>'додаток 1 2019'!D180+'додаток 1 2020'!D180+'додаток 1 2021  '!D181</f>
        <v>900</v>
      </c>
      <c r="E183" s="10">
        <f>'додаток 1 2019'!E180+'додаток 1 2020'!E180+'додаток 1 2021  '!E181</f>
        <v>0</v>
      </c>
      <c r="F183" s="10">
        <f>'додаток 1 2019'!F180+'додаток 1 2020'!F180+'додаток 1 2021  '!F181</f>
        <v>0</v>
      </c>
      <c r="G183" s="10">
        <f>'додаток 1 2019'!G180+'додаток 1 2020'!G180+'додаток 1 2021  '!G181</f>
        <v>0</v>
      </c>
      <c r="H183" s="10">
        <f>'додаток 1 2019'!H180+'додаток 1 2020'!H180+'додаток 1 2021  '!H181</f>
        <v>1181</v>
      </c>
      <c r="I183" s="13">
        <f>J183+K183+L183+M183+N183+O183</f>
        <v>2080.3</v>
      </c>
      <c r="J183" s="10">
        <f>'додаток 1 2019'!J180+'додаток 1 2020'!J180+'додаток 1 2021  '!J181</f>
        <v>0</v>
      </c>
      <c r="K183" s="10">
        <f>'додаток 1 2019'!K180+'додаток 1 2020'!K180+'додаток 1 2021  '!K181</f>
        <v>899.3</v>
      </c>
      <c r="L183" s="10">
        <f>'додаток 1 2019'!L180+'додаток 1 2020'!L180+'додаток 1 2021  '!L181</f>
        <v>0</v>
      </c>
      <c r="M183" s="10">
        <f>'додаток 1 2019'!M180+'додаток 1 2020'!M180+'додаток 1 2021  '!M181</f>
        <v>0</v>
      </c>
      <c r="N183" s="10">
        <f>'додаток 1 2019'!N180+'додаток 1 2020'!N180+'додаток 1 2021  '!N181</f>
        <v>0</v>
      </c>
      <c r="O183" s="10">
        <f>'додаток 1 2019'!O180+'додаток 1 2020'!O180+'додаток 1 2021  '!O181</f>
        <v>1181</v>
      </c>
      <c r="P183" s="69"/>
    </row>
    <row r="184" spans="1:16" ht="35.25" customHeight="1">
      <c r="A184" s="99" t="s">
        <v>200</v>
      </c>
      <c r="B184" s="13">
        <f>C184+D184+E184+F184+G184+H184</f>
        <v>1133.9</v>
      </c>
      <c r="C184" s="10">
        <f>'додаток 1 2021  '!C182</f>
        <v>0</v>
      </c>
      <c r="D184" s="10">
        <f>'додаток 1 2021  '!D182</f>
        <v>400</v>
      </c>
      <c r="E184" s="10">
        <f>'додаток 1 2021  '!E182</f>
        <v>0</v>
      </c>
      <c r="F184" s="10">
        <f>'додаток 1 2021  '!F182</f>
        <v>0</v>
      </c>
      <c r="G184" s="10">
        <f>'додаток 1 2021  '!G182</f>
        <v>0</v>
      </c>
      <c r="H184" s="10">
        <f>'додаток 1 2021  '!H182</f>
        <v>733.9</v>
      </c>
      <c r="I184" s="10">
        <f>'додаток 1 2021  '!I182</f>
        <v>1031.7</v>
      </c>
      <c r="J184" s="10">
        <f>'додаток 1 2021  '!J182</f>
        <v>0</v>
      </c>
      <c r="K184" s="10">
        <f>'додаток 1 2021  '!K182</f>
        <v>311.1</v>
      </c>
      <c r="L184" s="10">
        <f>'додаток 1 2021  '!L182</f>
        <v>0</v>
      </c>
      <c r="M184" s="10">
        <f>'додаток 1 2021  '!M182</f>
        <v>0</v>
      </c>
      <c r="N184" s="10">
        <f>'додаток 1 2021  '!N182</f>
        <v>0</v>
      </c>
      <c r="O184" s="10">
        <f>'додаток 1 2021  '!O182</f>
        <v>720.6</v>
      </c>
      <c r="P184" s="69"/>
    </row>
    <row r="185" spans="1:16" ht="48.75" customHeight="1">
      <c r="A185" s="99" t="s">
        <v>201</v>
      </c>
      <c r="B185" s="13">
        <f>C185+D185+E185+F185+G185+H185</f>
        <v>2621.8</v>
      </c>
      <c r="C185" s="10">
        <f>'додаток 1 2021  '!C183</f>
        <v>0</v>
      </c>
      <c r="D185" s="10">
        <f>'додаток 1 2021  '!D183</f>
        <v>909.9</v>
      </c>
      <c r="E185" s="10">
        <f>'додаток 1 2021  '!E183</f>
        <v>0</v>
      </c>
      <c r="F185" s="10">
        <f>'додаток 1 2021  '!F183</f>
        <v>0</v>
      </c>
      <c r="G185" s="10">
        <f>'додаток 1 2021  '!G183</f>
        <v>0</v>
      </c>
      <c r="H185" s="10">
        <f>'додаток 1 2021  '!H183</f>
        <v>1711.9</v>
      </c>
      <c r="I185" s="10">
        <f>'додаток 1 2021  '!I183</f>
        <v>2366.6</v>
      </c>
      <c r="J185" s="10">
        <f>'додаток 1 2021  '!J183</f>
        <v>0</v>
      </c>
      <c r="K185" s="10">
        <f>'додаток 1 2021  '!K183</f>
        <v>776.4</v>
      </c>
      <c r="L185" s="10">
        <f>'додаток 1 2021  '!L183</f>
        <v>0</v>
      </c>
      <c r="M185" s="10">
        <f>'додаток 1 2021  '!M183</f>
        <v>0</v>
      </c>
      <c r="N185" s="10">
        <f>'додаток 1 2021  '!N183</f>
        <v>0</v>
      </c>
      <c r="O185" s="10">
        <f>'додаток 1 2021  '!O183</f>
        <v>1590.2</v>
      </c>
      <c r="P185" s="69"/>
    </row>
    <row r="186" spans="1:16" ht="43.5" customHeight="1">
      <c r="A186" s="99" t="s">
        <v>202</v>
      </c>
      <c r="B186" s="13">
        <f>C186+D186+E186+F186+G186+H186</f>
        <v>1002.4</v>
      </c>
      <c r="C186" s="10">
        <f>'додаток 1 2021  '!C184</f>
        <v>0</v>
      </c>
      <c r="D186" s="10">
        <f>'додаток 1 2021  '!D184</f>
        <v>300.7</v>
      </c>
      <c r="E186" s="10">
        <f>'додаток 1 2021  '!E184</f>
        <v>0</v>
      </c>
      <c r="F186" s="10">
        <f>'додаток 1 2021  '!F184</f>
        <v>0</v>
      </c>
      <c r="G186" s="10">
        <f>'додаток 1 2021  '!G184</f>
        <v>287.8</v>
      </c>
      <c r="H186" s="10">
        <f>'додаток 1 2021  '!H184</f>
        <v>413.9</v>
      </c>
      <c r="I186" s="10">
        <f>'додаток 1 2021  '!I184</f>
        <v>1000.0999999999999</v>
      </c>
      <c r="J186" s="10">
        <f>'додаток 1 2021  '!J184</f>
        <v>0</v>
      </c>
      <c r="K186" s="10">
        <f>'додаток 1 2021  '!K184</f>
        <v>299</v>
      </c>
      <c r="L186" s="10">
        <f>'додаток 1 2021  '!L184</f>
        <v>0</v>
      </c>
      <c r="M186" s="10">
        <f>'додаток 1 2021  '!M184</f>
        <v>0</v>
      </c>
      <c r="N186" s="10">
        <f>'додаток 1 2021  '!N184</f>
        <v>287.3</v>
      </c>
      <c r="O186" s="10">
        <f>'додаток 1 2021  '!O184</f>
        <v>413.8</v>
      </c>
      <c r="P186" s="69"/>
    </row>
    <row r="187" spans="1:16" ht="15" customHeight="1">
      <c r="A187" s="25" t="s">
        <v>166</v>
      </c>
      <c r="B187" s="27">
        <f>B183+B184+B185+B186</f>
        <v>6839.1</v>
      </c>
      <c r="C187" s="27">
        <f aca="true" t="shared" si="30" ref="C187:O187">C183+C184+C185+C186</f>
        <v>0</v>
      </c>
      <c r="D187" s="27">
        <f t="shared" si="30"/>
        <v>2510.6</v>
      </c>
      <c r="E187" s="27">
        <f t="shared" si="30"/>
        <v>0</v>
      </c>
      <c r="F187" s="27">
        <f t="shared" si="30"/>
        <v>0</v>
      </c>
      <c r="G187" s="27">
        <f t="shared" si="30"/>
        <v>287.8</v>
      </c>
      <c r="H187" s="27">
        <f t="shared" si="30"/>
        <v>4040.7000000000003</v>
      </c>
      <c r="I187" s="27">
        <f t="shared" si="30"/>
        <v>6478.700000000001</v>
      </c>
      <c r="J187" s="27">
        <f t="shared" si="30"/>
        <v>0</v>
      </c>
      <c r="K187" s="27">
        <f t="shared" si="30"/>
        <v>2285.8</v>
      </c>
      <c r="L187" s="27">
        <f t="shared" si="30"/>
        <v>0</v>
      </c>
      <c r="M187" s="27">
        <f t="shared" si="30"/>
        <v>0</v>
      </c>
      <c r="N187" s="27">
        <f t="shared" si="30"/>
        <v>287.3</v>
      </c>
      <c r="O187" s="27">
        <f t="shared" si="30"/>
        <v>3905.6000000000004</v>
      </c>
      <c r="P187" s="36">
        <f>I187/B187*100</f>
        <v>94.73030077056923</v>
      </c>
    </row>
    <row r="188" spans="1:16" ht="47.25">
      <c r="A188" s="24" t="s">
        <v>145</v>
      </c>
      <c r="B188" s="37">
        <f aca="true" t="shared" si="31" ref="B188:O188">B57+B79+B84+B94+B103+B107+B111+B115+B120+B133+B138+B148+B154+B160+B173+B180+B187</f>
        <v>3287467.9</v>
      </c>
      <c r="C188" s="37">
        <f t="shared" si="31"/>
        <v>1800178.6</v>
      </c>
      <c r="D188" s="37">
        <f t="shared" si="31"/>
        <v>226714.29999999996</v>
      </c>
      <c r="E188" s="37">
        <f t="shared" si="31"/>
        <v>2350.3</v>
      </c>
      <c r="F188" s="37">
        <f t="shared" si="31"/>
        <v>437</v>
      </c>
      <c r="G188" s="37">
        <f t="shared" si="31"/>
        <v>1219818.0999999999</v>
      </c>
      <c r="H188" s="37">
        <f t="shared" si="31"/>
        <v>37969.6</v>
      </c>
      <c r="I188" s="37">
        <f t="shared" si="31"/>
        <v>3131791.670000001</v>
      </c>
      <c r="J188" s="37">
        <f t="shared" si="31"/>
        <v>1699406.9700000002</v>
      </c>
      <c r="K188" s="37">
        <f t="shared" si="31"/>
        <v>188254.19999999995</v>
      </c>
      <c r="L188" s="37">
        <f t="shared" si="31"/>
        <v>1757.8</v>
      </c>
      <c r="M188" s="37">
        <f t="shared" si="31"/>
        <v>264</v>
      </c>
      <c r="N188" s="37">
        <f t="shared" si="31"/>
        <v>1205860.4000000001</v>
      </c>
      <c r="O188" s="37">
        <f t="shared" si="31"/>
        <v>36248.3</v>
      </c>
      <c r="P188" s="38">
        <f>I188/B188*100</f>
        <v>95.26455513071325</v>
      </c>
    </row>
    <row r="189" spans="1:16" s="54" customFormat="1" ht="15">
      <c r="A189" s="53"/>
      <c r="B189" s="53"/>
      <c r="C189" s="90">
        <f>C188+D188</f>
        <v>2026892.9000000001</v>
      </c>
      <c r="D189" s="53"/>
      <c r="E189" s="90">
        <f>E188+F188</f>
        <v>2787.3</v>
      </c>
      <c r="F189" s="53"/>
      <c r="G189" s="90">
        <f>G188+H188</f>
        <v>1257787.7</v>
      </c>
      <c r="H189" s="53"/>
      <c r="I189" s="53"/>
      <c r="J189" s="53"/>
      <c r="K189" s="53"/>
      <c r="L189" s="53"/>
      <c r="M189" s="53"/>
      <c r="N189" s="53"/>
      <c r="O189" s="53"/>
      <c r="P189" s="53"/>
    </row>
    <row r="190" spans="1:16" s="54" customFormat="1" ht="15">
      <c r="A190" s="53"/>
      <c r="B190" s="90">
        <f>C190+D190</f>
        <v>3287467.9</v>
      </c>
      <c r="C190" s="90">
        <f>C188+E188+G188</f>
        <v>3022347</v>
      </c>
      <c r="D190" s="90">
        <f>D188+F188+H188</f>
        <v>265120.89999999997</v>
      </c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</row>
    <row r="191" spans="1:16" ht="18.75">
      <c r="A191" s="51"/>
      <c r="B191" s="4"/>
      <c r="C191" s="78"/>
      <c r="D191" s="78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1:16" ht="18.75">
      <c r="A192" s="143" t="s">
        <v>208</v>
      </c>
      <c r="B192" s="143"/>
      <c r="C192" s="143"/>
      <c r="D192" s="143"/>
      <c r="E192" s="143"/>
      <c r="F192" s="143"/>
      <c r="G192" s="50"/>
      <c r="H192" s="50"/>
      <c r="I192" s="50"/>
      <c r="J192" s="50"/>
      <c r="K192" s="144" t="s">
        <v>209</v>
      </c>
      <c r="L192" s="144"/>
      <c r="M192" s="144"/>
      <c r="N192" s="144"/>
      <c r="O192" s="144"/>
      <c r="P192" s="50"/>
    </row>
    <row r="193" spans="1:16" ht="15.75">
      <c r="A193" s="52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1:16" ht="15.75">
      <c r="A194" s="52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ht="15.75">
      <c r="A195" s="52"/>
    </row>
    <row r="196" ht="15.75">
      <c r="A196" s="52"/>
    </row>
  </sheetData>
  <sheetProtection/>
  <mergeCells count="49">
    <mergeCell ref="A192:F192"/>
    <mergeCell ref="K192:O192"/>
    <mergeCell ref="D12:P12"/>
    <mergeCell ref="D13:P13"/>
    <mergeCell ref="A161:P161"/>
    <mergeCell ref="A174:P174"/>
    <mergeCell ref="A181:P181"/>
    <mergeCell ref="A116:P116"/>
    <mergeCell ref="A121:P121"/>
    <mergeCell ref="A134:P134"/>
    <mergeCell ref="A155:P155"/>
    <mergeCell ref="A80:P80"/>
    <mergeCell ref="A85:P85"/>
    <mergeCell ref="A95:P95"/>
    <mergeCell ref="A104:P104"/>
    <mergeCell ref="A108:P108"/>
    <mergeCell ref="A112:P112"/>
    <mergeCell ref="J36:K36"/>
    <mergeCell ref="L36:M36"/>
    <mergeCell ref="A39:P39"/>
    <mergeCell ref="A58:P58"/>
    <mergeCell ref="A139:P139"/>
    <mergeCell ref="A149:P149"/>
    <mergeCell ref="P32:P33"/>
    <mergeCell ref="B33:H33"/>
    <mergeCell ref="I33:O33"/>
    <mergeCell ref="B34:B37"/>
    <mergeCell ref="C34:H34"/>
    <mergeCell ref="I34:I37"/>
    <mergeCell ref="J34:O34"/>
    <mergeCell ref="P34:P37"/>
    <mergeCell ref="C35:F35"/>
    <mergeCell ref="G35:H36"/>
    <mergeCell ref="D10:J10"/>
    <mergeCell ref="D11:J11"/>
    <mergeCell ref="D14:M14"/>
    <mergeCell ref="A32:A37"/>
    <mergeCell ref="B32:H32"/>
    <mergeCell ref="I32:O32"/>
    <mergeCell ref="J35:M35"/>
    <mergeCell ref="N35:O36"/>
    <mergeCell ref="C36:D36"/>
    <mergeCell ref="E36:F36"/>
    <mergeCell ref="A5:P5"/>
    <mergeCell ref="A6:P6"/>
    <mergeCell ref="D8:J8"/>
    <mergeCell ref="D9:J9"/>
    <mergeCell ref="M1:P1"/>
    <mergeCell ref="M2:P2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7:I47"/>
  <sheetViews>
    <sheetView zoomScalePageLayoutView="0" workbookViewId="0" topLeftCell="D34">
      <selection activeCell="H42" sqref="H42"/>
    </sheetView>
  </sheetViews>
  <sheetFormatPr defaultColWidth="9.140625" defaultRowHeight="15"/>
  <cols>
    <col min="1" max="3" width="0" style="0" hidden="1" customWidth="1"/>
    <col min="4" max="7" width="15.57421875" style="0" customWidth="1"/>
    <col min="8" max="8" width="15.421875" style="0" customWidth="1"/>
    <col min="9" max="9" width="26.57421875" style="0" customWidth="1"/>
  </cols>
  <sheetData>
    <row r="6" ht="15.75" thickBot="1"/>
    <row r="7" spans="4:9" ht="16.5" thickBot="1">
      <c r="D7" s="107">
        <v>926708</v>
      </c>
      <c r="E7" s="108">
        <v>1040608</v>
      </c>
      <c r="F7" s="108">
        <v>1273848.5</v>
      </c>
      <c r="G7" s="109">
        <v>3241164.5</v>
      </c>
      <c r="H7">
        <f>D7+E7+F7</f>
        <v>3241164.5</v>
      </c>
      <c r="I7">
        <f>G7-H7</f>
        <v>0</v>
      </c>
    </row>
    <row r="8" spans="4:9" ht="16.5" thickBot="1">
      <c r="D8" s="110">
        <v>843766</v>
      </c>
      <c r="E8" s="111">
        <v>966299.2</v>
      </c>
      <c r="F8" s="111">
        <v>1176143.3</v>
      </c>
      <c r="G8" s="112">
        <f>SUM(D8:F8)</f>
        <v>2986208.5</v>
      </c>
      <c r="H8">
        <f aca="true" t="shared" si="0" ref="H8:H15">D8+E8+F8</f>
        <v>2986208.5</v>
      </c>
      <c r="I8">
        <f aca="true" t="shared" si="1" ref="I8:I15">G8-H8</f>
        <v>0</v>
      </c>
    </row>
    <row r="9" spans="4:9" ht="16.5" thickBot="1">
      <c r="D9" s="110">
        <v>82942</v>
      </c>
      <c r="E9" s="111">
        <v>74308.8</v>
      </c>
      <c r="F9" s="111">
        <v>97705.2</v>
      </c>
      <c r="G9" s="114">
        <f>SUM(D9:F9)</f>
        <v>254956</v>
      </c>
      <c r="H9">
        <f t="shared" si="0"/>
        <v>254956</v>
      </c>
      <c r="I9">
        <f t="shared" si="1"/>
        <v>0</v>
      </c>
    </row>
    <row r="10" spans="4:9" ht="16.5" thickBot="1">
      <c r="D10" s="110">
        <v>39926.5</v>
      </c>
      <c r="E10" s="111">
        <v>44944.9</v>
      </c>
      <c r="F10" s="111">
        <v>50873.9</v>
      </c>
      <c r="G10" s="112">
        <v>135745.3</v>
      </c>
      <c r="H10">
        <f t="shared" si="0"/>
        <v>135745.3</v>
      </c>
      <c r="I10">
        <f t="shared" si="1"/>
        <v>0</v>
      </c>
    </row>
    <row r="11" spans="4:9" ht="16.5" thickBot="1">
      <c r="D11" s="110">
        <v>335492.8</v>
      </c>
      <c r="E11" s="111">
        <v>405873.1</v>
      </c>
      <c r="F11" s="111">
        <v>510451</v>
      </c>
      <c r="G11" s="112">
        <f>SUM(D11:F11)</f>
        <v>1251816.9</v>
      </c>
      <c r="H11">
        <f t="shared" si="0"/>
        <v>1251816.9</v>
      </c>
      <c r="I11">
        <f t="shared" si="1"/>
        <v>0</v>
      </c>
    </row>
    <row r="12" spans="4:9" ht="16.5" thickBot="1">
      <c r="D12" s="110">
        <v>2054</v>
      </c>
      <c r="E12" s="111">
        <v>355.7</v>
      </c>
      <c r="F12" s="111">
        <v>377.6</v>
      </c>
      <c r="G12" s="112">
        <v>2787.3</v>
      </c>
      <c r="H12">
        <f t="shared" si="0"/>
        <v>2787.2999999999997</v>
      </c>
      <c r="I12">
        <f t="shared" si="1"/>
        <v>0</v>
      </c>
    </row>
    <row r="13" spans="4:9" ht="16.5" thickBot="1">
      <c r="D13" s="110">
        <v>589161.2</v>
      </c>
      <c r="E13" s="112"/>
      <c r="F13" s="112"/>
      <c r="G13" s="112">
        <v>589161.2</v>
      </c>
      <c r="H13">
        <f t="shared" si="0"/>
        <v>589161.2</v>
      </c>
      <c r="I13">
        <f t="shared" si="1"/>
        <v>0</v>
      </c>
    </row>
    <row r="14" spans="4:9" ht="16.5" thickBot="1">
      <c r="D14" s="113"/>
      <c r="E14" s="111">
        <v>634379.2</v>
      </c>
      <c r="F14" s="112"/>
      <c r="G14" s="112">
        <v>634379.2</v>
      </c>
      <c r="H14">
        <f t="shared" si="0"/>
        <v>634379.2</v>
      </c>
      <c r="I14">
        <f t="shared" si="1"/>
        <v>0</v>
      </c>
    </row>
    <row r="15" spans="4:9" ht="16.5" thickBot="1">
      <c r="D15" s="113"/>
      <c r="E15" s="112"/>
      <c r="F15" s="111">
        <v>763019.9</v>
      </c>
      <c r="G15" s="112">
        <v>763019.9</v>
      </c>
      <c r="H15">
        <f t="shared" si="0"/>
        <v>763019.9</v>
      </c>
      <c r="I15">
        <f t="shared" si="1"/>
        <v>0</v>
      </c>
    </row>
    <row r="37" ht="15.75" thickBot="1"/>
    <row r="38" spans="5:8" ht="16.5" thickBot="1">
      <c r="E38" s="107">
        <v>926708</v>
      </c>
      <c r="F38" s="108">
        <v>1040608</v>
      </c>
      <c r="G38" s="108">
        <v>1276448.6</v>
      </c>
      <c r="H38" s="109">
        <v>3243764.6</v>
      </c>
    </row>
    <row r="39" spans="5:8" ht="16.5" thickBot="1">
      <c r="E39" s="110">
        <v>843766</v>
      </c>
      <c r="F39" s="111">
        <v>966299.2</v>
      </c>
      <c r="G39" s="111">
        <v>1177151.6</v>
      </c>
      <c r="H39" s="112">
        <f>SUM(E39:G39)</f>
        <v>2987216.8</v>
      </c>
    </row>
    <row r="40" spans="5:8" ht="16.5" thickBot="1">
      <c r="E40" s="110">
        <v>82942</v>
      </c>
      <c r="F40" s="111">
        <v>74308.8</v>
      </c>
      <c r="G40" s="111">
        <v>99297</v>
      </c>
      <c r="H40" s="112">
        <f>SUM(E40:G40)</f>
        <v>256547.8</v>
      </c>
    </row>
    <row r="41" spans="5:8" ht="16.5" thickBot="1">
      <c r="E41" s="110">
        <v>39926.5</v>
      </c>
      <c r="F41" s="111">
        <v>44944.9</v>
      </c>
      <c r="G41" s="111">
        <v>51265.5</v>
      </c>
      <c r="H41" s="112">
        <f>SUM(E41:G41)</f>
        <v>136136.9</v>
      </c>
    </row>
    <row r="42" spans="5:8" ht="16.5" thickBot="1">
      <c r="E42" s="110">
        <v>335492.8</v>
      </c>
      <c r="F42" s="111">
        <v>405873.1</v>
      </c>
      <c r="G42" s="111">
        <v>512647.1</v>
      </c>
      <c r="H42" s="112">
        <f>SUM(E42:G42)</f>
        <v>1254013</v>
      </c>
    </row>
    <row r="43" spans="5:8" ht="16.5" thickBot="1">
      <c r="E43" s="110">
        <v>2054</v>
      </c>
      <c r="F43" s="111">
        <v>355.7</v>
      </c>
      <c r="G43" s="111">
        <v>377.6</v>
      </c>
      <c r="H43" s="112">
        <v>2787.3</v>
      </c>
    </row>
    <row r="44" spans="5:8" ht="16.5" thickBot="1">
      <c r="E44" s="110">
        <v>589161.2</v>
      </c>
      <c r="F44" s="112"/>
      <c r="G44" s="112"/>
      <c r="H44" s="112">
        <v>589161.2</v>
      </c>
    </row>
    <row r="45" spans="5:8" ht="16.5" thickBot="1">
      <c r="E45" s="113"/>
      <c r="F45" s="111">
        <v>634379.2</v>
      </c>
      <c r="G45" s="112"/>
      <c r="H45" s="112">
        <v>634379.2</v>
      </c>
    </row>
    <row r="46" spans="5:8" ht="16.5" thickBot="1">
      <c r="E46" s="113"/>
      <c r="F46" s="112"/>
      <c r="G46" s="111">
        <v>763423.9</v>
      </c>
      <c r="H46" s="112">
        <v>763423.9</v>
      </c>
    </row>
    <row r="47" ht="15">
      <c r="H47">
        <f>H42+H43+H44+H45+H46</f>
        <v>3243764.6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Гончарова Наталія Олександрівна</dc:creator>
  <cp:keywords/>
  <dc:description/>
  <cp:lastModifiedBy>Гончарова Наталія Олександрівна</cp:lastModifiedBy>
  <cp:lastPrinted>2023-12-15T08:05:05Z</cp:lastPrinted>
  <dcterms:created xsi:type="dcterms:W3CDTF">2019-03-01T13:03:17Z</dcterms:created>
  <dcterms:modified xsi:type="dcterms:W3CDTF">2023-12-26T13:20:21Z</dcterms:modified>
  <cp:category/>
  <cp:version/>
  <cp:contentType/>
  <cp:contentStatus/>
</cp:coreProperties>
</file>