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даток 2022" sheetId="1" r:id="rId1"/>
    <sheet name="додаток 2023" sheetId="2" state="hidden" r:id="rId2"/>
    <sheet name="додаток 2024" sheetId="3" state="hidden" r:id="rId3"/>
    <sheet name="зведений 2022-2024" sheetId="4" state="hidden" r:id="rId4"/>
  </sheets>
  <definedNames>
    <definedName name="_GoBack" localSheetId="0">'додаток 2022'!$P$75</definedName>
  </definedNames>
  <calcPr fullCalcOnLoad="1"/>
</workbook>
</file>

<file path=xl/sharedStrings.xml><?xml version="1.0" encoding="utf-8"?>
<sst xmlns="http://schemas.openxmlformats.org/spreadsheetml/2006/main" count="618" uniqueCount="162">
  <si>
    <t>Назва міської програми</t>
  </si>
  <si>
    <t xml:space="preserve">Плановий обсяг фінансування </t>
  </si>
  <si>
    <t xml:space="preserve">Фактичний обсяг фінансування  </t>
  </si>
  <si>
    <t>Стан виконання (показники ефективності ,%)</t>
  </si>
  <si>
    <t>Усього</t>
  </si>
  <si>
    <t>у тому числі</t>
  </si>
  <si>
    <t>міський бюджет</t>
  </si>
  <si>
    <t xml:space="preserve">обласний бюджет </t>
  </si>
  <si>
    <t>загальний фонд</t>
  </si>
  <si>
    <t>спеціальний фонд</t>
  </si>
  <si>
    <t>Місцевий бюджет</t>
  </si>
  <si>
    <t>Державний бюджет</t>
  </si>
  <si>
    <t>Всього на виконання підпрограми 1</t>
  </si>
  <si>
    <t>Всього на виконання підпрограми 2</t>
  </si>
  <si>
    <t>Всього на виконання підпрограми 3</t>
  </si>
  <si>
    <t>1.2. Реалізація міського проекту «Мистецтво і діти»</t>
  </si>
  <si>
    <t>Всього на виконання підпрограми 4</t>
  </si>
  <si>
    <t>Всього на виконання підпрограми 5</t>
  </si>
  <si>
    <t>Всього на виконання підпрограми 6</t>
  </si>
  <si>
    <t>Всього на виконання підпрограми 7</t>
  </si>
  <si>
    <t>Всього на виконання підпрограми 8</t>
  </si>
  <si>
    <t>Всього на виконання підпрограми 9</t>
  </si>
  <si>
    <t>Всього на виконання підпрограми 10</t>
  </si>
  <si>
    <t>Всього на виконання підпрограми 12</t>
  </si>
  <si>
    <t>Інформація</t>
  </si>
  <si>
    <t>1.</t>
  </si>
  <si>
    <t>Управління освіти і науки Сумської міської ради</t>
  </si>
  <si>
    <t>КВКВ</t>
  </si>
  <si>
    <t>найменування головного розпорядника коштів програми</t>
  </si>
  <si>
    <t xml:space="preserve">2. </t>
  </si>
  <si>
    <t>найменування відповідального виконавця програми</t>
  </si>
  <si>
    <t>3.</t>
  </si>
  <si>
    <t>найменування програми, дата і номер рішення міської ради про її затвердження</t>
  </si>
  <si>
    <t>КПКВК</t>
  </si>
  <si>
    <t>________________ __________.2019 р.</t>
  </si>
  <si>
    <t>Сумський міський голова</t>
  </si>
  <si>
    <t>Додаток 2</t>
  </si>
  <si>
    <t>Дошкільна освіта ( підпрограма 1)</t>
  </si>
  <si>
    <t>Завдання 1. Розвиток дошкільної освіти</t>
  </si>
  <si>
    <t xml:space="preserve">1.1. Забезпечення якісного виховання дітей у закладах дошкільної освіти </t>
  </si>
  <si>
    <t xml:space="preserve">1.2. Забезпечення харчуванням вихованців  у закладах дошкільної освіти     </t>
  </si>
  <si>
    <t>1.3. Підвищення рівня комфортних умов для вихованців закладів дошкільної освіти</t>
  </si>
  <si>
    <t>1.4. Реалізація заходів з протипожежної безпеки</t>
  </si>
  <si>
    <t>1.5. Придбання обладнання довгострокового користування</t>
  </si>
  <si>
    <t>1.6. Капітальний ремонт будівель, приміщень, інженерних мереж, території</t>
  </si>
  <si>
    <t>1.7. Оснащення закладів дошкільної освіти пожежною сигналізацією</t>
  </si>
  <si>
    <r>
      <t xml:space="preserve">Загальна середня освіта  у закладах загальної середньої освіти </t>
    </r>
    <r>
      <rPr>
        <sz val="12"/>
        <color indexed="8"/>
        <rFont val="Times New Roman"/>
        <family val="1"/>
      </rPr>
      <t>(підпрограма 2)</t>
    </r>
  </si>
  <si>
    <t>Завдання 1. Розвиток загальної середньої освіти</t>
  </si>
  <si>
    <t xml:space="preserve">1.1. Забезпечення рівного доступу до якісної освіти учнів закладів загальної середньої освіти </t>
  </si>
  <si>
    <r>
      <t xml:space="preserve">1.2. </t>
    </r>
    <r>
      <rPr>
        <sz val="10"/>
        <color indexed="8"/>
        <rFont val="Times New Roman"/>
        <family val="1"/>
      </rPr>
      <t>Надання можливості отримання загальної середньої освіти дітям з особливими освітніми потребами, які навчаються у спеціальних та інклюзивних класах</t>
    </r>
  </si>
  <si>
    <t>1.4. Підвищення рівня комфортних умов для учнів закладів загальної середньої освіти та НВК</t>
  </si>
  <si>
    <t>1.5. Реалізація заходів з протипожежної безпеки</t>
  </si>
  <si>
    <t>1.6. Придбання обладнання довгострокового користування</t>
  </si>
  <si>
    <t>1.7. Капітальний ремонт будівель та приміщень</t>
  </si>
  <si>
    <t>1.8. Оснащення закладів загальної середньої освіти  пожежною сигналізацією</t>
  </si>
  <si>
    <t>Завдання 1. Розвиток загальної середньої освіти для дітей з особливими освітніми потребами</t>
  </si>
  <si>
    <t>Завдання 1. Розвиток позашкільної освіти</t>
  </si>
  <si>
    <t xml:space="preserve">1.1. Забезпечення належного навчання вихованців закладів позашкільної освіти 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</si>
  <si>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вихованців закладів позашкільної освіти</t>
    </r>
  </si>
  <si>
    <t>1.3. Реалізація заходів з протипожежної безпеки</t>
  </si>
  <si>
    <t>1.4. Придбання обладнання довгострокового користування</t>
  </si>
  <si>
    <t xml:space="preserve">1.5. Капітальний ремонт будівель </t>
  </si>
  <si>
    <t>1.6. Оснащення закладів позашкільної освіти пожежною сигналізацією</t>
  </si>
  <si>
    <t>Завдання 1. Стабільне фінансування закладів освіти</t>
  </si>
  <si>
    <t>1.1. Забезпечення ведення бухгалтерського обліку закладів та установ освіти, складання та надання кошторисної, звітної, фінансової документації, фінансування установ згідно з затвердженими кошторисами</t>
  </si>
  <si>
    <t>Завдання 1. Стабільне функціонування закладів освіти</t>
  </si>
  <si>
    <t>1.1. Забезпечення раціонального використання енергоресурсів, створення безпечних та комфортних умов перебування здобувачів освіти у приміщеннях закладів</t>
  </si>
  <si>
    <t xml:space="preserve">Завдання 1. Забезпечення можливостей використання творчого потенціалу дітей, створення умов для розвитку і підтримки талантів, захист дітей </t>
  </si>
  <si>
    <t>1.1. Надання адресної підтримки обдарованій молоді шляхом призначення та виплати  стипендій</t>
  </si>
  <si>
    <t>Завдання 1. Підвищення рівня комфортних умов для здобувачів освіти в МНВК</t>
  </si>
  <si>
    <t>1.1. Забезпечення належних умов навчання учнів у МНВК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</si>
  <si>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учнів у МНВК</t>
    </r>
  </si>
  <si>
    <t>Завдання 2. Розвиток логопедичних пунктів</t>
  </si>
  <si>
    <t>2.1. Забезпечення належних умов надання лопопедичних послуг</t>
  </si>
  <si>
    <t>Завдання 1. Розвиток інклюзивно – ресурсного центру</t>
  </si>
  <si>
    <t>1.1. Забезпечення належних умов надання послуг здобувачам освіти з особливими освітніми потребами</t>
  </si>
  <si>
    <t>1.2. Підвищення рівня комфортних умов в ІРЦ</t>
  </si>
  <si>
    <t>1.3. Придбання обладнання довгострокового користування для ІРЦ</t>
  </si>
  <si>
    <t>Всього на виконання підпрограми 13</t>
  </si>
  <si>
    <t>Всього на виконання підпрограми 14</t>
  </si>
  <si>
    <t>Завдання 1. Розвиток та модернізація матеріально-технічної бази закладів освіти</t>
  </si>
  <si>
    <t>Всього на виконання підпрограми 15</t>
  </si>
  <si>
    <t>від ___________ 2020 № ___- МР</t>
  </si>
  <si>
    <t>Завдання 3. Професійний розвиток педагогічних працівників</t>
  </si>
  <si>
    <t>________________</t>
  </si>
  <si>
    <t>Сумської міської ради від 24 листопада 2021 року № 2512-МР (зі змінами)</t>
  </si>
  <si>
    <t xml:space="preserve">до рішення Сумської міської ради "Про хід виконання комплексної програми Сумської міської територіальної громади "Освіта на 2022 - 2024 роки " за підсумками 2022 року </t>
  </si>
  <si>
    <t xml:space="preserve">Комплексна програма Сумської міської територіальної громади «Освіта на 2022-2024 роки», затверджена рішенням  </t>
  </si>
  <si>
    <t>2022 рік (тис. грн)</t>
  </si>
  <si>
    <r>
      <t xml:space="preserve">Спеціальна освіта </t>
    </r>
    <r>
      <rPr>
        <sz val="12"/>
        <color indexed="8"/>
        <rFont val="Times New Roman"/>
        <family val="1"/>
      </rPr>
      <t>(підпрограма 3)</t>
    </r>
  </si>
  <si>
    <t>Завдання 2. Розвиток загальної середньої освіти для дітей з особливими освітніми потребами у навчально - реабілітаційному центрі</t>
  </si>
  <si>
    <t xml:space="preserve">1.1. Забезпечення належного навчання учнів та вихованців навчально - реабілітаційного центру </t>
  </si>
  <si>
    <r>
      <t xml:space="preserve">1.2. </t>
    </r>
    <r>
      <rPr>
        <sz val="10"/>
        <color indexed="8"/>
        <rFont val="Times New Roman"/>
        <family val="1"/>
      </rPr>
      <t xml:space="preserve">Організація якісного харчування учнів та вихованців навчально - реабілітаційного центру </t>
    </r>
  </si>
  <si>
    <r>
      <t xml:space="preserve">1.3. </t>
    </r>
    <r>
      <rPr>
        <sz val="10"/>
        <color indexed="8"/>
        <rFont val="Times New Roman"/>
        <family val="1"/>
      </rPr>
      <t xml:space="preserve">Підвищення рівня комфортних умов для учнів та вихованців навчально - реабілітаційного центру </t>
    </r>
  </si>
  <si>
    <r>
      <t xml:space="preserve">1.2. </t>
    </r>
    <r>
      <rPr>
        <sz val="10"/>
        <color indexed="8"/>
        <rFont val="Times New Roman"/>
        <family val="1"/>
      </rPr>
      <t xml:space="preserve">Організація якісного харчування учнів </t>
    </r>
    <r>
      <rPr>
        <sz val="9.5"/>
        <color indexed="8"/>
        <rFont val="Times New Roman"/>
        <family val="1"/>
      </rPr>
      <t>спеціальних шкіл та вихованців дошкільного підрозділу</t>
    </r>
  </si>
  <si>
    <r>
      <t xml:space="preserve">1.3. </t>
    </r>
    <r>
      <rPr>
        <sz val="10"/>
        <color indexed="8"/>
        <rFont val="Times New Roman"/>
        <family val="1"/>
      </rPr>
      <t>Організація якісного та безпечного харчування учнів закладів загальної середньої освіти, дошкільних та шкільних підрозділів НВК, дошкільних підрозділів початкових шкіл</t>
    </r>
  </si>
  <si>
    <t>1.1. Забезпечення належного навчання учнів спеціальних шкіл та вихованців дошкільного підрозділу</t>
  </si>
  <si>
    <r>
      <t xml:space="preserve">1.3. </t>
    </r>
    <r>
      <rPr>
        <sz val="10"/>
        <color indexed="8"/>
        <rFont val="Times New Roman"/>
        <family val="1"/>
      </rPr>
      <t>Підвищення рівня комфортних умов для учнів спеціальних шкіл та вихованців дошкільного підрозділу</t>
    </r>
  </si>
  <si>
    <r>
      <t xml:space="preserve">Позашкільна освіта </t>
    </r>
    <r>
      <rPr>
        <sz val="12"/>
        <color indexed="8"/>
        <rFont val="Times New Roman"/>
        <family val="1"/>
      </rPr>
      <t>(підпрограма 4)</t>
    </r>
  </si>
  <si>
    <r>
      <t xml:space="preserve">Централізований бухгалтерський та фінансовий облік у сфері «Освіта» </t>
    </r>
    <r>
      <rPr>
        <sz val="12"/>
        <color indexed="8"/>
        <rFont val="Times New Roman"/>
        <family val="1"/>
      </rPr>
      <t>(підпрограма 5)</t>
    </r>
  </si>
  <si>
    <r>
      <t xml:space="preserve">Централізоване господарське обслуговування закладів освіти </t>
    </r>
    <r>
      <rPr>
        <sz val="12"/>
        <color indexed="8"/>
        <rFont val="Times New Roman"/>
        <family val="1"/>
      </rPr>
      <t>(підпрограма 6)</t>
    </r>
  </si>
  <si>
    <r>
      <t xml:space="preserve">Інші програми та заходи у сфері освіти   </t>
    </r>
    <r>
      <rPr>
        <sz val="12"/>
        <color indexed="8"/>
        <rFont val="Times New Roman"/>
        <family val="1"/>
      </rPr>
      <t>(підпрограма 7)</t>
    </r>
  </si>
  <si>
    <t>1.3. Реалізація шкільного громадського бюджету</t>
  </si>
  <si>
    <r>
      <t xml:space="preserve">Забезпечення діяльності інших закладів у сфері освіти  </t>
    </r>
    <r>
      <rPr>
        <sz val="12"/>
        <color indexed="8"/>
        <rFont val="Times New Roman"/>
        <family val="1"/>
      </rPr>
      <t>(підпрограма 8)</t>
    </r>
  </si>
  <si>
    <t>3.1. Забезпечення належної роботи Центру професійного розвитку педагогіних працівників</t>
  </si>
  <si>
    <r>
      <t xml:space="preserve">Компенсаційні виплати на пільговий проїзд електротранспортом окремим категоріям громадян </t>
    </r>
    <r>
      <rPr>
        <sz val="12"/>
        <color indexed="8"/>
        <rFont val="Times New Roman"/>
        <family val="1"/>
      </rPr>
      <t>(підпрограма 9)</t>
    </r>
  </si>
  <si>
    <t>Завдання 1. Проведення розрахунків за пільговий проїзд у міському електротранспорті та на автобусних маршрутах загального користування дітей 1-11 класів, які навчаються в закладах загальної середньої освіти Сумської міської територіальної громади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</si>
  <si>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у міському електротранспорті учнів 1-11 класів (100%)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</si>
  <si>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на автобусних маршрутах загального користування учнів 1-11 класів (100%)</t>
    </r>
  </si>
  <si>
    <r>
      <t>Забезпечення діяльності інклюзивно - ресурсних центрів</t>
    </r>
    <r>
      <rPr>
        <sz val="12"/>
        <color indexed="8"/>
        <rFont val="Times New Roman"/>
        <family val="1"/>
      </rPr>
      <t xml:space="preserve"> (підпрограма 10)</t>
    </r>
  </si>
  <si>
    <r>
      <t>Будівництво освітніх установ та закладів (</t>
    </r>
    <r>
      <rPr>
        <sz val="12"/>
        <color indexed="8"/>
        <rFont val="Times New Roman"/>
        <family val="1"/>
      </rPr>
      <t>підпрограма 11</t>
    </r>
    <r>
      <rPr>
        <b/>
        <sz val="12"/>
        <color indexed="8"/>
        <rFont val="Times New Roman"/>
        <family val="1"/>
      </rPr>
      <t>)</t>
    </r>
  </si>
  <si>
    <t xml:space="preserve">1.1. Капітальний ремонт внутрішніх приміщень </t>
  </si>
  <si>
    <t>1.2. Капітальний ремонт харчоблоків</t>
  </si>
  <si>
    <t xml:space="preserve">1.3. Капітальний ремонт покрівлі </t>
  </si>
  <si>
    <t>1.4. Капітальний ремонт інженерних мереж</t>
  </si>
  <si>
    <t>1.5. Капітальний ремонт асфальтового покриття, улаштування тротуарної плитки</t>
  </si>
  <si>
    <t>К1.6. Капітальний ремонт обладнання пристроїв захисту від прямих попадань блискавки і вторинних її проявів</t>
  </si>
  <si>
    <t>Реалізація заходів, спрямованих на підвищення якості освіти (підпрограма 12)</t>
  </si>
  <si>
    <t xml:space="preserve">Розвиток професійно - технічної освіти </t>
  </si>
  <si>
    <t xml:space="preserve">1.1. Оплата послуг з підготовки кадрів на умовах регіонального замовлення у закладах професійно - технічної освіти учнів, місце реєстрації яких є Сумська міська територіальна громада </t>
  </si>
  <si>
    <t>Спроможна школа для кращих результатів (підпрограма 13)</t>
  </si>
  <si>
    <t>Розвиток матеріально - технічної бази закладів освіти</t>
  </si>
  <si>
    <t>1.1. Капітальний ремонт будівель, приміщень, інженерних мереж, територій закладів освіти</t>
  </si>
  <si>
    <t>Виконання інвестиційних проєктів (підпрограма 14)</t>
  </si>
  <si>
    <t>1.1. Капітальний ремонт спортивного майданчику комунальної установи Сумська спеціалізована школа І-ІІІ ступенів № 17, м. Суми, Сумської області</t>
  </si>
  <si>
    <t>Всього на виконання комплексної  програми Сумської міської територіальної громади «Освіта на 2022-2024 роки» за підсумками 2022 року</t>
  </si>
  <si>
    <t>Олександр ЛИСЕНКО</t>
  </si>
  <si>
    <t>2024 рік (тис. грн)</t>
  </si>
  <si>
    <t>Виконавець: Неля ВЕРБИЦЬКА</t>
  </si>
  <si>
    <t>2023 рік (тис. грн)</t>
  </si>
  <si>
    <t>Всього на виконання комплексної  програми Сумської міської територіальної громади «Освіта на 2022-2024 роки» за підсумками 2024 року</t>
  </si>
  <si>
    <t>Всього на виконання комплексної  програми Сумської міської територіальної громади «Освіта на 2022-2024 роки» за підсумками 2023 року</t>
  </si>
  <si>
    <t>про хід виконання комплексної програми Сумської міської територіальної громади «Освіта  на 2022-2024 роки», затвердженої рішенням Сумської міської ради                                          від 24 листопада 2021 року № 2512-МР (зі змінами), зведений</t>
  </si>
  <si>
    <t>про хід виконання комплексної програми Сумської міської територіальної громади «Освіта  на 2022-2024 роки», затвердженої рішенням Сумської міської ради                                          від 24 листопада 2021 року № 2512-МР (зі змінами), за підсумками 2024 року</t>
  </si>
  <si>
    <t>про хід виконання комплексної програми Сумської міської територіальної громади «Освіта  на 2022-2024 роки», затвердженої рішенням Сумської міської ради                                          від 24 листопада 2021 року № 2512-МР (зі змінами), за підсумками 2023 року</t>
  </si>
  <si>
    <t xml:space="preserve">до рішення Сумської міської ради "Про хід виконання комплексної програми Сумської міської територіальної громади "Освіта на 2022 - 2024 роки " за підсумками 2023 року </t>
  </si>
  <si>
    <t>від ___________ 2024 № ___- МР</t>
  </si>
  <si>
    <t xml:space="preserve">до рішення Сумської міської ради "Про хід виконання комплексної програми Сумської міської територіальної громади "Освіта на 2022 - 2024 роки " за підсумками 2024 року </t>
  </si>
  <si>
    <t>від ___________ 2025 № ___- МР</t>
  </si>
  <si>
    <r>
      <t>Дошкільна освіта (</t>
    </r>
    <r>
      <rPr>
        <sz val="12"/>
        <color indexed="8"/>
        <rFont val="Times New Roman"/>
        <family val="1"/>
      </rPr>
      <t xml:space="preserve"> підпрограма 1</t>
    </r>
    <r>
      <rPr>
        <b/>
        <sz val="12"/>
        <color indexed="8"/>
        <rFont val="Times New Roman"/>
        <family val="1"/>
      </rPr>
      <t>)</t>
    </r>
  </si>
  <si>
    <t xml:space="preserve">1.2. Забезпечення належного виховання дітей у закладах професійно – технічної освіти </t>
  </si>
  <si>
    <t>1.3. Забезпечення харчуванням учнів у закладах професійно – технічної освіти</t>
  </si>
  <si>
    <t>1.4 Підвищення рівня комфортних умов для учнів закладів професійно – технічної  освіти</t>
  </si>
  <si>
    <t>1.5. Стипендіальне та інше забезпечення учнів</t>
  </si>
  <si>
    <t>харчув зф</t>
  </si>
  <si>
    <t xml:space="preserve">зф </t>
  </si>
  <si>
    <t>38 418,1 зат-но СФ Бюджет розвитку</t>
  </si>
  <si>
    <t>субвенції</t>
  </si>
  <si>
    <t>ТГ</t>
  </si>
  <si>
    <t>сф</t>
  </si>
  <si>
    <t>Зат-но план</t>
  </si>
  <si>
    <t>АТО,Милосердя</t>
  </si>
  <si>
    <t xml:space="preserve"> новорічні подарунки</t>
  </si>
  <si>
    <t>АТО, Милосер</t>
  </si>
  <si>
    <t xml:space="preserve">Завдання 1. Розвиток професійно - технічної освіти </t>
  </si>
  <si>
    <t>1.8. Реконструкція, реставрація, нове будівництво та капітальний ремонт підвальних приміщень з улаштуванням захисних споруд цивільного захисту в закладах освіти Сумської МТГ</t>
  </si>
  <si>
    <t>Стан виконання (показники ефективності, %)</t>
  </si>
  <si>
    <t xml:space="preserve">до наказу Сумської міської військової адміністрації  </t>
  </si>
  <si>
    <t>про хід виконання комплексної програми Сумської міської територіальної громади «Освіта  на 2022-2024 роки», затвердженої рішенням Сумської міської ради від 24 листопада 2021 року № 2512-МР (зі змінами), за підсумками 2022 року</t>
  </si>
  <si>
    <t xml:space="preserve">Начальник управілння освіти і науки Сумської міської ради </t>
  </si>
  <si>
    <t>Неля ВЕРБИЦЬКА</t>
  </si>
  <si>
    <t>від 26.12.2023  № 119 - СМР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</si>
</sst>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5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9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0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wrapText="1"/>
    </xf>
    <xf numFmtId="184" fontId="66" fillId="0" borderId="10" xfId="0" applyNumberFormat="1" applyFont="1" applyBorder="1" applyAlignment="1">
      <alignment horizontal="center" vertical="center"/>
    </xf>
    <xf numFmtId="184" fontId="66" fillId="33" borderId="10" xfId="0" applyNumberFormat="1" applyFont="1" applyFill="1" applyBorder="1" applyAlignment="1">
      <alignment horizontal="center" vertical="center"/>
    </xf>
    <xf numFmtId="184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wrapText="1"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/>
    </xf>
    <xf numFmtId="0" fontId="69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wrapText="1"/>
    </xf>
    <xf numFmtId="0" fontId="67" fillId="0" borderId="10" xfId="0" applyFont="1" applyBorder="1" applyAlignment="1">
      <alignment horizontal="left" vertical="center" wrapText="1"/>
    </xf>
    <xf numFmtId="0" fontId="71" fillId="34" borderId="10" xfId="0" applyFont="1" applyFill="1" applyBorder="1" applyAlignment="1">
      <alignment wrapText="1"/>
    </xf>
    <xf numFmtId="0" fontId="65" fillId="35" borderId="10" xfId="0" applyFont="1" applyFill="1" applyBorder="1" applyAlignment="1">
      <alignment/>
    </xf>
    <xf numFmtId="0" fontId="65" fillId="35" borderId="10" xfId="0" applyFont="1" applyFill="1" applyBorder="1" applyAlignment="1">
      <alignment horizontal="center" vertical="center"/>
    </xf>
    <xf numFmtId="184" fontId="65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2" fontId="65" fillId="35" borderId="10" xfId="0" applyNumberFormat="1" applyFont="1" applyFill="1" applyBorder="1" applyAlignment="1">
      <alignment horizontal="center" vertical="center"/>
    </xf>
    <xf numFmtId="184" fontId="65" fillId="34" borderId="10" xfId="0" applyNumberFormat="1" applyFont="1" applyFill="1" applyBorder="1" applyAlignment="1">
      <alignment horizontal="center" vertical="center"/>
    </xf>
    <xf numFmtId="2" fontId="65" fillId="34" borderId="10" xfId="0" applyNumberFormat="1" applyFont="1" applyFill="1" applyBorder="1" applyAlignment="1">
      <alignment horizontal="center" vertical="center"/>
    </xf>
    <xf numFmtId="184" fontId="66" fillId="36" borderId="10" xfId="0" applyNumberFormat="1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36" borderId="10" xfId="0" applyNumberFormat="1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wrapText="1"/>
    </xf>
    <xf numFmtId="0" fontId="67" fillId="0" borderId="10" xfId="0" applyFont="1" applyBorder="1" applyAlignment="1">
      <alignment vertical="center"/>
    </xf>
    <xf numFmtId="0" fontId="73" fillId="0" borderId="0" xfId="0" applyFont="1" applyAlignment="1">
      <alignment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5" fillId="0" borderId="0" xfId="0" applyFont="1" applyAlignment="1">
      <alignment/>
    </xf>
    <xf numFmtId="0" fontId="47" fillId="0" borderId="0" xfId="0" applyFont="1" applyAlignment="1">
      <alignment/>
    </xf>
    <xf numFmtId="0" fontId="68" fillId="0" borderId="0" xfId="0" applyFont="1" applyAlignment="1">
      <alignment wrapText="1"/>
    </xf>
    <xf numFmtId="0" fontId="68" fillId="0" borderId="10" xfId="0" applyFont="1" applyBorder="1" applyAlignment="1">
      <alignment/>
    </xf>
    <xf numFmtId="0" fontId="69" fillId="33" borderId="0" xfId="0" applyFont="1" applyFill="1" applyAlignment="1">
      <alignment wrapText="1"/>
    </xf>
    <xf numFmtId="0" fontId="71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left" wrapText="1"/>
    </xf>
    <xf numFmtId="184" fontId="39" fillId="0" borderId="10" xfId="0" applyNumberFormat="1" applyFont="1" applyBorder="1" applyAlignment="1">
      <alignment/>
    </xf>
    <xf numFmtId="184" fontId="65" fillId="33" borderId="10" xfId="0" applyNumberFormat="1" applyFont="1" applyFill="1" applyBorder="1" applyAlignment="1">
      <alignment horizontal="center" vertical="center"/>
    </xf>
    <xf numFmtId="2" fontId="65" fillId="33" borderId="10" xfId="0" applyNumberFormat="1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wrapText="1"/>
    </xf>
    <xf numFmtId="0" fontId="68" fillId="36" borderId="10" xfId="0" applyFont="1" applyFill="1" applyBorder="1" applyAlignment="1">
      <alignment/>
    </xf>
    <xf numFmtId="0" fontId="67" fillId="36" borderId="10" xfId="0" applyFont="1" applyFill="1" applyBorder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66" fillId="0" borderId="0" xfId="0" applyNumberFormat="1" applyFont="1" applyAlignment="1">
      <alignment/>
    </xf>
    <xf numFmtId="184" fontId="65" fillId="36" borderId="10" xfId="0" applyNumberFormat="1" applyFont="1" applyFill="1" applyBorder="1" applyAlignment="1">
      <alignment horizontal="center" vertical="center"/>
    </xf>
    <xf numFmtId="184" fontId="65" fillId="33" borderId="11" xfId="0" applyNumberFormat="1" applyFont="1" applyFill="1" applyBorder="1" applyAlignment="1">
      <alignment horizontal="center" vertical="center"/>
    </xf>
    <xf numFmtId="2" fontId="65" fillId="33" borderId="11" xfId="0" applyNumberFormat="1" applyFont="1" applyFill="1" applyBorder="1" applyAlignment="1">
      <alignment horizontal="center" vertical="center"/>
    </xf>
    <xf numFmtId="184" fontId="76" fillId="36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67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/>
    </xf>
    <xf numFmtId="184" fontId="9" fillId="36" borderId="10" xfId="0" applyNumberFormat="1" applyFont="1" applyFill="1" applyBorder="1" applyAlignment="1">
      <alignment horizontal="center" vertical="center"/>
    </xf>
    <xf numFmtId="184" fontId="75" fillId="0" borderId="0" xfId="0" applyNumberFormat="1" applyFont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2" fontId="66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66" fillId="36" borderId="10" xfId="0" applyFont="1" applyFill="1" applyBorder="1" applyAlignment="1">
      <alignment wrapText="1"/>
    </xf>
    <xf numFmtId="2" fontId="67" fillId="33" borderId="1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184" fontId="77" fillId="0" borderId="0" xfId="0" applyNumberFormat="1" applyFont="1" applyAlignment="1">
      <alignment/>
    </xf>
    <xf numFmtId="18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55" fillId="34" borderId="0" xfId="0" applyFont="1" applyFill="1" applyAlignment="1">
      <alignment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0" fillId="34" borderId="0" xfId="0" applyFill="1" applyAlignment="1">
      <alignment horizontal="left"/>
    </xf>
    <xf numFmtId="2" fontId="5" fillId="0" borderId="10" xfId="0" applyNumberFormat="1" applyFont="1" applyFill="1" applyBorder="1" applyAlignment="1">
      <alignment horizontal="center" vertical="center"/>
    </xf>
    <xf numFmtId="184" fontId="77" fillId="0" borderId="10" xfId="0" applyNumberFormat="1" applyFont="1" applyBorder="1" applyAlignment="1">
      <alignment horizontal="center" vertical="center"/>
    </xf>
    <xf numFmtId="184" fontId="77" fillId="36" borderId="10" xfId="0" applyNumberFormat="1" applyFont="1" applyFill="1" applyBorder="1" applyAlignment="1">
      <alignment horizontal="center" vertical="center"/>
    </xf>
    <xf numFmtId="0" fontId="77" fillId="36" borderId="10" xfId="0" applyFont="1" applyFill="1" applyBorder="1" applyAlignment="1">
      <alignment horizontal="center" vertical="center"/>
    </xf>
    <xf numFmtId="184" fontId="77" fillId="0" borderId="10" xfId="0" applyNumberFormat="1" applyFont="1" applyFill="1" applyBorder="1" applyAlignment="1">
      <alignment horizontal="center" vertical="center"/>
    </xf>
    <xf numFmtId="2" fontId="77" fillId="0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 wrapText="1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66" fillId="33" borderId="0" xfId="0" applyFont="1" applyFill="1" applyBorder="1" applyAlignment="1">
      <alignment/>
    </xf>
    <xf numFmtId="2" fontId="67" fillId="0" borderId="0" xfId="0" applyNumberFormat="1" applyFont="1" applyBorder="1" applyAlignment="1">
      <alignment horizontal="center" vertical="center" wrapText="1"/>
    </xf>
    <xf numFmtId="2" fontId="65" fillId="35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/>
    </xf>
    <xf numFmtId="2" fontId="67" fillId="33" borderId="0" xfId="0" applyNumberFormat="1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center"/>
    </xf>
    <xf numFmtId="2" fontId="65" fillId="33" borderId="0" xfId="0" applyNumberFormat="1" applyFont="1" applyFill="1" applyBorder="1" applyAlignment="1">
      <alignment horizontal="center" vertical="center"/>
    </xf>
    <xf numFmtId="2" fontId="79" fillId="0" borderId="0" xfId="0" applyNumberFormat="1" applyFont="1" applyBorder="1" applyAlignment="1">
      <alignment horizontal="center" vertical="center" wrapText="1"/>
    </xf>
    <xf numFmtId="0" fontId="65" fillId="36" borderId="0" xfId="0" applyFont="1" applyFill="1" applyBorder="1" applyAlignment="1">
      <alignment horizontal="center"/>
    </xf>
    <xf numFmtId="2" fontId="65" fillId="34" borderId="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 wrapText="1"/>
    </xf>
    <xf numFmtId="184" fontId="39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/>
    </xf>
    <xf numFmtId="0" fontId="13" fillId="36" borderId="0" xfId="0" applyNumberFormat="1" applyFont="1" applyFill="1" applyAlignment="1" applyProtection="1">
      <alignment/>
      <protection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left" wrapText="1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71" fillId="36" borderId="12" xfId="0" applyFont="1" applyFill="1" applyBorder="1" applyAlignment="1">
      <alignment horizontal="center"/>
    </xf>
    <xf numFmtId="0" fontId="71" fillId="36" borderId="13" xfId="0" applyFont="1" applyFill="1" applyBorder="1" applyAlignment="1">
      <alignment horizontal="center"/>
    </xf>
    <xf numFmtId="0" fontId="71" fillId="36" borderId="14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5" fillId="36" borderId="12" xfId="0" applyFont="1" applyFill="1" applyBorder="1" applyAlignment="1">
      <alignment horizontal="center"/>
    </xf>
    <xf numFmtId="0" fontId="65" fillId="36" borderId="13" xfId="0" applyFont="1" applyFill="1" applyBorder="1" applyAlignment="1">
      <alignment horizontal="center"/>
    </xf>
    <xf numFmtId="0" fontId="65" fillId="36" borderId="14" xfId="0" applyFont="1" applyFill="1" applyBorder="1" applyAlignment="1">
      <alignment horizontal="center"/>
    </xf>
    <xf numFmtId="0" fontId="65" fillId="0" borderId="10" xfId="0" applyFont="1" applyBorder="1" applyAlignment="1">
      <alignment vertical="center" wrapText="1"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6"/>
  <sheetViews>
    <sheetView tabSelected="1" zoomScale="95" zoomScaleNormal="95" zoomScalePageLayoutView="0" workbookViewId="0" topLeftCell="A1">
      <selection activeCell="Z21" sqref="Z21"/>
    </sheetView>
  </sheetViews>
  <sheetFormatPr defaultColWidth="9.140625" defaultRowHeight="15"/>
  <cols>
    <col min="1" max="1" width="47.00390625" style="0" customWidth="1"/>
    <col min="2" max="2" width="11.8515625" style="0" customWidth="1"/>
    <col min="3" max="3" width="9.7109375" style="0" customWidth="1"/>
    <col min="4" max="4" width="10.8515625" style="0" customWidth="1"/>
    <col min="7" max="7" width="10.421875" style="0" customWidth="1"/>
    <col min="9" max="9" width="12.421875" style="0" customWidth="1"/>
    <col min="10" max="10" width="11.140625" style="0" customWidth="1"/>
    <col min="14" max="15" width="11.140625" style="0" customWidth="1"/>
    <col min="16" max="16" width="17.7109375" style="0" customWidth="1"/>
    <col min="17" max="17" width="17.7109375" style="0" hidden="1" customWidth="1"/>
    <col min="18" max="18" width="25.421875" style="0" hidden="1" customWidth="1"/>
    <col min="19" max="19" width="9.57421875" style="0" hidden="1" customWidth="1"/>
    <col min="20" max="20" width="11.00390625" style="0" hidden="1" customWidth="1"/>
    <col min="21" max="21" width="12.8515625" style="0" hidden="1" customWidth="1"/>
    <col min="22" max="22" width="9.28125" style="0" hidden="1" customWidth="1"/>
    <col min="23" max="24" width="0" style="0" hidden="1" customWidth="1"/>
  </cols>
  <sheetData>
    <row r="1" spans="14:17" ht="15.75">
      <c r="N1" s="127" t="s">
        <v>36</v>
      </c>
      <c r="O1" s="127"/>
      <c r="P1" s="127"/>
      <c r="Q1" s="100"/>
    </row>
    <row r="2" spans="14:17" ht="33.75" customHeight="1">
      <c r="N2" s="128" t="s">
        <v>157</v>
      </c>
      <c r="O2" s="128"/>
      <c r="P2" s="128"/>
      <c r="Q2" s="101"/>
    </row>
    <row r="3" spans="14:17" ht="15.75">
      <c r="N3" s="23" t="s">
        <v>161</v>
      </c>
      <c r="O3" s="23"/>
      <c r="P3" s="23"/>
      <c r="Q3" s="23"/>
    </row>
    <row r="4" spans="14:17" ht="15.75">
      <c r="N4" s="23"/>
      <c r="O4" s="23"/>
      <c r="P4" s="23"/>
      <c r="Q4" s="23"/>
    </row>
    <row r="5" spans="14:17" ht="15.75">
      <c r="N5" s="23"/>
      <c r="O5" s="23"/>
      <c r="P5" s="23"/>
      <c r="Q5" s="23"/>
    </row>
    <row r="6" spans="1:17" ht="18.75">
      <c r="A6" s="129" t="s">
        <v>24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02"/>
    </row>
    <row r="7" spans="1:17" ht="37.5" customHeight="1">
      <c r="A7" s="130" t="s">
        <v>158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03"/>
    </row>
    <row r="8" spans="1:17" ht="18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02"/>
    </row>
    <row r="9" spans="1:17" ht="18.75">
      <c r="A9" s="24" t="s">
        <v>25</v>
      </c>
      <c r="B9" s="24">
        <v>10</v>
      </c>
      <c r="C9" s="24"/>
      <c r="D9" s="131" t="s">
        <v>26</v>
      </c>
      <c r="E9" s="131"/>
      <c r="F9" s="131"/>
      <c r="G9" s="131"/>
      <c r="H9" s="131"/>
      <c r="I9" s="131"/>
      <c r="J9" s="131"/>
      <c r="K9" s="24"/>
      <c r="L9" s="24"/>
      <c r="M9" s="24"/>
      <c r="N9" s="24"/>
      <c r="O9" s="24"/>
      <c r="P9" s="24"/>
      <c r="Q9" s="102"/>
    </row>
    <row r="10" spans="1:17" ht="18.75">
      <c r="A10" s="24"/>
      <c r="B10" s="24" t="s">
        <v>27</v>
      </c>
      <c r="C10" s="24"/>
      <c r="D10" s="132" t="s">
        <v>28</v>
      </c>
      <c r="E10" s="132"/>
      <c r="F10" s="132"/>
      <c r="G10" s="132"/>
      <c r="H10" s="132"/>
      <c r="I10" s="132"/>
      <c r="J10" s="132"/>
      <c r="K10" s="24"/>
      <c r="L10" s="24"/>
      <c r="M10" s="24"/>
      <c r="N10" s="24"/>
      <c r="O10" s="24"/>
      <c r="P10" s="24"/>
      <c r="Q10" s="102"/>
    </row>
    <row r="11" spans="1:17" ht="18.75">
      <c r="A11" s="24" t="s">
        <v>29</v>
      </c>
      <c r="B11" s="24"/>
      <c r="C11" s="24"/>
      <c r="D11" s="131" t="s">
        <v>26</v>
      </c>
      <c r="E11" s="131"/>
      <c r="F11" s="131"/>
      <c r="G11" s="131"/>
      <c r="H11" s="131"/>
      <c r="I11" s="131"/>
      <c r="J11" s="131"/>
      <c r="K11" s="24"/>
      <c r="L11" s="24"/>
      <c r="M11" s="24"/>
      <c r="N11" s="24"/>
      <c r="O11" s="24"/>
      <c r="P11" s="24"/>
      <c r="Q11" s="102"/>
    </row>
    <row r="12" spans="4:10" ht="15">
      <c r="D12" s="136" t="s">
        <v>30</v>
      </c>
      <c r="E12" s="136"/>
      <c r="F12" s="136"/>
      <c r="G12" s="136"/>
      <c r="H12" s="136"/>
      <c r="I12" s="136"/>
      <c r="J12" s="136"/>
    </row>
    <row r="13" spans="1:13" ht="18.75">
      <c r="A13" s="25" t="s">
        <v>31</v>
      </c>
      <c r="B13" s="27">
        <v>611010</v>
      </c>
      <c r="D13" s="82" t="s">
        <v>87</v>
      </c>
      <c r="E13" s="82"/>
      <c r="F13" s="82"/>
      <c r="G13" s="82"/>
      <c r="H13" s="82"/>
      <c r="I13" s="82"/>
      <c r="J13" s="82"/>
      <c r="K13" s="82"/>
      <c r="L13" s="82"/>
      <c r="M13" s="82"/>
    </row>
    <row r="14" spans="1:13" ht="15.75">
      <c r="A14" s="22"/>
      <c r="B14" s="27">
        <v>611020</v>
      </c>
      <c r="D14" s="137" t="s">
        <v>85</v>
      </c>
      <c r="E14" s="137"/>
      <c r="F14" s="137"/>
      <c r="G14" s="137"/>
      <c r="H14" s="137"/>
      <c r="I14" s="137"/>
      <c r="J14" s="137"/>
      <c r="K14" s="137"/>
      <c r="L14" s="137"/>
      <c r="M14" s="137"/>
    </row>
    <row r="15" spans="1:13" ht="15">
      <c r="A15" s="22"/>
      <c r="B15" s="27">
        <v>611030</v>
      </c>
      <c r="D15" s="136" t="s">
        <v>32</v>
      </c>
      <c r="E15" s="136"/>
      <c r="F15" s="136"/>
      <c r="G15" s="136"/>
      <c r="H15" s="136"/>
      <c r="I15" s="136"/>
      <c r="J15" s="136"/>
      <c r="K15" s="136"/>
      <c r="L15" s="136"/>
      <c r="M15" s="136"/>
    </row>
    <row r="16" spans="1:2" ht="15.75" customHeight="1">
      <c r="A16" s="22"/>
      <c r="B16" s="27">
        <v>611040</v>
      </c>
    </row>
    <row r="17" spans="1:2" ht="15.75" customHeight="1">
      <c r="A17" s="22"/>
      <c r="B17" s="27">
        <v>611060</v>
      </c>
    </row>
    <row r="18" spans="1:2" ht="15.75" customHeight="1">
      <c r="A18" s="22"/>
      <c r="B18" s="27">
        <v>611070</v>
      </c>
    </row>
    <row r="19" spans="1:2" ht="15.75" customHeight="1">
      <c r="A19" s="22"/>
      <c r="B19" s="27">
        <v>611080</v>
      </c>
    </row>
    <row r="20" spans="1:2" ht="15">
      <c r="A20" s="22"/>
      <c r="B20" s="27">
        <v>611090</v>
      </c>
    </row>
    <row r="21" spans="1:2" ht="15">
      <c r="A21" s="22"/>
      <c r="B21" s="27">
        <v>611140</v>
      </c>
    </row>
    <row r="22" spans="1:2" ht="15">
      <c r="A22" s="22"/>
      <c r="B22" s="27">
        <v>611150</v>
      </c>
    </row>
    <row r="23" spans="1:2" ht="15">
      <c r="A23" s="22"/>
      <c r="B23" s="27">
        <v>611160</v>
      </c>
    </row>
    <row r="24" spans="1:2" ht="15">
      <c r="A24" s="22"/>
      <c r="B24" s="27">
        <v>617321</v>
      </c>
    </row>
    <row r="25" spans="1:2" ht="15">
      <c r="A25" s="22"/>
      <c r="B25" s="27">
        <v>611170</v>
      </c>
    </row>
    <row r="26" spans="1:2" ht="15">
      <c r="A26" s="22"/>
      <c r="B26" s="27">
        <v>671360</v>
      </c>
    </row>
    <row r="27" spans="1:2" ht="15">
      <c r="A27" s="22"/>
      <c r="B27" s="28">
        <v>617363</v>
      </c>
    </row>
    <row r="28" ht="15">
      <c r="B28" s="26" t="s">
        <v>33</v>
      </c>
    </row>
    <row r="30" spans="1:17" ht="33.75" customHeight="1">
      <c r="A30" s="139" t="s">
        <v>0</v>
      </c>
      <c r="B30" s="139" t="s">
        <v>1</v>
      </c>
      <c r="C30" s="139"/>
      <c r="D30" s="139"/>
      <c r="E30" s="139"/>
      <c r="F30" s="139"/>
      <c r="G30" s="139"/>
      <c r="H30" s="139"/>
      <c r="I30" s="139" t="s">
        <v>2</v>
      </c>
      <c r="J30" s="139"/>
      <c r="K30" s="139"/>
      <c r="L30" s="139"/>
      <c r="M30" s="139"/>
      <c r="N30" s="139"/>
      <c r="O30" s="139"/>
      <c r="P30" s="139" t="s">
        <v>156</v>
      </c>
      <c r="Q30" s="104"/>
    </row>
    <row r="31" spans="1:17" ht="33.75" customHeight="1">
      <c r="A31" s="139"/>
      <c r="B31" s="139" t="s">
        <v>88</v>
      </c>
      <c r="C31" s="139"/>
      <c r="D31" s="139"/>
      <c r="E31" s="139"/>
      <c r="F31" s="139"/>
      <c r="G31" s="139"/>
      <c r="H31" s="139"/>
      <c r="I31" s="139" t="s">
        <v>88</v>
      </c>
      <c r="J31" s="139"/>
      <c r="K31" s="139"/>
      <c r="L31" s="139"/>
      <c r="M31" s="139"/>
      <c r="N31" s="139"/>
      <c r="O31" s="139"/>
      <c r="P31" s="139"/>
      <c r="Q31" s="104"/>
    </row>
    <row r="32" spans="1:17" ht="15.75" customHeight="1">
      <c r="A32" s="139"/>
      <c r="B32" s="143" t="s">
        <v>4</v>
      </c>
      <c r="C32" s="139" t="s">
        <v>5</v>
      </c>
      <c r="D32" s="139"/>
      <c r="E32" s="139"/>
      <c r="F32" s="139"/>
      <c r="G32" s="139"/>
      <c r="H32" s="139"/>
      <c r="I32" s="139" t="s">
        <v>4</v>
      </c>
      <c r="J32" s="139" t="s">
        <v>5</v>
      </c>
      <c r="K32" s="139"/>
      <c r="L32" s="139"/>
      <c r="M32" s="139"/>
      <c r="N32" s="139"/>
      <c r="O32" s="139"/>
      <c r="P32" s="139"/>
      <c r="Q32" s="104"/>
    </row>
    <row r="33" spans="1:17" ht="22.5" customHeight="1">
      <c r="A33" s="139"/>
      <c r="B33" s="143"/>
      <c r="C33" s="139" t="s">
        <v>10</v>
      </c>
      <c r="D33" s="139"/>
      <c r="E33" s="139"/>
      <c r="F33" s="139"/>
      <c r="G33" s="139" t="s">
        <v>11</v>
      </c>
      <c r="H33" s="139"/>
      <c r="I33" s="139"/>
      <c r="J33" s="139" t="s">
        <v>10</v>
      </c>
      <c r="K33" s="139"/>
      <c r="L33" s="139"/>
      <c r="M33" s="139"/>
      <c r="N33" s="139" t="s">
        <v>11</v>
      </c>
      <c r="O33" s="139"/>
      <c r="P33" s="139"/>
      <c r="Q33" s="104"/>
    </row>
    <row r="34" spans="1:17" ht="15">
      <c r="A34" s="139"/>
      <c r="B34" s="143"/>
      <c r="C34" s="139" t="s">
        <v>6</v>
      </c>
      <c r="D34" s="139"/>
      <c r="E34" s="139" t="s">
        <v>7</v>
      </c>
      <c r="F34" s="139"/>
      <c r="G34" s="139"/>
      <c r="H34" s="139"/>
      <c r="I34" s="139"/>
      <c r="J34" s="139" t="s">
        <v>6</v>
      </c>
      <c r="K34" s="139"/>
      <c r="L34" s="139" t="s">
        <v>7</v>
      </c>
      <c r="M34" s="139"/>
      <c r="N34" s="139"/>
      <c r="O34" s="139"/>
      <c r="P34" s="139"/>
      <c r="Q34" s="104"/>
    </row>
    <row r="35" spans="1:17" ht="45.75" customHeight="1">
      <c r="A35" s="139"/>
      <c r="B35" s="143"/>
      <c r="C35" s="1" t="s">
        <v>8</v>
      </c>
      <c r="D35" s="1" t="s">
        <v>9</v>
      </c>
      <c r="E35" s="1" t="s">
        <v>8</v>
      </c>
      <c r="F35" s="1" t="s">
        <v>9</v>
      </c>
      <c r="G35" s="1" t="s">
        <v>8</v>
      </c>
      <c r="H35" s="1" t="s">
        <v>9</v>
      </c>
      <c r="I35" s="139"/>
      <c r="J35" s="1" t="s">
        <v>8</v>
      </c>
      <c r="K35" s="1" t="s">
        <v>9</v>
      </c>
      <c r="L35" s="1" t="s">
        <v>8</v>
      </c>
      <c r="M35" s="1" t="s">
        <v>9</v>
      </c>
      <c r="N35" s="1" t="s">
        <v>8</v>
      </c>
      <c r="O35" s="1" t="s">
        <v>9</v>
      </c>
      <c r="P35" s="139"/>
      <c r="Q35" s="104"/>
    </row>
    <row r="36" spans="1:17" ht="15">
      <c r="A36" s="2">
        <v>1</v>
      </c>
      <c r="B36" s="2">
        <v>2</v>
      </c>
      <c r="C36" s="2">
        <v>3</v>
      </c>
      <c r="D36" s="2">
        <v>4</v>
      </c>
      <c r="E36" s="2">
        <v>5</v>
      </c>
      <c r="F36" s="2">
        <v>6</v>
      </c>
      <c r="G36" s="2">
        <v>7</v>
      </c>
      <c r="H36" s="2">
        <v>8</v>
      </c>
      <c r="I36" s="2">
        <v>9</v>
      </c>
      <c r="J36" s="2">
        <v>10</v>
      </c>
      <c r="K36" s="2">
        <v>11</v>
      </c>
      <c r="L36" s="2">
        <v>12</v>
      </c>
      <c r="M36" s="2">
        <v>13</v>
      </c>
      <c r="N36" s="2">
        <v>14</v>
      </c>
      <c r="O36" s="2">
        <v>15</v>
      </c>
      <c r="P36" s="2">
        <v>16</v>
      </c>
      <c r="Q36" s="105"/>
    </row>
    <row r="37" spans="1:17" ht="15.75">
      <c r="A37" s="138" t="s">
        <v>139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06"/>
    </row>
    <row r="38" spans="1:17" ht="17.25" customHeight="1">
      <c r="A38" s="12" t="s">
        <v>38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4"/>
      <c r="Q38" s="107"/>
    </row>
    <row r="39" spans="1:20" ht="30.75" customHeight="1">
      <c r="A39" s="5" t="s">
        <v>39</v>
      </c>
      <c r="B39" s="36">
        <f aca="true" t="shared" si="0" ref="B39:B46">C39+D39+E39+F39+G39+H39</f>
        <v>277437.5</v>
      </c>
      <c r="C39" s="36">
        <v>277037.5</v>
      </c>
      <c r="D39" s="36"/>
      <c r="E39" s="36"/>
      <c r="F39" s="36"/>
      <c r="G39" s="36">
        <v>400</v>
      </c>
      <c r="H39" s="36"/>
      <c r="I39" s="36">
        <f aca="true" t="shared" si="1" ref="I39:I45">J39+K39+L39+M39+N39+O39</f>
        <v>264730.9</v>
      </c>
      <c r="J39" s="36">
        <f>216426.8+48046.7</f>
        <v>264473.5</v>
      </c>
      <c r="K39" s="36"/>
      <c r="L39" s="36"/>
      <c r="M39" s="36"/>
      <c r="N39" s="36">
        <f>248+9.4</f>
        <v>257.4</v>
      </c>
      <c r="O39" s="36"/>
      <c r="P39" s="118">
        <f>I39/B39*100</f>
        <v>95.42001351655779</v>
      </c>
      <c r="Q39" s="108"/>
      <c r="T39" t="s">
        <v>144</v>
      </c>
    </row>
    <row r="40" spans="1:22" ht="30.75" customHeight="1">
      <c r="A40" s="5" t="s">
        <v>40</v>
      </c>
      <c r="B40" s="36">
        <f t="shared" si="0"/>
        <v>5100</v>
      </c>
      <c r="C40" s="36">
        <f>14876.6-13076.6</f>
        <v>1800</v>
      </c>
      <c r="D40" s="36">
        <f>26026.1-22726.1</f>
        <v>3300</v>
      </c>
      <c r="E40" s="36"/>
      <c r="F40" s="36"/>
      <c r="G40" s="36"/>
      <c r="H40" s="36"/>
      <c r="I40" s="36">
        <f t="shared" si="1"/>
        <v>4971.1</v>
      </c>
      <c r="J40" s="36">
        <v>1745.9</v>
      </c>
      <c r="K40" s="36">
        <v>3225.2</v>
      </c>
      <c r="L40" s="36"/>
      <c r="M40" s="36"/>
      <c r="N40" s="36"/>
      <c r="O40" s="36"/>
      <c r="P40" s="118">
        <f aca="true" t="shared" si="2" ref="P40:P45">I40/B40*100</f>
        <v>97.47254901960784</v>
      </c>
      <c r="Q40" s="108"/>
      <c r="R40" s="62">
        <f>C40-J40</f>
        <v>54.09999999999991</v>
      </c>
      <c r="S40" s="62">
        <f>D40-K40</f>
        <v>74.80000000000018</v>
      </c>
      <c r="T40" s="85">
        <v>323.2</v>
      </c>
      <c r="U40" s="85" t="s">
        <v>151</v>
      </c>
      <c r="V40" s="85"/>
    </row>
    <row r="41" spans="1:24" ht="30.75" customHeight="1">
      <c r="A41" s="5" t="s">
        <v>41</v>
      </c>
      <c r="B41" s="36">
        <f t="shared" si="0"/>
        <v>40750.7</v>
      </c>
      <c r="C41" s="36">
        <f>65780-26780-825.9+456.6</f>
        <v>38630.7</v>
      </c>
      <c r="D41" s="36">
        <f>1300+700</f>
        <v>2000</v>
      </c>
      <c r="E41" s="36"/>
      <c r="F41" s="36"/>
      <c r="G41" s="36">
        <v>120</v>
      </c>
      <c r="H41" s="36"/>
      <c r="I41" s="36">
        <f t="shared" si="1"/>
        <v>40031.799999999996</v>
      </c>
      <c r="J41" s="36">
        <v>38050.6</v>
      </c>
      <c r="K41" s="36">
        <f>1403.4+577.8</f>
        <v>1981.2</v>
      </c>
      <c r="L41" s="36"/>
      <c r="M41" s="36"/>
      <c r="N41" s="36"/>
      <c r="O41" s="36"/>
      <c r="P41" s="118">
        <f t="shared" si="2"/>
        <v>98.23585852512963</v>
      </c>
      <c r="Q41" s="108"/>
      <c r="R41" s="62">
        <f>C41-J41</f>
        <v>580.0999999999985</v>
      </c>
      <c r="S41" s="62">
        <f>D41-K41</f>
        <v>18.799999999999955</v>
      </c>
      <c r="T41" s="85">
        <v>75</v>
      </c>
      <c r="U41" s="91" t="s">
        <v>153</v>
      </c>
      <c r="V41" s="91" t="s">
        <v>152</v>
      </c>
      <c r="W41" s="91"/>
      <c r="X41" s="91"/>
    </row>
    <row r="42" spans="1:17" ht="24.75" customHeight="1" hidden="1">
      <c r="A42" s="4" t="s">
        <v>42</v>
      </c>
      <c r="B42" s="8">
        <f t="shared" si="0"/>
        <v>0</v>
      </c>
      <c r="C42" s="8"/>
      <c r="D42" s="8"/>
      <c r="E42" s="8"/>
      <c r="F42" s="8"/>
      <c r="G42" s="8"/>
      <c r="H42" s="8"/>
      <c r="I42" s="8">
        <f t="shared" si="1"/>
        <v>0</v>
      </c>
      <c r="J42" s="8"/>
      <c r="K42" s="8"/>
      <c r="L42" s="8"/>
      <c r="M42" s="8"/>
      <c r="N42" s="8"/>
      <c r="O42" s="8"/>
      <c r="P42" s="63" t="e">
        <f t="shared" si="2"/>
        <v>#DIV/0!</v>
      </c>
      <c r="Q42" s="108"/>
    </row>
    <row r="43" spans="1:17" ht="30.75" customHeight="1" hidden="1">
      <c r="A43" s="5" t="s">
        <v>43</v>
      </c>
      <c r="B43" s="8">
        <f t="shared" si="0"/>
        <v>0</v>
      </c>
      <c r="C43" s="8"/>
      <c r="D43" s="8"/>
      <c r="E43" s="8"/>
      <c r="F43" s="8"/>
      <c r="G43" s="8"/>
      <c r="H43" s="8"/>
      <c r="I43" s="8">
        <f t="shared" si="1"/>
        <v>0</v>
      </c>
      <c r="J43" s="8"/>
      <c r="K43" s="8"/>
      <c r="L43" s="8"/>
      <c r="M43" s="8"/>
      <c r="N43" s="8"/>
      <c r="O43" s="8"/>
      <c r="P43" s="63" t="e">
        <f t="shared" si="2"/>
        <v>#DIV/0!</v>
      </c>
      <c r="Q43" s="108"/>
    </row>
    <row r="44" spans="1:17" ht="30.75" customHeight="1" hidden="1">
      <c r="A44" s="5" t="s">
        <v>44</v>
      </c>
      <c r="B44" s="8">
        <f>C44+D44+E44+F44+G44+H44</f>
        <v>0</v>
      </c>
      <c r="C44" s="8"/>
      <c r="D44" s="8"/>
      <c r="E44" s="8"/>
      <c r="F44" s="8"/>
      <c r="G44" s="8"/>
      <c r="H44" s="8"/>
      <c r="I44" s="8">
        <f t="shared" si="1"/>
        <v>0</v>
      </c>
      <c r="J44" s="8"/>
      <c r="K44" s="8"/>
      <c r="L44" s="8"/>
      <c r="M44" s="8"/>
      <c r="N44" s="8"/>
      <c r="O44" s="8"/>
      <c r="P44" s="63" t="e">
        <f t="shared" si="2"/>
        <v>#DIV/0!</v>
      </c>
      <c r="Q44" s="108"/>
    </row>
    <row r="45" spans="1:17" ht="30.75" customHeight="1" hidden="1">
      <c r="A45" s="5" t="s">
        <v>45</v>
      </c>
      <c r="B45" s="8">
        <f>C45+D45+E45+F45+G45+H45</f>
        <v>0</v>
      </c>
      <c r="C45" s="8"/>
      <c r="D45" s="8"/>
      <c r="E45" s="8"/>
      <c r="F45" s="8"/>
      <c r="G45" s="8"/>
      <c r="H45" s="8"/>
      <c r="I45" s="8">
        <f t="shared" si="1"/>
        <v>0</v>
      </c>
      <c r="J45" s="8"/>
      <c r="K45" s="8"/>
      <c r="L45" s="8"/>
      <c r="M45" s="8"/>
      <c r="N45" s="8"/>
      <c r="O45" s="8"/>
      <c r="P45" s="63" t="e">
        <f t="shared" si="2"/>
        <v>#DIV/0!</v>
      </c>
      <c r="Q45" s="108"/>
    </row>
    <row r="46" spans="1:19" ht="18.75" customHeight="1">
      <c r="A46" s="19" t="s">
        <v>12</v>
      </c>
      <c r="B46" s="21">
        <f t="shared" si="0"/>
        <v>323288.2</v>
      </c>
      <c r="C46" s="21">
        <f aca="true" t="shared" si="3" ref="C46:O46">SUM(C38:C45)</f>
        <v>317468.2</v>
      </c>
      <c r="D46" s="21">
        <f t="shared" si="3"/>
        <v>5300</v>
      </c>
      <c r="E46" s="21">
        <f t="shared" si="3"/>
        <v>0</v>
      </c>
      <c r="F46" s="21">
        <f t="shared" si="3"/>
        <v>0</v>
      </c>
      <c r="G46" s="21">
        <f t="shared" si="3"/>
        <v>520</v>
      </c>
      <c r="H46" s="21">
        <f t="shared" si="3"/>
        <v>0</v>
      </c>
      <c r="I46" s="21">
        <f t="shared" si="3"/>
        <v>309733.8</v>
      </c>
      <c r="J46" s="21">
        <f t="shared" si="3"/>
        <v>304270</v>
      </c>
      <c r="K46" s="21">
        <f t="shared" si="3"/>
        <v>5206.4</v>
      </c>
      <c r="L46" s="21">
        <f t="shared" si="3"/>
        <v>0</v>
      </c>
      <c r="M46" s="21">
        <f t="shared" si="3"/>
        <v>0</v>
      </c>
      <c r="N46" s="21">
        <f t="shared" si="3"/>
        <v>257.4</v>
      </c>
      <c r="O46" s="21">
        <f t="shared" si="3"/>
        <v>0</v>
      </c>
      <c r="P46" s="29">
        <f>I46/B46*100</f>
        <v>95.8073322812277</v>
      </c>
      <c r="Q46" s="109">
        <f>C46+G46</f>
        <v>317988.2</v>
      </c>
      <c r="R46" s="62"/>
      <c r="S46" s="62"/>
    </row>
    <row r="47" spans="1:17" ht="15.75">
      <c r="A47" s="138" t="s">
        <v>46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06"/>
    </row>
    <row r="48" spans="1:17" ht="21" customHeight="1">
      <c r="A48" s="12" t="s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07"/>
    </row>
    <row r="49" spans="1:18" ht="30.75" customHeight="1">
      <c r="A49" s="52" t="s">
        <v>48</v>
      </c>
      <c r="B49" s="36">
        <f>C49+D49+E49+F49+G49+H49</f>
        <v>654521.5</v>
      </c>
      <c r="C49" s="36">
        <v>160000</v>
      </c>
      <c r="D49" s="36">
        <v>3339.7</v>
      </c>
      <c r="E49" s="67"/>
      <c r="F49" s="67"/>
      <c r="G49" s="36">
        <f>508338.8+2268.6-19425.6</f>
        <v>491181.8</v>
      </c>
      <c r="H49" s="67"/>
      <c r="I49" s="36">
        <f aca="true" t="shared" si="4" ref="I49:I54">J49+K49+L49+M49+N49+O49</f>
        <v>631174.8999999999</v>
      </c>
      <c r="J49" s="36">
        <f>122160.9+27222.1</f>
        <v>149383</v>
      </c>
      <c r="K49" s="67">
        <f>1481.3+367</f>
        <v>1848.3</v>
      </c>
      <c r="L49" s="36"/>
      <c r="M49" s="67"/>
      <c r="N49" s="67">
        <f>479943.6</f>
        <v>479943.6</v>
      </c>
      <c r="O49" s="67"/>
      <c r="P49" s="118">
        <f aca="true" t="shared" si="5" ref="P49:P56">I49/B49*100</f>
        <v>96.43302779205877</v>
      </c>
      <c r="Q49" s="110"/>
      <c r="R49" s="84">
        <f>G49-N49</f>
        <v>11238.200000000012</v>
      </c>
    </row>
    <row r="50" spans="1:20" ht="58.5" customHeight="1">
      <c r="A50" s="52" t="s">
        <v>49</v>
      </c>
      <c r="B50" s="36">
        <f aca="true" t="shared" si="6" ref="B50:B57">C50+D50+E50+F50+G50+H50</f>
        <v>3000</v>
      </c>
      <c r="C50" s="36"/>
      <c r="D50" s="67"/>
      <c r="E50" s="67"/>
      <c r="F50" s="67"/>
      <c r="G50" s="36">
        <v>3000</v>
      </c>
      <c r="H50" s="67"/>
      <c r="I50" s="36">
        <f t="shared" si="4"/>
        <v>2098.6</v>
      </c>
      <c r="J50" s="36"/>
      <c r="K50" s="67"/>
      <c r="L50" s="67"/>
      <c r="M50" s="67"/>
      <c r="N50" s="67">
        <f>1678.7+419.9</f>
        <v>2098.6</v>
      </c>
      <c r="O50" s="67"/>
      <c r="P50" s="118">
        <f t="shared" si="5"/>
        <v>69.95333333333333</v>
      </c>
      <c r="Q50" s="110"/>
      <c r="R50" s="62"/>
      <c r="T50" t="s">
        <v>144</v>
      </c>
    </row>
    <row r="51" spans="1:22" ht="52.5" customHeight="1">
      <c r="A51" s="52" t="s">
        <v>95</v>
      </c>
      <c r="B51" s="36">
        <f t="shared" si="6"/>
        <v>34592.100000000006</v>
      </c>
      <c r="C51" s="36">
        <v>12457.8</v>
      </c>
      <c r="D51" s="67">
        <f>39365.9-16775-456.6</f>
        <v>22134.300000000003</v>
      </c>
      <c r="E51" s="67"/>
      <c r="F51" s="67"/>
      <c r="G51" s="67"/>
      <c r="H51" s="67"/>
      <c r="I51" s="36">
        <f t="shared" si="4"/>
        <v>7199.799999999999</v>
      </c>
      <c r="J51" s="36">
        <v>2382.6</v>
      </c>
      <c r="K51" s="67">
        <v>4817.2</v>
      </c>
      <c r="L51" s="67"/>
      <c r="M51" s="67"/>
      <c r="N51" s="67"/>
      <c r="O51" s="67"/>
      <c r="P51" s="118">
        <f t="shared" si="5"/>
        <v>20.813422717903794</v>
      </c>
      <c r="Q51" s="110"/>
      <c r="R51" s="62">
        <f>C51-J51</f>
        <v>10075.199999999999</v>
      </c>
      <c r="S51" s="62">
        <f>D51-K51</f>
        <v>17317.100000000002</v>
      </c>
      <c r="T51" s="86">
        <v>537.7</v>
      </c>
      <c r="U51" s="85" t="s">
        <v>151</v>
      </c>
      <c r="V51" s="85"/>
    </row>
    <row r="52" spans="1:21" ht="27.75" customHeight="1">
      <c r="A52" s="37" t="s">
        <v>50</v>
      </c>
      <c r="B52" s="36">
        <f>C52+D52+E52+F52+G52+H52</f>
        <v>99422</v>
      </c>
      <c r="C52" s="36">
        <f>97522.4+3000-30000.4</f>
        <v>70522</v>
      </c>
      <c r="D52" s="67">
        <f>1500+21000</f>
        <v>22500</v>
      </c>
      <c r="E52" s="67"/>
      <c r="F52" s="67"/>
      <c r="G52" s="36">
        <f>5500+900</f>
        <v>6400</v>
      </c>
      <c r="H52" s="67"/>
      <c r="I52" s="36">
        <f t="shared" si="4"/>
        <v>86157.3</v>
      </c>
      <c r="J52" s="36">
        <v>63880.2</v>
      </c>
      <c r="K52" s="67">
        <f>9435+773.6+2130.3+47.9+3.2+4.9+0.4+1+6813.5+3067.3</f>
        <v>22277.100000000002</v>
      </c>
      <c r="L52" s="67"/>
      <c r="M52" s="67"/>
      <c r="N52" s="67"/>
      <c r="O52" s="67"/>
      <c r="P52" s="118">
        <f t="shared" si="5"/>
        <v>86.65818430528455</v>
      </c>
      <c r="Q52" s="110"/>
      <c r="R52" s="62">
        <f>C52-J52</f>
        <v>6641.800000000003</v>
      </c>
      <c r="S52" s="62">
        <f>D52-K52</f>
        <v>222.89999999999782</v>
      </c>
      <c r="T52" s="88"/>
      <c r="U52" s="88"/>
    </row>
    <row r="53" spans="1:18" ht="20.25" customHeight="1" hidden="1">
      <c r="A53" s="53" t="s">
        <v>51</v>
      </c>
      <c r="B53" s="36">
        <f t="shared" si="6"/>
        <v>0</v>
      </c>
      <c r="C53" s="36"/>
      <c r="D53" s="67"/>
      <c r="E53" s="67"/>
      <c r="F53" s="67"/>
      <c r="G53" s="67"/>
      <c r="H53" s="67"/>
      <c r="I53" s="64">
        <f t="shared" si="4"/>
        <v>0</v>
      </c>
      <c r="J53" s="64"/>
      <c r="K53" s="68"/>
      <c r="L53" s="68"/>
      <c r="M53" s="68"/>
      <c r="N53" s="68"/>
      <c r="O53" s="68"/>
      <c r="P53" s="69" t="e">
        <f t="shared" si="5"/>
        <v>#DIV/0!</v>
      </c>
      <c r="Q53" s="110"/>
      <c r="R53" s="62"/>
    </row>
    <row r="54" spans="1:17" ht="30.75" customHeight="1" hidden="1">
      <c r="A54" s="52" t="s">
        <v>52</v>
      </c>
      <c r="B54" s="36">
        <f t="shared" si="6"/>
        <v>0</v>
      </c>
      <c r="C54" s="36"/>
      <c r="D54" s="36"/>
      <c r="E54" s="36"/>
      <c r="F54" s="36"/>
      <c r="G54" s="36"/>
      <c r="H54" s="36"/>
      <c r="I54" s="64">
        <f t="shared" si="4"/>
        <v>0</v>
      </c>
      <c r="J54" s="64"/>
      <c r="K54" s="68"/>
      <c r="L54" s="68"/>
      <c r="M54" s="64"/>
      <c r="N54" s="68"/>
      <c r="O54" s="68"/>
      <c r="P54" s="69" t="e">
        <f t="shared" si="5"/>
        <v>#DIV/0!</v>
      </c>
      <c r="Q54" s="110"/>
    </row>
    <row r="55" spans="1:17" ht="21.75" customHeight="1" hidden="1">
      <c r="A55" s="54" t="s">
        <v>53</v>
      </c>
      <c r="B55" s="36">
        <f t="shared" si="6"/>
        <v>0</v>
      </c>
      <c r="C55" s="36"/>
      <c r="D55" s="36"/>
      <c r="E55" s="36"/>
      <c r="F55" s="36"/>
      <c r="G55" s="36"/>
      <c r="H55" s="36"/>
      <c r="I55" s="64">
        <f>J55+K55+L55+M55+N55+O55</f>
        <v>0</v>
      </c>
      <c r="J55" s="68"/>
      <c r="K55" s="68"/>
      <c r="L55" s="68"/>
      <c r="M55" s="68"/>
      <c r="N55" s="68"/>
      <c r="O55" s="68"/>
      <c r="P55" s="69" t="e">
        <f t="shared" si="5"/>
        <v>#DIV/0!</v>
      </c>
      <c r="Q55" s="110"/>
    </row>
    <row r="56" spans="1:17" ht="30.75" customHeight="1" hidden="1">
      <c r="A56" s="37" t="s">
        <v>54</v>
      </c>
      <c r="B56" s="36">
        <f t="shared" si="6"/>
        <v>0</v>
      </c>
      <c r="C56" s="36"/>
      <c r="D56" s="36"/>
      <c r="E56" s="67"/>
      <c r="F56" s="67"/>
      <c r="G56" s="67"/>
      <c r="H56" s="67"/>
      <c r="I56" s="64">
        <f>J56+K56+L56+M56+N56+O56</f>
        <v>0</v>
      </c>
      <c r="J56" s="68"/>
      <c r="K56" s="64"/>
      <c r="L56" s="68"/>
      <c r="M56" s="68"/>
      <c r="N56" s="68"/>
      <c r="O56" s="68"/>
      <c r="P56" s="69" t="e">
        <f t="shared" si="5"/>
        <v>#DIV/0!</v>
      </c>
      <c r="Q56" s="110"/>
    </row>
    <row r="57" spans="1:24" ht="20.25" customHeight="1">
      <c r="A57" s="19" t="s">
        <v>13</v>
      </c>
      <c r="B57" s="21">
        <f t="shared" si="6"/>
        <v>791535.6</v>
      </c>
      <c r="C57" s="21">
        <f aca="true" t="shared" si="7" ref="C57:O57">SUM(C49:C56)</f>
        <v>242979.8</v>
      </c>
      <c r="D57" s="20">
        <f t="shared" si="7"/>
        <v>47974</v>
      </c>
      <c r="E57" s="21">
        <f t="shared" si="7"/>
        <v>0</v>
      </c>
      <c r="F57" s="21">
        <f t="shared" si="7"/>
        <v>0</v>
      </c>
      <c r="G57" s="21">
        <f t="shared" si="7"/>
        <v>500581.8</v>
      </c>
      <c r="H57" s="20">
        <f t="shared" si="7"/>
        <v>0</v>
      </c>
      <c r="I57" s="20">
        <f t="shared" si="7"/>
        <v>726630.6</v>
      </c>
      <c r="J57" s="20">
        <f t="shared" si="7"/>
        <v>215645.8</v>
      </c>
      <c r="K57" s="20">
        <f t="shared" si="7"/>
        <v>28942.600000000002</v>
      </c>
      <c r="L57" s="20">
        <f t="shared" si="7"/>
        <v>0</v>
      </c>
      <c r="M57" s="20">
        <f t="shared" si="7"/>
        <v>0</v>
      </c>
      <c r="N57" s="20">
        <f t="shared" si="7"/>
        <v>482042.19999999995</v>
      </c>
      <c r="O57" s="20">
        <f t="shared" si="7"/>
        <v>0</v>
      </c>
      <c r="P57" s="29">
        <f>I57/B57*100</f>
        <v>91.8001161286997</v>
      </c>
      <c r="Q57" s="109">
        <f>C57+G57</f>
        <v>743561.6</v>
      </c>
      <c r="T57" s="85">
        <v>186.6</v>
      </c>
      <c r="U57" s="91" t="s">
        <v>153</v>
      </c>
      <c r="V57" s="91" t="s">
        <v>152</v>
      </c>
      <c r="W57" s="91"/>
      <c r="X57" s="91"/>
    </row>
    <row r="58" spans="1:17" ht="15.75">
      <c r="A58" s="138" t="s">
        <v>89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06"/>
    </row>
    <row r="59" spans="1:17" ht="26.25">
      <c r="A59" s="48" t="s">
        <v>55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111"/>
    </row>
    <row r="60" spans="1:17" ht="27.75" customHeight="1">
      <c r="A60" s="7" t="s">
        <v>96</v>
      </c>
      <c r="B60" s="36">
        <f aca="true" t="shared" si="8" ref="B60:B66">C60+D60+E60+F60+G60+H60</f>
        <v>28858.5</v>
      </c>
      <c r="C60" s="36">
        <v>11851.5</v>
      </c>
      <c r="D60" s="36"/>
      <c r="E60" s="36"/>
      <c r="F60" s="36"/>
      <c r="G60" s="36">
        <v>17007</v>
      </c>
      <c r="H60" s="36"/>
      <c r="I60" s="36">
        <f aca="true" t="shared" si="9" ref="I60:I66">J60+K60+L60+M60+N60+O60</f>
        <v>27835.199999999997</v>
      </c>
      <c r="J60" s="36">
        <f>9434.9+2096.5</f>
        <v>11531.4</v>
      </c>
      <c r="K60" s="36"/>
      <c r="L60" s="36"/>
      <c r="M60" s="36"/>
      <c r="N60" s="36">
        <v>16303.8</v>
      </c>
      <c r="O60" s="36"/>
      <c r="P60" s="118">
        <f aca="true" t="shared" si="10" ref="P60:P66">I60/B60*100</f>
        <v>96.45407765476375</v>
      </c>
      <c r="Q60" s="108"/>
    </row>
    <row r="61" spans="1:17" ht="26.25">
      <c r="A61" s="7" t="s">
        <v>94</v>
      </c>
      <c r="B61" s="36">
        <f t="shared" si="8"/>
        <v>2216.8</v>
      </c>
      <c r="C61" s="36">
        <v>2216.8</v>
      </c>
      <c r="D61" s="36"/>
      <c r="E61" s="36"/>
      <c r="F61" s="36"/>
      <c r="G61" s="36"/>
      <c r="H61" s="36"/>
      <c r="I61" s="36">
        <f t="shared" si="9"/>
        <v>500.7</v>
      </c>
      <c r="J61" s="36">
        <v>500.7</v>
      </c>
      <c r="K61" s="36"/>
      <c r="L61" s="36"/>
      <c r="M61" s="36"/>
      <c r="N61" s="36"/>
      <c r="O61" s="36"/>
      <c r="P61" s="118">
        <f t="shared" si="10"/>
        <v>22.586611331649223</v>
      </c>
      <c r="Q61" s="108"/>
    </row>
    <row r="62" spans="1:19" ht="28.5" customHeight="1">
      <c r="A62" s="7" t="s">
        <v>97</v>
      </c>
      <c r="B62" s="36">
        <f t="shared" si="8"/>
        <v>3907.3</v>
      </c>
      <c r="C62" s="36">
        <f>3712.3+45-540</f>
        <v>3217.3</v>
      </c>
      <c r="D62" s="36">
        <f>50+540</f>
        <v>590</v>
      </c>
      <c r="E62" s="36"/>
      <c r="F62" s="36"/>
      <c r="G62" s="36">
        <v>100</v>
      </c>
      <c r="H62" s="36"/>
      <c r="I62" s="36">
        <f t="shared" si="9"/>
        <v>3300.5</v>
      </c>
      <c r="J62" s="36">
        <f>254.9+2.3+200.8+1967.6+48.3+199.7+13.9+0.6+31.5</f>
        <v>2719.6</v>
      </c>
      <c r="K62" s="36">
        <f>161.1+25.6+394.2</f>
        <v>580.9</v>
      </c>
      <c r="L62" s="36"/>
      <c r="M62" s="36"/>
      <c r="N62" s="36"/>
      <c r="O62" s="36"/>
      <c r="P62" s="118">
        <f t="shared" si="10"/>
        <v>84.4700944386149</v>
      </c>
      <c r="Q62" s="108"/>
      <c r="R62" s="62">
        <f>C62-J62</f>
        <v>497.7000000000003</v>
      </c>
      <c r="S62" s="62">
        <f>D62-K62</f>
        <v>9.100000000000023</v>
      </c>
    </row>
    <row r="63" spans="1:17" ht="39">
      <c r="A63" s="48" t="s">
        <v>90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81"/>
      <c r="Q63" s="112"/>
    </row>
    <row r="64" spans="1:17" ht="26.25">
      <c r="A64" s="7" t="s">
        <v>91</v>
      </c>
      <c r="B64" s="36">
        <f t="shared" si="8"/>
        <v>10973.199999999999</v>
      </c>
      <c r="C64" s="36">
        <v>9789.8</v>
      </c>
      <c r="D64" s="36"/>
      <c r="E64" s="36"/>
      <c r="F64" s="36"/>
      <c r="G64" s="36">
        <v>1183.4</v>
      </c>
      <c r="H64" s="36"/>
      <c r="I64" s="36">
        <f t="shared" si="9"/>
        <v>10662.7</v>
      </c>
      <c r="J64" s="36">
        <f>7866.8+1699.4</f>
        <v>9566.2</v>
      </c>
      <c r="K64" s="36"/>
      <c r="L64" s="36"/>
      <c r="M64" s="36"/>
      <c r="N64" s="36">
        <v>1096.5</v>
      </c>
      <c r="O64" s="36"/>
      <c r="P64" s="118">
        <f t="shared" si="10"/>
        <v>97.17037874093248</v>
      </c>
      <c r="Q64" s="108"/>
    </row>
    <row r="65" spans="1:19" ht="26.25">
      <c r="A65" s="7" t="s">
        <v>92</v>
      </c>
      <c r="B65" s="36">
        <f t="shared" si="8"/>
        <v>421.4</v>
      </c>
      <c r="C65" s="36">
        <v>421.4</v>
      </c>
      <c r="D65" s="36"/>
      <c r="E65" s="36"/>
      <c r="F65" s="36"/>
      <c r="G65" s="36"/>
      <c r="H65" s="36"/>
      <c r="I65" s="36">
        <f t="shared" si="9"/>
        <v>58.4</v>
      </c>
      <c r="J65" s="36">
        <v>58.4</v>
      </c>
      <c r="K65" s="36"/>
      <c r="L65" s="36"/>
      <c r="M65" s="36"/>
      <c r="N65" s="36"/>
      <c r="O65" s="36"/>
      <c r="P65" s="118">
        <f t="shared" si="10"/>
        <v>13.858566682486947</v>
      </c>
      <c r="Q65" s="108"/>
      <c r="R65" s="62">
        <f>C65-J65</f>
        <v>363</v>
      </c>
      <c r="S65" s="62">
        <f>D65-K65</f>
        <v>0</v>
      </c>
    </row>
    <row r="66" spans="1:19" ht="26.25">
      <c r="A66" s="7" t="s">
        <v>93</v>
      </c>
      <c r="B66" s="36">
        <f t="shared" si="8"/>
        <v>1797.4</v>
      </c>
      <c r="C66" s="36">
        <f>1797.4-75</f>
        <v>1722.4</v>
      </c>
      <c r="D66" s="36">
        <v>75</v>
      </c>
      <c r="E66" s="36"/>
      <c r="F66" s="36"/>
      <c r="G66" s="36"/>
      <c r="H66" s="36"/>
      <c r="I66" s="36">
        <f t="shared" si="9"/>
        <v>991.4000000000001</v>
      </c>
      <c r="J66" s="36">
        <f>47.3+102.3+19.9+71.8+673.7+2.2</f>
        <v>917.2</v>
      </c>
      <c r="K66" s="36">
        <v>74.2</v>
      </c>
      <c r="L66" s="36"/>
      <c r="M66" s="36"/>
      <c r="N66" s="36"/>
      <c r="O66" s="36"/>
      <c r="P66" s="118">
        <f t="shared" si="10"/>
        <v>55.157449649493714</v>
      </c>
      <c r="Q66" s="108"/>
      <c r="R66" s="62">
        <f>C66-J66</f>
        <v>805.2</v>
      </c>
      <c r="S66" s="62">
        <f>D66-K66</f>
        <v>0.7999999999999972</v>
      </c>
    </row>
    <row r="67" spans="1:17" ht="15">
      <c r="A67" s="19" t="s">
        <v>14</v>
      </c>
      <c r="B67" s="21">
        <f>SUM(B60:B66)</f>
        <v>48174.6</v>
      </c>
      <c r="C67" s="21">
        <f aca="true" t="shared" si="11" ref="C67:O67">SUM(C60:C66)</f>
        <v>29219.2</v>
      </c>
      <c r="D67" s="21">
        <f t="shared" si="11"/>
        <v>665</v>
      </c>
      <c r="E67" s="21">
        <f t="shared" si="11"/>
        <v>0</v>
      </c>
      <c r="F67" s="21">
        <f t="shared" si="11"/>
        <v>0</v>
      </c>
      <c r="G67" s="21">
        <f t="shared" si="11"/>
        <v>18290.4</v>
      </c>
      <c r="H67" s="21">
        <f t="shared" si="11"/>
        <v>0</v>
      </c>
      <c r="I67" s="21">
        <f t="shared" si="11"/>
        <v>43348.9</v>
      </c>
      <c r="J67" s="21">
        <f t="shared" si="11"/>
        <v>25293.500000000004</v>
      </c>
      <c r="K67" s="21">
        <f t="shared" si="11"/>
        <v>655.1</v>
      </c>
      <c r="L67" s="21">
        <f t="shared" si="11"/>
        <v>0</v>
      </c>
      <c r="M67" s="21">
        <f t="shared" si="11"/>
        <v>0</v>
      </c>
      <c r="N67" s="21">
        <f t="shared" si="11"/>
        <v>17400.3</v>
      </c>
      <c r="O67" s="21">
        <f t="shared" si="11"/>
        <v>0</v>
      </c>
      <c r="P67" s="29">
        <f>I67/B67*100</f>
        <v>89.98289555076742</v>
      </c>
      <c r="Q67" s="109">
        <f>C67+G67</f>
        <v>47509.600000000006</v>
      </c>
    </row>
    <row r="68" spans="1:17" ht="15.75">
      <c r="A68" s="138" t="s">
        <v>98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06"/>
    </row>
    <row r="69" spans="1:17" ht="15">
      <c r="A69" s="12" t="s">
        <v>56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07"/>
    </row>
    <row r="70" spans="1:17" ht="26.25">
      <c r="A70" s="7" t="s">
        <v>57</v>
      </c>
      <c r="B70" s="36">
        <f aca="true" t="shared" si="12" ref="B70:B75">C70+D70+E70+F70+G70+H70</f>
        <v>36600</v>
      </c>
      <c r="C70" s="67">
        <v>36600</v>
      </c>
      <c r="D70" s="36"/>
      <c r="E70" s="36"/>
      <c r="F70" s="36"/>
      <c r="G70" s="36"/>
      <c r="H70" s="36"/>
      <c r="I70" s="36">
        <f aca="true" t="shared" si="13" ref="I70:I75">J70+K70+L70+M70+N70+O70</f>
        <v>34286.700000000004</v>
      </c>
      <c r="J70" s="36">
        <f>28121.9+6164.8</f>
        <v>34286.700000000004</v>
      </c>
      <c r="K70" s="36"/>
      <c r="L70" s="36"/>
      <c r="M70" s="36"/>
      <c r="N70" s="36"/>
      <c r="O70" s="36"/>
      <c r="P70" s="118">
        <f aca="true" t="shared" si="14" ref="P70:P75">I70/B70*100</f>
        <v>93.67950819672133</v>
      </c>
      <c r="Q70" s="108"/>
    </row>
    <row r="71" spans="1:19" ht="26.25">
      <c r="A71" s="7" t="s">
        <v>58</v>
      </c>
      <c r="B71" s="36">
        <f t="shared" si="12"/>
        <v>6920</v>
      </c>
      <c r="C71" s="67">
        <f>6820-130</f>
        <v>6690</v>
      </c>
      <c r="D71" s="36">
        <f>100+130</f>
        <v>230</v>
      </c>
      <c r="E71" s="36"/>
      <c r="F71" s="36"/>
      <c r="G71" s="36"/>
      <c r="H71" s="36"/>
      <c r="I71" s="36">
        <f t="shared" si="13"/>
        <v>6128.499999999999</v>
      </c>
      <c r="J71" s="36">
        <f>633.5+388.4+3775.3+93.5+908.4+23.4+80.3</f>
        <v>5902.799999999999</v>
      </c>
      <c r="K71" s="36">
        <v>225.7</v>
      </c>
      <c r="L71" s="36"/>
      <c r="M71" s="36"/>
      <c r="N71" s="36"/>
      <c r="O71" s="36"/>
      <c r="P71" s="118">
        <f t="shared" si="14"/>
        <v>88.56213872832369</v>
      </c>
      <c r="Q71" s="108"/>
      <c r="R71" s="62">
        <f>C71-J71</f>
        <v>787.2000000000007</v>
      </c>
      <c r="S71" s="62">
        <f>D71-K71</f>
        <v>4.300000000000011</v>
      </c>
    </row>
    <row r="72" spans="1:17" ht="15" hidden="1">
      <c r="A72" s="45" t="s">
        <v>59</v>
      </c>
      <c r="B72" s="32">
        <f t="shared" si="12"/>
        <v>0</v>
      </c>
      <c r="C72" s="32"/>
      <c r="D72" s="32"/>
      <c r="E72" s="32"/>
      <c r="F72" s="32"/>
      <c r="G72" s="32"/>
      <c r="H72" s="32"/>
      <c r="I72" s="32">
        <f t="shared" si="13"/>
        <v>0</v>
      </c>
      <c r="J72" s="32"/>
      <c r="K72" s="32"/>
      <c r="L72" s="32"/>
      <c r="M72" s="32"/>
      <c r="N72" s="32"/>
      <c r="O72" s="32"/>
      <c r="P72" s="63" t="e">
        <f t="shared" si="14"/>
        <v>#DIV/0!</v>
      </c>
      <c r="Q72" s="108"/>
    </row>
    <row r="73" spans="1:17" ht="26.25" hidden="1">
      <c r="A73" s="7" t="s">
        <v>60</v>
      </c>
      <c r="B73" s="32">
        <f t="shared" si="12"/>
        <v>0</v>
      </c>
      <c r="C73" s="33"/>
      <c r="D73" s="32"/>
      <c r="E73" s="32"/>
      <c r="F73" s="32"/>
      <c r="G73" s="32"/>
      <c r="H73" s="32"/>
      <c r="I73" s="32">
        <f t="shared" si="13"/>
        <v>0</v>
      </c>
      <c r="J73" s="32"/>
      <c r="K73" s="32"/>
      <c r="L73" s="32"/>
      <c r="M73" s="32"/>
      <c r="N73" s="32"/>
      <c r="O73" s="32"/>
      <c r="P73" s="63" t="e">
        <f t="shared" si="14"/>
        <v>#DIV/0!</v>
      </c>
      <c r="Q73" s="108"/>
    </row>
    <row r="74" spans="1:17" ht="15" hidden="1">
      <c r="A74" s="4" t="s">
        <v>61</v>
      </c>
      <c r="B74" s="32">
        <f t="shared" si="12"/>
        <v>0</v>
      </c>
      <c r="C74" s="32"/>
      <c r="D74" s="32"/>
      <c r="E74" s="32"/>
      <c r="F74" s="32"/>
      <c r="G74" s="32"/>
      <c r="H74" s="32"/>
      <c r="I74" s="32">
        <f t="shared" si="13"/>
        <v>0</v>
      </c>
      <c r="J74" s="32"/>
      <c r="K74" s="32"/>
      <c r="L74" s="32"/>
      <c r="M74" s="32"/>
      <c r="N74" s="32"/>
      <c r="O74" s="32"/>
      <c r="P74" s="63" t="e">
        <f t="shared" si="14"/>
        <v>#DIV/0!</v>
      </c>
      <c r="Q74" s="108"/>
    </row>
    <row r="75" spans="1:17" ht="26.25" hidden="1">
      <c r="A75" s="5" t="s">
        <v>62</v>
      </c>
      <c r="B75" s="32">
        <f t="shared" si="12"/>
        <v>0</v>
      </c>
      <c r="C75" s="33"/>
      <c r="D75" s="32"/>
      <c r="E75" s="32"/>
      <c r="F75" s="32"/>
      <c r="G75" s="32"/>
      <c r="H75" s="32"/>
      <c r="I75" s="32">
        <f t="shared" si="13"/>
        <v>0</v>
      </c>
      <c r="J75" s="32"/>
      <c r="K75" s="32"/>
      <c r="L75" s="32"/>
      <c r="M75" s="32"/>
      <c r="N75" s="32"/>
      <c r="O75" s="32"/>
      <c r="P75" s="63" t="e">
        <f t="shared" si="14"/>
        <v>#DIV/0!</v>
      </c>
      <c r="Q75" s="108"/>
    </row>
    <row r="76" spans="1:17" ht="15">
      <c r="A76" s="19" t="s">
        <v>16</v>
      </c>
      <c r="B76" s="21">
        <f aca="true" t="shared" si="15" ref="B76:O76">SUM(B70:B75)</f>
        <v>43520</v>
      </c>
      <c r="C76" s="21">
        <f t="shared" si="15"/>
        <v>43290</v>
      </c>
      <c r="D76" s="21">
        <f t="shared" si="15"/>
        <v>230</v>
      </c>
      <c r="E76" s="21">
        <f t="shared" si="15"/>
        <v>0</v>
      </c>
      <c r="F76" s="21">
        <f t="shared" si="15"/>
        <v>0</v>
      </c>
      <c r="G76" s="21">
        <f t="shared" si="15"/>
        <v>0</v>
      </c>
      <c r="H76" s="21">
        <f t="shared" si="15"/>
        <v>0</v>
      </c>
      <c r="I76" s="21">
        <f t="shared" si="15"/>
        <v>40415.200000000004</v>
      </c>
      <c r="J76" s="21">
        <f t="shared" si="15"/>
        <v>40189.5</v>
      </c>
      <c r="K76" s="21">
        <f t="shared" si="15"/>
        <v>225.7</v>
      </c>
      <c r="L76" s="21">
        <f t="shared" si="15"/>
        <v>0</v>
      </c>
      <c r="M76" s="21">
        <f t="shared" si="15"/>
        <v>0</v>
      </c>
      <c r="N76" s="21">
        <f t="shared" si="15"/>
        <v>0</v>
      </c>
      <c r="O76" s="21">
        <f t="shared" si="15"/>
        <v>0</v>
      </c>
      <c r="P76" s="29">
        <f>I76/B76*100</f>
        <v>92.86580882352942</v>
      </c>
      <c r="Q76" s="109">
        <f>C76+G76</f>
        <v>43290</v>
      </c>
    </row>
    <row r="77" spans="1:17" ht="15.75">
      <c r="A77" s="138" t="s">
        <v>99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06"/>
    </row>
    <row r="78" spans="1:17" ht="30" customHeight="1">
      <c r="A78" s="12" t="s">
        <v>63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07"/>
    </row>
    <row r="79" spans="1:17" ht="64.5">
      <c r="A79" s="5" t="s">
        <v>64</v>
      </c>
      <c r="B79" s="36">
        <f>C79+D79+E79+F79+G79+H79</f>
        <v>4754.4</v>
      </c>
      <c r="C79" s="67">
        <v>4704.4</v>
      </c>
      <c r="D79" s="36">
        <v>50</v>
      </c>
      <c r="E79" s="36"/>
      <c r="F79" s="36"/>
      <c r="G79" s="36"/>
      <c r="H79" s="36"/>
      <c r="I79" s="36">
        <f>J79+K79+L79+M79+N79+O79</f>
        <v>4618.7</v>
      </c>
      <c r="J79" s="36">
        <v>4587.4</v>
      </c>
      <c r="K79" s="36">
        <v>31.3</v>
      </c>
      <c r="L79" s="36"/>
      <c r="M79" s="36"/>
      <c r="N79" s="36"/>
      <c r="O79" s="36"/>
      <c r="P79" s="118">
        <f>I79/B79*100</f>
        <v>97.14580178361098</v>
      </c>
      <c r="Q79" s="108"/>
    </row>
    <row r="80" spans="1:17" ht="15">
      <c r="A80" s="19" t="s">
        <v>17</v>
      </c>
      <c r="B80" s="21">
        <f aca="true" t="shared" si="16" ref="B80:O80">SUM(B79:B79)</f>
        <v>4754.4</v>
      </c>
      <c r="C80" s="21">
        <f t="shared" si="16"/>
        <v>4704.4</v>
      </c>
      <c r="D80" s="21">
        <f t="shared" si="16"/>
        <v>50</v>
      </c>
      <c r="E80" s="21">
        <f t="shared" si="16"/>
        <v>0</v>
      </c>
      <c r="F80" s="21">
        <f t="shared" si="16"/>
        <v>0</v>
      </c>
      <c r="G80" s="21">
        <f t="shared" si="16"/>
        <v>0</v>
      </c>
      <c r="H80" s="21">
        <f t="shared" si="16"/>
        <v>0</v>
      </c>
      <c r="I80" s="21">
        <f t="shared" si="16"/>
        <v>4618.7</v>
      </c>
      <c r="J80" s="21">
        <f t="shared" si="16"/>
        <v>4587.4</v>
      </c>
      <c r="K80" s="21">
        <f t="shared" si="16"/>
        <v>31.3</v>
      </c>
      <c r="L80" s="21">
        <f t="shared" si="16"/>
        <v>0</v>
      </c>
      <c r="M80" s="21">
        <f t="shared" si="16"/>
        <v>0</v>
      </c>
      <c r="N80" s="21">
        <f t="shared" si="16"/>
        <v>0</v>
      </c>
      <c r="O80" s="21">
        <f t="shared" si="16"/>
        <v>0</v>
      </c>
      <c r="P80" s="29">
        <f>I80/B80*100</f>
        <v>97.14580178361098</v>
      </c>
      <c r="Q80" s="109">
        <f>C80+G80</f>
        <v>4704.4</v>
      </c>
    </row>
    <row r="81" spans="1:17" ht="15.75">
      <c r="A81" s="138" t="s">
        <v>100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06"/>
    </row>
    <row r="82" spans="1:17" ht="26.25">
      <c r="A82" s="12" t="s">
        <v>65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07"/>
    </row>
    <row r="83" spans="1:17" ht="51.75">
      <c r="A83" s="5" t="s">
        <v>66</v>
      </c>
      <c r="B83" s="36">
        <f>C83+D83+E83+F83+G83+H83</f>
        <v>826</v>
      </c>
      <c r="C83" s="36">
        <v>826</v>
      </c>
      <c r="D83" s="36"/>
      <c r="E83" s="36"/>
      <c r="F83" s="36"/>
      <c r="G83" s="36"/>
      <c r="H83" s="36"/>
      <c r="I83" s="36">
        <f>J83+K83+L83+M83+N83+O83</f>
        <v>639.6</v>
      </c>
      <c r="J83" s="36">
        <v>639.6</v>
      </c>
      <c r="K83" s="36"/>
      <c r="L83" s="36"/>
      <c r="M83" s="36"/>
      <c r="N83" s="36"/>
      <c r="O83" s="36"/>
      <c r="P83" s="118">
        <f>I83/B83*100</f>
        <v>77.43341404358354</v>
      </c>
      <c r="Q83" s="108"/>
    </row>
    <row r="84" spans="1:17" ht="15">
      <c r="A84" s="19" t="s">
        <v>18</v>
      </c>
      <c r="B84" s="21">
        <f aca="true" t="shared" si="17" ref="B84:O84">SUM(B83:B83)</f>
        <v>826</v>
      </c>
      <c r="C84" s="21">
        <f t="shared" si="17"/>
        <v>826</v>
      </c>
      <c r="D84" s="21">
        <f t="shared" si="17"/>
        <v>0</v>
      </c>
      <c r="E84" s="21">
        <f t="shared" si="17"/>
        <v>0</v>
      </c>
      <c r="F84" s="21">
        <f t="shared" si="17"/>
        <v>0</v>
      </c>
      <c r="G84" s="21">
        <f t="shared" si="17"/>
        <v>0</v>
      </c>
      <c r="H84" s="21">
        <f t="shared" si="17"/>
        <v>0</v>
      </c>
      <c r="I84" s="21">
        <f t="shared" si="17"/>
        <v>639.6</v>
      </c>
      <c r="J84" s="21">
        <f t="shared" si="17"/>
        <v>639.6</v>
      </c>
      <c r="K84" s="21">
        <f t="shared" si="17"/>
        <v>0</v>
      </c>
      <c r="L84" s="21">
        <f t="shared" si="17"/>
        <v>0</v>
      </c>
      <c r="M84" s="21">
        <f t="shared" si="17"/>
        <v>0</v>
      </c>
      <c r="N84" s="21">
        <f t="shared" si="17"/>
        <v>0</v>
      </c>
      <c r="O84" s="21">
        <f t="shared" si="17"/>
        <v>0</v>
      </c>
      <c r="P84" s="29">
        <f>I84/B84*100</f>
        <v>77.43341404358354</v>
      </c>
      <c r="Q84" s="109">
        <f>C84+G84</f>
        <v>826</v>
      </c>
    </row>
    <row r="85" spans="1:17" ht="15.75">
      <c r="A85" s="138" t="s">
        <v>101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06"/>
    </row>
    <row r="86" spans="1:17" ht="51.75" customHeight="1">
      <c r="A86" s="15" t="s">
        <v>67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07"/>
    </row>
    <row r="87" spans="1:17" ht="26.25">
      <c r="A87" s="5" t="s">
        <v>68</v>
      </c>
      <c r="B87" s="36">
        <f>C87+D87+E87+F87+G87+H87</f>
        <v>100</v>
      </c>
      <c r="C87" s="36">
        <v>100</v>
      </c>
      <c r="D87" s="36"/>
      <c r="E87" s="36"/>
      <c r="F87" s="36"/>
      <c r="G87" s="119"/>
      <c r="H87" s="36"/>
      <c r="I87" s="36">
        <f>J87+K87+L87+M87+N87+O87</f>
        <v>80</v>
      </c>
      <c r="J87" s="36">
        <v>80</v>
      </c>
      <c r="K87" s="36"/>
      <c r="L87" s="36"/>
      <c r="M87" s="36"/>
      <c r="N87" s="36"/>
      <c r="O87" s="36"/>
      <c r="P87" s="118">
        <f>I87/B87*100</f>
        <v>80</v>
      </c>
      <c r="Q87" s="108"/>
    </row>
    <row r="88" spans="1:17" ht="23.25" customHeight="1">
      <c r="A88" s="38" t="s">
        <v>15</v>
      </c>
      <c r="B88" s="36">
        <f>C88+D88+E88+F88+G88+H88</f>
        <v>24.1</v>
      </c>
      <c r="C88" s="67">
        <v>24.1</v>
      </c>
      <c r="D88" s="36"/>
      <c r="E88" s="36"/>
      <c r="F88" s="36"/>
      <c r="G88" s="36"/>
      <c r="H88" s="36"/>
      <c r="I88" s="36">
        <f>J88+K88+L88+M88+N88+O88</f>
        <v>0</v>
      </c>
      <c r="J88" s="36"/>
      <c r="K88" s="36"/>
      <c r="L88" s="36"/>
      <c r="M88" s="36"/>
      <c r="N88" s="36"/>
      <c r="O88" s="36"/>
      <c r="P88" s="118">
        <f>I88/B88*100</f>
        <v>0</v>
      </c>
      <c r="Q88" s="108"/>
    </row>
    <row r="89" spans="1:17" ht="23.25" customHeight="1">
      <c r="A89" s="38" t="s">
        <v>102</v>
      </c>
      <c r="B89" s="36">
        <f>C89+D89+E89+F89+G89+H89</f>
        <v>1000</v>
      </c>
      <c r="C89" s="67">
        <v>1000</v>
      </c>
      <c r="D89" s="36"/>
      <c r="E89" s="36"/>
      <c r="F89" s="36"/>
      <c r="G89" s="36"/>
      <c r="H89" s="36"/>
      <c r="I89" s="36">
        <f>J89+K89+L89+M89+N89+O89</f>
        <v>0</v>
      </c>
      <c r="J89" s="36"/>
      <c r="K89" s="36"/>
      <c r="L89" s="36"/>
      <c r="M89" s="36"/>
      <c r="N89" s="36"/>
      <c r="O89" s="36"/>
      <c r="P89" s="118">
        <f>I89/B89*100</f>
        <v>0</v>
      </c>
      <c r="Q89" s="108"/>
    </row>
    <row r="90" spans="1:17" ht="15">
      <c r="A90" s="19" t="s">
        <v>19</v>
      </c>
      <c r="B90" s="21">
        <f>SUM(B86:B89)</f>
        <v>1124.1</v>
      </c>
      <c r="C90" s="21">
        <f>SUM(C86:C89)</f>
        <v>1124.1</v>
      </c>
      <c r="D90" s="21">
        <f aca="true" t="shared" si="18" ref="D90:O90">SUM(D86:D89)</f>
        <v>0</v>
      </c>
      <c r="E90" s="21">
        <f t="shared" si="18"/>
        <v>0</v>
      </c>
      <c r="F90" s="21">
        <f t="shared" si="18"/>
        <v>0</v>
      </c>
      <c r="G90" s="21">
        <f t="shared" si="18"/>
        <v>0</v>
      </c>
      <c r="H90" s="21">
        <f t="shared" si="18"/>
        <v>0</v>
      </c>
      <c r="I90" s="21">
        <f t="shared" si="18"/>
        <v>80</v>
      </c>
      <c r="J90" s="21">
        <f t="shared" si="18"/>
        <v>80</v>
      </c>
      <c r="K90" s="21">
        <f t="shared" si="18"/>
        <v>0</v>
      </c>
      <c r="L90" s="21">
        <f t="shared" si="18"/>
        <v>0</v>
      </c>
      <c r="M90" s="21">
        <f t="shared" si="18"/>
        <v>0</v>
      </c>
      <c r="N90" s="21">
        <f t="shared" si="18"/>
        <v>0</v>
      </c>
      <c r="O90" s="21">
        <f t="shared" si="18"/>
        <v>0</v>
      </c>
      <c r="P90" s="29">
        <f>I90/B90*100</f>
        <v>7.116804554754916</v>
      </c>
      <c r="Q90" s="109">
        <f>C90+G90</f>
        <v>1124.1</v>
      </c>
    </row>
    <row r="91" spans="1:17" ht="15.75">
      <c r="A91" s="138" t="s">
        <v>103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06"/>
    </row>
    <row r="92" spans="1:17" ht="26.25">
      <c r="A92" s="12" t="s">
        <v>69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07"/>
    </row>
    <row r="93" spans="1:20" ht="26.25">
      <c r="A93" s="5" t="s">
        <v>70</v>
      </c>
      <c r="B93" s="36">
        <f>C93+D93+E93+F93+G93+H93</f>
        <v>3998.8</v>
      </c>
      <c r="C93" s="36">
        <v>3998.8</v>
      </c>
      <c r="D93" s="36"/>
      <c r="E93" s="36"/>
      <c r="F93" s="36"/>
      <c r="G93" s="36"/>
      <c r="H93" s="36"/>
      <c r="I93" s="36">
        <f>J93+K93+L93+M93+N93+O93</f>
        <v>3746.5</v>
      </c>
      <c r="J93" s="36">
        <v>3746.5</v>
      </c>
      <c r="K93" s="36"/>
      <c r="L93" s="36"/>
      <c r="M93" s="36"/>
      <c r="N93" s="36"/>
      <c r="O93" s="36"/>
      <c r="P93" s="118">
        <f>I93/B93*100</f>
        <v>93.69060718215464</v>
      </c>
      <c r="Q93" s="108"/>
      <c r="T93" s="87" t="s">
        <v>150</v>
      </c>
    </row>
    <row r="94" spans="1:20" ht="26.25" customHeight="1">
      <c r="A94" s="7" t="s">
        <v>71</v>
      </c>
      <c r="B94" s="36">
        <f>C94+D94+E94+F94+G94+H94</f>
        <v>2378.2</v>
      </c>
      <c r="C94" s="36">
        <f>1250+678.2</f>
        <v>1928.2</v>
      </c>
      <c r="D94" s="36">
        <f>100+350</f>
        <v>450</v>
      </c>
      <c r="E94" s="36"/>
      <c r="F94" s="36"/>
      <c r="G94" s="36"/>
      <c r="H94" s="36"/>
      <c r="I94" s="36">
        <f>J94+K94+L94+M94+N94+O94</f>
        <v>1496.6999999999998</v>
      </c>
      <c r="J94" s="36">
        <v>1077.3</v>
      </c>
      <c r="K94" s="36">
        <v>419.4</v>
      </c>
      <c r="L94" s="36"/>
      <c r="M94" s="36"/>
      <c r="N94" s="36"/>
      <c r="O94" s="36"/>
      <c r="P94" s="118">
        <f>I94/B94*100</f>
        <v>62.93415187957279</v>
      </c>
      <c r="Q94" s="108"/>
      <c r="R94" s="62">
        <f>C94-J94</f>
        <v>850.9000000000001</v>
      </c>
      <c r="S94" s="62">
        <f>D94-K94</f>
        <v>30.600000000000023</v>
      </c>
      <c r="T94" s="87">
        <v>502.3</v>
      </c>
    </row>
    <row r="95" spans="1:17" ht="15">
      <c r="A95" s="12" t="s">
        <v>72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07"/>
    </row>
    <row r="96" spans="1:19" ht="26.25">
      <c r="A96" s="44" t="s">
        <v>73</v>
      </c>
      <c r="B96" s="36">
        <f>C96+D96+E96+F96+G96+H96</f>
        <v>2270.9</v>
      </c>
      <c r="C96" s="67">
        <v>2270.9</v>
      </c>
      <c r="D96" s="36"/>
      <c r="E96" s="36"/>
      <c r="F96" s="36"/>
      <c r="G96" s="36"/>
      <c r="H96" s="36"/>
      <c r="I96" s="36">
        <f>J96+K96+L96+M96+N96+O96</f>
        <v>2140.9</v>
      </c>
      <c r="J96" s="36">
        <v>2140.9</v>
      </c>
      <c r="K96" s="36"/>
      <c r="L96" s="36"/>
      <c r="M96" s="36"/>
      <c r="N96" s="36"/>
      <c r="O96" s="36"/>
      <c r="P96" s="118">
        <f>I96/B96*100</f>
        <v>94.27539741952529</v>
      </c>
      <c r="Q96" s="108"/>
      <c r="R96" s="62">
        <f>C96-J96</f>
        <v>130</v>
      </c>
      <c r="S96" s="62">
        <f>D96-K96</f>
        <v>0</v>
      </c>
    </row>
    <row r="97" spans="1:20" ht="26.25">
      <c r="A97" s="12" t="s">
        <v>83</v>
      </c>
      <c r="B97" s="36"/>
      <c r="C97" s="6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118"/>
      <c r="Q97" s="108"/>
      <c r="T97" s="87" t="s">
        <v>150</v>
      </c>
    </row>
    <row r="98" spans="1:23" ht="26.25">
      <c r="A98" s="44" t="s">
        <v>104</v>
      </c>
      <c r="B98" s="36">
        <f>C98+D98+E98+F98+G98+H98</f>
        <v>3138</v>
      </c>
      <c r="C98" s="121">
        <f>3030+45.6</f>
        <v>3075.6</v>
      </c>
      <c r="D98" s="36">
        <f>30+32.4</f>
        <v>62.4</v>
      </c>
      <c r="E98" s="36"/>
      <c r="F98" s="36"/>
      <c r="G98" s="36"/>
      <c r="H98" s="36"/>
      <c r="I98" s="36">
        <f>J98+K98+L98+M98+N98+O98</f>
        <v>2953</v>
      </c>
      <c r="J98" s="36">
        <v>2890.6</v>
      </c>
      <c r="K98" s="36">
        <v>62.4</v>
      </c>
      <c r="L98" s="36"/>
      <c r="M98" s="36"/>
      <c r="N98" s="36"/>
      <c r="O98" s="36"/>
      <c r="P98" s="118">
        <f>I98/B98*100</f>
        <v>94.10452517527087</v>
      </c>
      <c r="Q98" s="108"/>
      <c r="R98" s="62">
        <f>C98-J98</f>
        <v>185</v>
      </c>
      <c r="S98" s="62">
        <f>D98-K98</f>
        <v>0</v>
      </c>
      <c r="T98" s="87">
        <v>3075.6</v>
      </c>
      <c r="U98" s="87" t="s">
        <v>145</v>
      </c>
      <c r="V98" s="90"/>
      <c r="W98" s="88"/>
    </row>
    <row r="99" spans="1:21" ht="15">
      <c r="A99" s="19" t="s">
        <v>20</v>
      </c>
      <c r="B99" s="20">
        <f>SUM(B92:B98)</f>
        <v>11785.9</v>
      </c>
      <c r="C99" s="20">
        <f aca="true" t="shared" si="19" ref="C99:O99">SUM(C92:C98)</f>
        <v>11273.5</v>
      </c>
      <c r="D99" s="20">
        <f t="shared" si="19"/>
        <v>512.4</v>
      </c>
      <c r="E99" s="20">
        <f t="shared" si="19"/>
        <v>0</v>
      </c>
      <c r="F99" s="20">
        <f t="shared" si="19"/>
        <v>0</v>
      </c>
      <c r="G99" s="20">
        <f t="shared" si="19"/>
        <v>0</v>
      </c>
      <c r="H99" s="20">
        <f t="shared" si="19"/>
        <v>0</v>
      </c>
      <c r="I99" s="20">
        <f t="shared" si="19"/>
        <v>10337.1</v>
      </c>
      <c r="J99" s="20">
        <f t="shared" si="19"/>
        <v>9855.300000000001</v>
      </c>
      <c r="K99" s="20">
        <f t="shared" si="19"/>
        <v>481.79999999999995</v>
      </c>
      <c r="L99" s="20">
        <f t="shared" si="19"/>
        <v>0</v>
      </c>
      <c r="M99" s="20">
        <f t="shared" si="19"/>
        <v>0</v>
      </c>
      <c r="N99" s="20">
        <f t="shared" si="19"/>
        <v>0</v>
      </c>
      <c r="O99" s="20">
        <f t="shared" si="19"/>
        <v>0</v>
      </c>
      <c r="P99" s="29">
        <f>I99/B99*100</f>
        <v>87.70734521759051</v>
      </c>
      <c r="Q99" s="109">
        <f>C99+G99</f>
        <v>11273.5</v>
      </c>
      <c r="T99" s="87">
        <v>62.4</v>
      </c>
      <c r="U99" s="87" t="s">
        <v>149</v>
      </c>
    </row>
    <row r="100" spans="1:17" ht="15.75">
      <c r="A100" s="138" t="s">
        <v>105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06"/>
    </row>
    <row r="101" spans="1:17" ht="64.5">
      <c r="A101" s="16" t="s">
        <v>106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07"/>
    </row>
    <row r="102" spans="1:17" ht="25.5">
      <c r="A102" s="6" t="s">
        <v>107</v>
      </c>
      <c r="B102" s="36">
        <f>C102+D102+E102+F102+G102+H102</f>
        <v>1064.4</v>
      </c>
      <c r="C102" s="67">
        <v>1064.4</v>
      </c>
      <c r="D102" s="36"/>
      <c r="E102" s="36"/>
      <c r="F102" s="36"/>
      <c r="G102" s="36"/>
      <c r="H102" s="36"/>
      <c r="I102" s="36">
        <f>J102+K102+L102+M102+N102+O102</f>
        <v>565.9</v>
      </c>
      <c r="J102" s="67">
        <v>565.9</v>
      </c>
      <c r="K102" s="36"/>
      <c r="L102" s="36"/>
      <c r="M102" s="36"/>
      <c r="N102" s="36"/>
      <c r="O102" s="36"/>
      <c r="P102" s="118">
        <f>I102/B102*100</f>
        <v>53.166102968808715</v>
      </c>
      <c r="Q102" s="108"/>
    </row>
    <row r="103" spans="1:17" ht="38.25">
      <c r="A103" s="17" t="s">
        <v>108</v>
      </c>
      <c r="B103" s="36">
        <f>C103+D103+E103+F103+G103+H103</f>
        <v>800.4</v>
      </c>
      <c r="C103" s="67">
        <v>800.4</v>
      </c>
      <c r="D103" s="36"/>
      <c r="E103" s="36"/>
      <c r="F103" s="36"/>
      <c r="G103" s="36"/>
      <c r="H103" s="36"/>
      <c r="I103" s="36">
        <v>436.9</v>
      </c>
      <c r="J103" s="67">
        <v>436.9</v>
      </c>
      <c r="K103" s="36"/>
      <c r="L103" s="36"/>
      <c r="M103" s="36"/>
      <c r="N103" s="36"/>
      <c r="O103" s="36"/>
      <c r="P103" s="118">
        <f>I103/B103*100</f>
        <v>54.58520739630185</v>
      </c>
      <c r="Q103" s="108"/>
    </row>
    <row r="104" spans="1:17" ht="15">
      <c r="A104" s="19" t="s">
        <v>21</v>
      </c>
      <c r="B104" s="21">
        <f>SUM(B102:B103)</f>
        <v>1864.8000000000002</v>
      </c>
      <c r="C104" s="21">
        <f aca="true" t="shared" si="20" ref="C104:O104">SUM(C102:C103)</f>
        <v>1864.8000000000002</v>
      </c>
      <c r="D104" s="21">
        <f t="shared" si="20"/>
        <v>0</v>
      </c>
      <c r="E104" s="21">
        <f t="shared" si="20"/>
        <v>0</v>
      </c>
      <c r="F104" s="21">
        <f t="shared" si="20"/>
        <v>0</v>
      </c>
      <c r="G104" s="21">
        <f t="shared" si="20"/>
        <v>0</v>
      </c>
      <c r="H104" s="21">
        <f t="shared" si="20"/>
        <v>0</v>
      </c>
      <c r="I104" s="21">
        <f t="shared" si="20"/>
        <v>1002.8</v>
      </c>
      <c r="J104" s="21">
        <f t="shared" si="20"/>
        <v>1002.8</v>
      </c>
      <c r="K104" s="21">
        <f t="shared" si="20"/>
        <v>0</v>
      </c>
      <c r="L104" s="21">
        <f t="shared" si="20"/>
        <v>0</v>
      </c>
      <c r="M104" s="21">
        <f t="shared" si="20"/>
        <v>0</v>
      </c>
      <c r="N104" s="21">
        <f t="shared" si="20"/>
        <v>0</v>
      </c>
      <c r="O104" s="21">
        <f t="shared" si="20"/>
        <v>0</v>
      </c>
      <c r="P104" s="29">
        <f>I104/B104*100</f>
        <v>53.77520377520377</v>
      </c>
      <c r="Q104" s="109">
        <f>C104+G104</f>
        <v>1864.8000000000002</v>
      </c>
    </row>
    <row r="105" spans="1:17" ht="15.75">
      <c r="A105" s="138" t="s">
        <v>109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06"/>
    </row>
    <row r="106" spans="1:17" ht="30.75" customHeight="1">
      <c r="A106" s="12" t="s">
        <v>74</v>
      </c>
      <c r="B106" s="9"/>
      <c r="C106" s="13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4"/>
      <c r="Q106" s="107"/>
    </row>
    <row r="107" spans="1:20" ht="26.25">
      <c r="A107" s="7" t="s">
        <v>75</v>
      </c>
      <c r="B107" s="36">
        <f>C107+D107+E107+F107+G107+H107</f>
        <v>1785.7</v>
      </c>
      <c r="C107" s="67">
        <f>381.1-230.9</f>
        <v>150.20000000000002</v>
      </c>
      <c r="D107" s="36"/>
      <c r="E107" s="36"/>
      <c r="F107" s="36"/>
      <c r="G107" s="36">
        <v>1635.5</v>
      </c>
      <c r="H107" s="36"/>
      <c r="I107" s="36">
        <f>J107+K107+L107+M107+N107+O107</f>
        <v>1376.8</v>
      </c>
      <c r="J107" s="36"/>
      <c r="K107" s="36"/>
      <c r="L107" s="36"/>
      <c r="M107" s="36"/>
      <c r="N107" s="36">
        <v>1376.8</v>
      </c>
      <c r="O107" s="36"/>
      <c r="P107" s="118">
        <f>I107/B107*100</f>
        <v>77.10141681133449</v>
      </c>
      <c r="Q107" s="110"/>
      <c r="T107" s="87" t="s">
        <v>150</v>
      </c>
    </row>
    <row r="108" spans="1:20" ht="15">
      <c r="A108" s="45" t="s">
        <v>76</v>
      </c>
      <c r="B108" s="36">
        <f>C108+D108+E108+F108+G108+H108</f>
        <v>362.6</v>
      </c>
      <c r="C108" s="36">
        <v>175</v>
      </c>
      <c r="D108" s="36">
        <v>187.6</v>
      </c>
      <c r="E108" s="36"/>
      <c r="F108" s="36"/>
      <c r="G108" s="36"/>
      <c r="H108" s="36"/>
      <c r="I108" s="36">
        <f>J108+K108+L108+M108+N108+O108</f>
        <v>280.2</v>
      </c>
      <c r="J108" s="36">
        <v>92.6</v>
      </c>
      <c r="K108" s="36">
        <v>187.6</v>
      </c>
      <c r="L108" s="36"/>
      <c r="M108" s="36"/>
      <c r="N108" s="36"/>
      <c r="O108" s="36"/>
      <c r="P108" s="118">
        <f>I108/B108*100</f>
        <v>77.27523441809156</v>
      </c>
      <c r="Q108" s="110"/>
      <c r="S108" s="88"/>
      <c r="T108" s="87">
        <v>187.6</v>
      </c>
    </row>
    <row r="109" spans="1:20" ht="26.25">
      <c r="A109" s="7" t="s">
        <v>77</v>
      </c>
      <c r="B109" s="36">
        <f>C109+D109+E109+F109+G109+H109</f>
        <v>73.3</v>
      </c>
      <c r="C109" s="67"/>
      <c r="D109" s="36">
        <f>30+43.3</f>
        <v>73.3</v>
      </c>
      <c r="E109" s="36"/>
      <c r="F109" s="36"/>
      <c r="G109" s="36"/>
      <c r="H109" s="36"/>
      <c r="I109" s="36">
        <f>J109+K109+L109+M109+N109+O109</f>
        <v>73.3</v>
      </c>
      <c r="J109" s="36"/>
      <c r="K109" s="36">
        <v>73.3</v>
      </c>
      <c r="L109" s="36"/>
      <c r="M109" s="36"/>
      <c r="N109" s="36"/>
      <c r="O109" s="36"/>
      <c r="P109" s="118">
        <f>I109/B109*100</f>
        <v>100</v>
      </c>
      <c r="Q109" s="110"/>
      <c r="S109" s="88"/>
      <c r="T109" s="87">
        <v>73.3</v>
      </c>
    </row>
    <row r="110" spans="1:17" ht="15">
      <c r="A110" s="19" t="s">
        <v>22</v>
      </c>
      <c r="B110" s="21">
        <f>SUM(B107:B109)</f>
        <v>2221.6000000000004</v>
      </c>
      <c r="C110" s="21">
        <f aca="true" t="shared" si="21" ref="C110:N110">SUM(C107:C109)</f>
        <v>325.20000000000005</v>
      </c>
      <c r="D110" s="21">
        <f t="shared" si="21"/>
        <v>260.9</v>
      </c>
      <c r="E110" s="21">
        <f t="shared" si="21"/>
        <v>0</v>
      </c>
      <c r="F110" s="21">
        <f t="shared" si="21"/>
        <v>0</v>
      </c>
      <c r="G110" s="21">
        <f t="shared" si="21"/>
        <v>1635.5</v>
      </c>
      <c r="H110" s="21">
        <f t="shared" si="21"/>
        <v>0</v>
      </c>
      <c r="I110" s="21">
        <f t="shared" si="21"/>
        <v>1730.3</v>
      </c>
      <c r="J110" s="21">
        <f t="shared" si="21"/>
        <v>92.6</v>
      </c>
      <c r="K110" s="21">
        <f t="shared" si="21"/>
        <v>260.9</v>
      </c>
      <c r="L110" s="21">
        <f t="shared" si="21"/>
        <v>0</v>
      </c>
      <c r="M110" s="21">
        <f t="shared" si="21"/>
        <v>0</v>
      </c>
      <c r="N110" s="21">
        <f t="shared" si="21"/>
        <v>1376.8</v>
      </c>
      <c r="O110" s="21">
        <f>SUM(O107:O109)</f>
        <v>0</v>
      </c>
      <c r="P110" s="29">
        <f>I110/B110*100</f>
        <v>77.88530788620812</v>
      </c>
      <c r="Q110" s="109">
        <f>C110+G110</f>
        <v>1960.7</v>
      </c>
    </row>
    <row r="111" spans="1:17" ht="15.75">
      <c r="A111" s="133" t="s">
        <v>110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5"/>
      <c r="Q111" s="113"/>
    </row>
    <row r="112" spans="1:20" ht="26.25">
      <c r="A112" s="46" t="s">
        <v>80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60"/>
      <c r="Q112" s="114"/>
      <c r="T112" s="87" t="s">
        <v>150</v>
      </c>
    </row>
    <row r="113" spans="1:23" ht="15">
      <c r="A113" s="72" t="s">
        <v>111</v>
      </c>
      <c r="B113" s="36">
        <f aca="true" t="shared" si="22" ref="B113:B119">C113+D113+E113+F113+G113+H113</f>
        <v>38039</v>
      </c>
      <c r="C113" s="36"/>
      <c r="D113" s="36">
        <f>5300+12300+7700</f>
        <v>25300</v>
      </c>
      <c r="E113" s="36"/>
      <c r="F113" s="36"/>
      <c r="G113" s="36"/>
      <c r="H113" s="36">
        <f>12534+205</f>
        <v>12739</v>
      </c>
      <c r="I113" s="36">
        <f aca="true" t="shared" si="23" ref="I113:I119">J113+K113+L113+M113+N113+O113</f>
        <v>26689.7</v>
      </c>
      <c r="J113" s="36"/>
      <c r="K113" s="36">
        <f>1059.2+12910.4</f>
        <v>13969.6</v>
      </c>
      <c r="L113" s="36"/>
      <c r="M113" s="36"/>
      <c r="N113" s="36"/>
      <c r="O113" s="36">
        <v>12720.1</v>
      </c>
      <c r="P113" s="118">
        <f aca="true" t="shared" si="24" ref="P113:P120">I113/B113*100</f>
        <v>70.1640421672494</v>
      </c>
      <c r="Q113" s="108"/>
      <c r="S113" s="87" t="s">
        <v>146</v>
      </c>
      <c r="T113" s="87"/>
      <c r="U113" s="87"/>
      <c r="V113" s="87"/>
      <c r="W113" s="89"/>
    </row>
    <row r="114" spans="1:20" ht="15">
      <c r="A114" s="72" t="s">
        <v>112</v>
      </c>
      <c r="B114" s="36">
        <f t="shared" si="22"/>
        <v>200</v>
      </c>
      <c r="C114" s="36"/>
      <c r="D114" s="36">
        <f>1800-1600</f>
        <v>200</v>
      </c>
      <c r="E114" s="36"/>
      <c r="F114" s="36"/>
      <c r="G114" s="36"/>
      <c r="H114" s="36"/>
      <c r="I114" s="36">
        <f t="shared" si="23"/>
        <v>0</v>
      </c>
      <c r="J114" s="36"/>
      <c r="K114" s="36"/>
      <c r="L114" s="36"/>
      <c r="M114" s="36"/>
      <c r="N114" s="36"/>
      <c r="O114" s="36"/>
      <c r="P114" s="118">
        <f t="shared" si="24"/>
        <v>0</v>
      </c>
      <c r="Q114" s="108"/>
      <c r="S114">
        <v>12728.6</v>
      </c>
      <c r="T114" t="s">
        <v>147</v>
      </c>
    </row>
    <row r="115" spans="1:20" ht="15">
      <c r="A115" s="72" t="s">
        <v>113</v>
      </c>
      <c r="B115" s="36">
        <f t="shared" si="22"/>
        <v>200</v>
      </c>
      <c r="C115" s="36"/>
      <c r="D115" s="36">
        <f>1500-1300</f>
        <v>200</v>
      </c>
      <c r="E115" s="36"/>
      <c r="F115" s="36"/>
      <c r="G115" s="36"/>
      <c r="H115" s="36"/>
      <c r="I115" s="36">
        <f t="shared" si="23"/>
        <v>0</v>
      </c>
      <c r="J115" s="36"/>
      <c r="K115" s="36"/>
      <c r="L115" s="36"/>
      <c r="M115" s="36"/>
      <c r="N115" s="36"/>
      <c r="O115" s="36"/>
      <c r="P115" s="118">
        <f t="shared" si="24"/>
        <v>0</v>
      </c>
      <c r="Q115" s="108"/>
      <c r="S115">
        <v>25689.5</v>
      </c>
      <c r="T115" t="s">
        <v>148</v>
      </c>
    </row>
    <row r="116" spans="1:17" ht="15">
      <c r="A116" s="72" t="s">
        <v>114</v>
      </c>
      <c r="B116" s="36">
        <f t="shared" si="22"/>
        <v>0</v>
      </c>
      <c r="C116" s="36"/>
      <c r="D116" s="36">
        <f>2554.3-2554.3</f>
        <v>0</v>
      </c>
      <c r="E116" s="36"/>
      <c r="F116" s="36"/>
      <c r="G116" s="36"/>
      <c r="H116" s="36"/>
      <c r="I116" s="36">
        <f t="shared" si="23"/>
        <v>0</v>
      </c>
      <c r="J116" s="36"/>
      <c r="K116" s="36"/>
      <c r="L116" s="36"/>
      <c r="M116" s="36"/>
      <c r="N116" s="36"/>
      <c r="O116" s="36"/>
      <c r="P116" s="118"/>
      <c r="Q116" s="115"/>
    </row>
    <row r="117" spans="1:19" ht="25.5">
      <c r="A117" s="72" t="s">
        <v>115</v>
      </c>
      <c r="B117" s="36">
        <f t="shared" si="22"/>
        <v>0</v>
      </c>
      <c r="C117" s="36"/>
      <c r="D117" s="36">
        <f>3100-3100</f>
        <v>0</v>
      </c>
      <c r="E117" s="36"/>
      <c r="F117" s="36"/>
      <c r="G117" s="36"/>
      <c r="H117" s="36"/>
      <c r="I117" s="36">
        <f t="shared" si="23"/>
        <v>0</v>
      </c>
      <c r="J117" s="36"/>
      <c r="K117" s="36"/>
      <c r="L117" s="36"/>
      <c r="M117" s="36"/>
      <c r="N117" s="36"/>
      <c r="O117" s="36"/>
      <c r="P117" s="118"/>
      <c r="Q117" s="115"/>
      <c r="S117">
        <v>116.423</v>
      </c>
    </row>
    <row r="118" spans="1:17" ht="25.5">
      <c r="A118" s="72" t="s">
        <v>116</v>
      </c>
      <c r="B118" s="36">
        <f t="shared" si="22"/>
        <v>0</v>
      </c>
      <c r="C118" s="36"/>
      <c r="D118" s="36">
        <f>600-600</f>
        <v>0</v>
      </c>
      <c r="E118" s="36"/>
      <c r="F118" s="36"/>
      <c r="G118" s="36"/>
      <c r="H118" s="36"/>
      <c r="I118" s="36">
        <f t="shared" si="23"/>
        <v>0</v>
      </c>
      <c r="J118" s="36"/>
      <c r="K118" s="36"/>
      <c r="L118" s="36"/>
      <c r="M118" s="36"/>
      <c r="N118" s="36"/>
      <c r="O118" s="36"/>
      <c r="P118" s="118"/>
      <c r="Q118" s="115"/>
    </row>
    <row r="119" spans="1:17" ht="26.25">
      <c r="A119" s="7" t="s">
        <v>45</v>
      </c>
      <c r="B119" s="36">
        <f t="shared" si="22"/>
        <v>0</v>
      </c>
      <c r="C119" s="36"/>
      <c r="D119" s="36">
        <f>5200-5200</f>
        <v>0</v>
      </c>
      <c r="E119" s="36"/>
      <c r="F119" s="36"/>
      <c r="G119" s="36"/>
      <c r="H119" s="36"/>
      <c r="I119" s="36">
        <f t="shared" si="23"/>
        <v>0</v>
      </c>
      <c r="J119" s="36"/>
      <c r="K119" s="36"/>
      <c r="L119" s="36"/>
      <c r="M119" s="36"/>
      <c r="N119" s="36"/>
      <c r="O119" s="36"/>
      <c r="P119" s="118"/>
      <c r="Q119" s="115"/>
    </row>
    <row r="120" spans="1:17" ht="15">
      <c r="A120" s="19" t="s">
        <v>81</v>
      </c>
      <c r="B120" s="21">
        <f>SUM(B112:B119)</f>
        <v>38439</v>
      </c>
      <c r="C120" s="21">
        <f aca="true" t="shared" si="25" ref="C120:O120">SUM(C112:C119)</f>
        <v>0</v>
      </c>
      <c r="D120" s="21">
        <f t="shared" si="25"/>
        <v>25700</v>
      </c>
      <c r="E120" s="21">
        <f t="shared" si="25"/>
        <v>0</v>
      </c>
      <c r="F120" s="21">
        <f t="shared" si="25"/>
        <v>0</v>
      </c>
      <c r="G120" s="21">
        <f t="shared" si="25"/>
        <v>0</v>
      </c>
      <c r="H120" s="21">
        <f t="shared" si="25"/>
        <v>12739</v>
      </c>
      <c r="I120" s="21">
        <f t="shared" si="25"/>
        <v>26689.7</v>
      </c>
      <c r="J120" s="21">
        <f t="shared" si="25"/>
        <v>0</v>
      </c>
      <c r="K120" s="21">
        <f t="shared" si="25"/>
        <v>13969.6</v>
      </c>
      <c r="L120" s="21">
        <f t="shared" si="25"/>
        <v>0</v>
      </c>
      <c r="M120" s="21">
        <f t="shared" si="25"/>
        <v>0</v>
      </c>
      <c r="N120" s="21">
        <f t="shared" si="25"/>
        <v>0</v>
      </c>
      <c r="O120" s="21">
        <f t="shared" si="25"/>
        <v>12720.1</v>
      </c>
      <c r="P120" s="29">
        <f t="shared" si="24"/>
        <v>69.43390827024636</v>
      </c>
      <c r="Q120" s="109">
        <f>C120+G120</f>
        <v>0</v>
      </c>
    </row>
    <row r="121" spans="1:17" ht="15">
      <c r="A121" s="140" t="s">
        <v>117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2"/>
      <c r="Q121" s="116"/>
    </row>
    <row r="122" spans="1:17" ht="15">
      <c r="A122" s="15" t="s">
        <v>118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1"/>
      <c r="Q122" s="114"/>
    </row>
    <row r="123" spans="1:17" ht="52.5" customHeight="1">
      <c r="A123" s="71" t="s">
        <v>119</v>
      </c>
      <c r="B123" s="36">
        <f aca="true" t="shared" si="26" ref="B123:B128">C123+D123+E123+F123+G123+H123</f>
        <v>0</v>
      </c>
      <c r="C123" s="36">
        <v>0</v>
      </c>
      <c r="D123" s="36"/>
      <c r="E123" s="36"/>
      <c r="F123" s="36"/>
      <c r="G123" s="36"/>
      <c r="H123" s="36"/>
      <c r="I123" s="36">
        <f aca="true" t="shared" si="27" ref="I123:I128">J123+K123+L123+M123+N123+O123</f>
        <v>0</v>
      </c>
      <c r="J123" s="65"/>
      <c r="K123" s="65"/>
      <c r="L123" s="65"/>
      <c r="M123" s="65"/>
      <c r="N123" s="65"/>
      <c r="O123" s="65"/>
      <c r="P123" s="118"/>
      <c r="Q123" s="108"/>
    </row>
    <row r="124" spans="1:17" ht="25.5" customHeight="1">
      <c r="A124" s="7" t="s">
        <v>140</v>
      </c>
      <c r="B124" s="36">
        <f t="shared" si="26"/>
        <v>113312.6</v>
      </c>
      <c r="C124" s="36">
        <v>91617.2</v>
      </c>
      <c r="D124" s="36">
        <v>2269.8</v>
      </c>
      <c r="E124" s="36"/>
      <c r="F124" s="36"/>
      <c r="G124" s="36">
        <v>19425.6</v>
      </c>
      <c r="H124" s="36"/>
      <c r="I124" s="36">
        <f t="shared" si="27"/>
        <v>113180.20000000001</v>
      </c>
      <c r="J124" s="36">
        <f>75040.3+16550.2</f>
        <v>91590.5</v>
      </c>
      <c r="K124" s="36">
        <f>1815.3+353</f>
        <v>2168.3</v>
      </c>
      <c r="L124" s="36"/>
      <c r="M124" s="36"/>
      <c r="N124" s="36">
        <v>19421.4</v>
      </c>
      <c r="O124" s="36"/>
      <c r="P124" s="118"/>
      <c r="Q124" s="108"/>
    </row>
    <row r="125" spans="1:17" ht="25.5" customHeight="1">
      <c r="A125" s="7" t="s">
        <v>141</v>
      </c>
      <c r="B125" s="36">
        <f t="shared" si="26"/>
        <v>4505</v>
      </c>
      <c r="C125" s="36">
        <v>4377.2</v>
      </c>
      <c r="D125" s="36">
        <v>127.8</v>
      </c>
      <c r="E125" s="36"/>
      <c r="F125" s="36"/>
      <c r="G125" s="36"/>
      <c r="H125" s="36"/>
      <c r="I125" s="36">
        <f t="shared" si="27"/>
        <v>3815.5</v>
      </c>
      <c r="J125" s="36">
        <v>3743.1</v>
      </c>
      <c r="K125" s="36">
        <v>72.4</v>
      </c>
      <c r="L125" s="36"/>
      <c r="M125" s="36"/>
      <c r="N125" s="36"/>
      <c r="O125" s="36"/>
      <c r="P125" s="118"/>
      <c r="Q125" s="108"/>
    </row>
    <row r="126" spans="1:17" ht="25.5" customHeight="1">
      <c r="A126" s="7" t="s">
        <v>142</v>
      </c>
      <c r="B126" s="36">
        <f t="shared" si="26"/>
        <v>29075.5</v>
      </c>
      <c r="C126" s="36">
        <v>22730.3</v>
      </c>
      <c r="D126" s="36">
        <v>6345.2</v>
      </c>
      <c r="E126" s="36"/>
      <c r="F126" s="36"/>
      <c r="G126" s="36"/>
      <c r="H126" s="36"/>
      <c r="I126" s="36">
        <f t="shared" si="27"/>
        <v>24899.100000000006</v>
      </c>
      <c r="J126" s="36">
        <f>1028.6+19.5+990.3+0.3+12145.2+448.4+3188.8+2036.2+59.4+6.4</f>
        <v>19923.100000000006</v>
      </c>
      <c r="K126" s="36">
        <f>1806.4+299.4+0.3+783+366.5+1270.5+276.8+96.9+1+75.2</f>
        <v>4976</v>
      </c>
      <c r="L126" s="36"/>
      <c r="M126" s="36"/>
      <c r="N126" s="36"/>
      <c r="O126" s="36"/>
      <c r="P126" s="118"/>
      <c r="Q126" s="108"/>
    </row>
    <row r="127" spans="1:17" ht="25.5" customHeight="1">
      <c r="A127" s="45" t="s">
        <v>143</v>
      </c>
      <c r="B127" s="36">
        <f t="shared" si="26"/>
        <v>27753.7</v>
      </c>
      <c r="C127" s="36">
        <v>27753.7</v>
      </c>
      <c r="D127" s="36"/>
      <c r="E127" s="36"/>
      <c r="F127" s="36"/>
      <c r="G127" s="36"/>
      <c r="H127" s="36"/>
      <c r="I127" s="36">
        <f t="shared" si="27"/>
        <v>27725.6</v>
      </c>
      <c r="J127" s="36">
        <f>26500.1+1225.5</f>
        <v>27725.6</v>
      </c>
      <c r="K127" s="36"/>
      <c r="L127" s="36"/>
      <c r="M127" s="36"/>
      <c r="N127" s="36"/>
      <c r="O127" s="36"/>
      <c r="P127" s="118"/>
      <c r="Q127" s="108"/>
    </row>
    <row r="128" spans="1:17" ht="25.5" customHeight="1">
      <c r="A128" s="7" t="s">
        <v>52</v>
      </c>
      <c r="B128" s="36">
        <f t="shared" si="26"/>
        <v>456.6</v>
      </c>
      <c r="C128" s="36"/>
      <c r="D128" s="36">
        <v>456.6</v>
      </c>
      <c r="E128" s="36"/>
      <c r="F128" s="36"/>
      <c r="G128" s="36"/>
      <c r="H128" s="36"/>
      <c r="I128" s="36">
        <f t="shared" si="27"/>
        <v>455.9</v>
      </c>
      <c r="J128" s="36"/>
      <c r="K128" s="36">
        <v>455.9</v>
      </c>
      <c r="L128" s="36"/>
      <c r="M128" s="36"/>
      <c r="N128" s="36"/>
      <c r="O128" s="36"/>
      <c r="P128" s="118"/>
      <c r="Q128" s="108"/>
    </row>
    <row r="129" spans="1:18" ht="15">
      <c r="A129" s="19" t="s">
        <v>23</v>
      </c>
      <c r="B129" s="21">
        <f aca="true" t="shared" si="28" ref="B129:I129">B123+B124+B125+B126+B127+B128</f>
        <v>175103.40000000002</v>
      </c>
      <c r="C129" s="21">
        <f t="shared" si="28"/>
        <v>146478.4</v>
      </c>
      <c r="D129" s="21">
        <f t="shared" si="28"/>
        <v>9199.4</v>
      </c>
      <c r="E129" s="21">
        <f t="shared" si="28"/>
        <v>0</v>
      </c>
      <c r="F129" s="21">
        <f t="shared" si="28"/>
        <v>0</v>
      </c>
      <c r="G129" s="21">
        <f t="shared" si="28"/>
        <v>19425.6</v>
      </c>
      <c r="H129" s="21">
        <f t="shared" si="28"/>
        <v>0</v>
      </c>
      <c r="I129" s="21">
        <f t="shared" si="28"/>
        <v>170076.30000000002</v>
      </c>
      <c r="J129" s="21">
        <f aca="true" t="shared" si="29" ref="J129:O129">J123+J124+J125+J126+J127+J128</f>
        <v>142982.30000000002</v>
      </c>
      <c r="K129" s="21">
        <f t="shared" si="29"/>
        <v>7672.6</v>
      </c>
      <c r="L129" s="21">
        <f t="shared" si="29"/>
        <v>0</v>
      </c>
      <c r="M129" s="21">
        <f t="shared" si="29"/>
        <v>0</v>
      </c>
      <c r="N129" s="21">
        <f t="shared" si="29"/>
        <v>19421.4</v>
      </c>
      <c r="O129" s="21">
        <f t="shared" si="29"/>
        <v>0</v>
      </c>
      <c r="P129" s="29"/>
      <c r="Q129" s="109">
        <f>C129+G129</f>
        <v>165904</v>
      </c>
      <c r="R129" s="62"/>
    </row>
    <row r="130" spans="1:17" ht="15">
      <c r="A130" s="140" t="s">
        <v>120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2"/>
      <c r="Q130" s="116"/>
    </row>
    <row r="131" spans="1:17" ht="27" customHeight="1">
      <c r="A131" s="15" t="s">
        <v>121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1"/>
      <c r="Q131" s="114"/>
    </row>
    <row r="132" spans="1:17" ht="30">
      <c r="A132" s="80" t="s">
        <v>122</v>
      </c>
      <c r="B132" s="36">
        <f>C132+D132+E132+F132+G132+H132</f>
        <v>6700</v>
      </c>
      <c r="C132" s="36"/>
      <c r="D132" s="36">
        <v>2000</v>
      </c>
      <c r="E132" s="36"/>
      <c r="F132" s="36"/>
      <c r="G132" s="36"/>
      <c r="H132" s="36">
        <v>4700</v>
      </c>
      <c r="I132" s="36">
        <f>J132+K132+L132+M132+N132+O132</f>
        <v>0</v>
      </c>
      <c r="J132" s="65"/>
      <c r="K132" s="65"/>
      <c r="L132" s="65"/>
      <c r="M132" s="65"/>
      <c r="N132" s="65"/>
      <c r="O132" s="65">
        <v>0</v>
      </c>
      <c r="P132" s="118">
        <f>I132/B132*100</f>
        <v>0</v>
      </c>
      <c r="Q132" s="108"/>
    </row>
    <row r="133" spans="1:17" ht="15">
      <c r="A133" s="19" t="s">
        <v>78</v>
      </c>
      <c r="B133" s="21">
        <f>B132</f>
        <v>6700</v>
      </c>
      <c r="C133" s="21">
        <f aca="true" t="shared" si="30" ref="C133:O133">C132</f>
        <v>0</v>
      </c>
      <c r="D133" s="21">
        <f t="shared" si="30"/>
        <v>2000</v>
      </c>
      <c r="E133" s="21">
        <f t="shared" si="30"/>
        <v>0</v>
      </c>
      <c r="F133" s="21">
        <f t="shared" si="30"/>
        <v>0</v>
      </c>
      <c r="G133" s="21">
        <f t="shared" si="30"/>
        <v>0</v>
      </c>
      <c r="H133" s="21">
        <f t="shared" si="30"/>
        <v>4700</v>
      </c>
      <c r="I133" s="21">
        <f t="shared" si="30"/>
        <v>0</v>
      </c>
      <c r="J133" s="21">
        <f t="shared" si="30"/>
        <v>0</v>
      </c>
      <c r="K133" s="21">
        <f t="shared" si="30"/>
        <v>0</v>
      </c>
      <c r="L133" s="21">
        <f t="shared" si="30"/>
        <v>0</v>
      </c>
      <c r="M133" s="21">
        <f t="shared" si="30"/>
        <v>0</v>
      </c>
      <c r="N133" s="21">
        <f t="shared" si="30"/>
        <v>0</v>
      </c>
      <c r="O133" s="21">
        <f t="shared" si="30"/>
        <v>0</v>
      </c>
      <c r="P133" s="29">
        <f>I133/B133*100</f>
        <v>0</v>
      </c>
      <c r="Q133" s="109">
        <f>C133+G133</f>
        <v>0</v>
      </c>
    </row>
    <row r="134" spans="1:17" ht="15">
      <c r="A134" s="140" t="s">
        <v>123</v>
      </c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2"/>
      <c r="Q134" s="116"/>
    </row>
    <row r="135" spans="1:17" ht="25.5" customHeight="1">
      <c r="A135" s="15" t="s">
        <v>121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1"/>
      <c r="Q135" s="114"/>
    </row>
    <row r="136" spans="1:17" ht="60">
      <c r="A136" s="80" t="s">
        <v>124</v>
      </c>
      <c r="B136" s="36">
        <f>C136+D136+E136+F136+G136+H136</f>
        <v>1753</v>
      </c>
      <c r="C136" s="65"/>
      <c r="D136" s="65">
        <v>1753</v>
      </c>
      <c r="E136" s="65"/>
      <c r="F136" s="65"/>
      <c r="G136" s="65"/>
      <c r="H136" s="65"/>
      <c r="I136" s="36">
        <f>J136+K136+L136+M136+N136+O136</f>
        <v>0</v>
      </c>
      <c r="J136" s="65"/>
      <c r="K136" s="65"/>
      <c r="L136" s="65"/>
      <c r="M136" s="65"/>
      <c r="N136" s="65"/>
      <c r="O136" s="65">
        <v>0</v>
      </c>
      <c r="P136" s="118">
        <f>I136/B136*100</f>
        <v>0</v>
      </c>
      <c r="Q136" s="108"/>
    </row>
    <row r="137" spans="1:17" ht="15">
      <c r="A137" s="19" t="s">
        <v>79</v>
      </c>
      <c r="B137" s="21">
        <f aca="true" t="shared" si="31" ref="B137:O137">B136</f>
        <v>1753</v>
      </c>
      <c r="C137" s="21">
        <f t="shared" si="31"/>
        <v>0</v>
      </c>
      <c r="D137" s="21">
        <f t="shared" si="31"/>
        <v>1753</v>
      </c>
      <c r="E137" s="21">
        <f t="shared" si="31"/>
        <v>0</v>
      </c>
      <c r="F137" s="21">
        <f t="shared" si="31"/>
        <v>0</v>
      </c>
      <c r="G137" s="21">
        <f t="shared" si="31"/>
        <v>0</v>
      </c>
      <c r="H137" s="21">
        <f t="shared" si="31"/>
        <v>0</v>
      </c>
      <c r="I137" s="21">
        <f t="shared" si="31"/>
        <v>0</v>
      </c>
      <c r="J137" s="21">
        <f t="shared" si="31"/>
        <v>0</v>
      </c>
      <c r="K137" s="21">
        <f t="shared" si="31"/>
        <v>0</v>
      </c>
      <c r="L137" s="21">
        <f t="shared" si="31"/>
        <v>0</v>
      </c>
      <c r="M137" s="21">
        <f t="shared" si="31"/>
        <v>0</v>
      </c>
      <c r="N137" s="21">
        <f t="shared" si="31"/>
        <v>0</v>
      </c>
      <c r="O137" s="21">
        <f t="shared" si="31"/>
        <v>0</v>
      </c>
      <c r="P137" s="29">
        <f>I137/B137*100</f>
        <v>0</v>
      </c>
      <c r="Q137" s="109">
        <f>C137+G137</f>
        <v>0</v>
      </c>
    </row>
    <row r="138" spans="1:17" ht="63">
      <c r="A138" s="18" t="s">
        <v>125</v>
      </c>
      <c r="B138" s="30">
        <f>B46+B57+B67+B76+B80+B84+B90+B99+B104+B110+B120+B129+B133+B137</f>
        <v>1451090.6</v>
      </c>
      <c r="C138" s="30">
        <f>C46+C57+C67+C76+C80+C84+C90+C99+C104+C110+C120+C129+C133+C137</f>
        <v>799553.6</v>
      </c>
      <c r="D138" s="30">
        <f aca="true" t="shared" si="32" ref="D138:O138">D46+D57+D67+D76+D80+D84+D90+D99+D104+D110+D120+D129+D133+D137</f>
        <v>93644.7</v>
      </c>
      <c r="E138" s="30">
        <f t="shared" si="32"/>
        <v>0</v>
      </c>
      <c r="F138" s="30">
        <f t="shared" si="32"/>
        <v>0</v>
      </c>
      <c r="G138" s="30">
        <f t="shared" si="32"/>
        <v>540453.3</v>
      </c>
      <c r="H138" s="30">
        <f t="shared" si="32"/>
        <v>17439</v>
      </c>
      <c r="I138" s="30">
        <f t="shared" si="32"/>
        <v>1335303</v>
      </c>
      <c r="J138" s="30">
        <f t="shared" si="32"/>
        <v>744638.8000000002</v>
      </c>
      <c r="K138" s="30">
        <f>K46+K57+K67+K76+K80+K84+K90+K99+K104+K110+K120+K129+K133+K137</f>
        <v>57446</v>
      </c>
      <c r="L138" s="30">
        <f t="shared" si="32"/>
        <v>0</v>
      </c>
      <c r="M138" s="30">
        <f t="shared" si="32"/>
        <v>0</v>
      </c>
      <c r="N138" s="30">
        <f t="shared" si="32"/>
        <v>520498.1</v>
      </c>
      <c r="O138" s="30">
        <f t="shared" si="32"/>
        <v>12720.1</v>
      </c>
      <c r="P138" s="31">
        <f>I138/B138*100</f>
        <v>92.02064984777655</v>
      </c>
      <c r="Q138" s="117">
        <f>Q46+Q57+Q67+Q76+Q80+Q84+Q90+Q99+Q104+Q110+Q120+Q129+Q133+Q137</f>
        <v>1340006.9000000001</v>
      </c>
    </row>
    <row r="139" spans="1:17" s="43" customFormat="1" ht="15">
      <c r="A139" s="56"/>
      <c r="B139" s="56"/>
      <c r="C139" s="66">
        <f>C138+G138</f>
        <v>1340006.9</v>
      </c>
      <c r="D139" s="55"/>
      <c r="E139" s="55"/>
      <c r="F139" s="56"/>
      <c r="G139" s="55"/>
      <c r="H139" s="56"/>
      <c r="I139" s="56"/>
      <c r="J139" s="56"/>
      <c r="K139" s="55"/>
      <c r="L139" s="56"/>
      <c r="M139" s="56"/>
      <c r="N139" s="56"/>
      <c r="O139" s="56"/>
      <c r="P139" s="56"/>
      <c r="Q139" s="56"/>
    </row>
    <row r="140" spans="1:17" s="43" customFormat="1" ht="15">
      <c r="A140" s="42"/>
      <c r="B140" s="66"/>
      <c r="C140" s="83"/>
      <c r="D140" s="83"/>
      <c r="E140" s="42"/>
      <c r="F140" s="42"/>
      <c r="G140" s="83"/>
      <c r="H140" s="83"/>
      <c r="I140" s="42"/>
      <c r="J140" s="42"/>
      <c r="K140" s="83"/>
      <c r="L140" s="42"/>
      <c r="M140" s="42"/>
      <c r="N140" s="42"/>
      <c r="O140" s="42"/>
      <c r="P140" s="42"/>
      <c r="Q140" s="42"/>
    </row>
    <row r="141" spans="1:17" ht="18.75">
      <c r="A141" s="40"/>
      <c r="B141" s="3"/>
      <c r="C141" s="57"/>
      <c r="D141" s="57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9.5">
      <c r="A142" s="122" t="s">
        <v>159</v>
      </c>
      <c r="B142" s="123"/>
      <c r="C142" s="124"/>
      <c r="D142" s="124"/>
      <c r="E142" s="124"/>
      <c r="F142" s="124"/>
      <c r="G142" s="124"/>
      <c r="H142" s="124"/>
      <c r="I142" s="124"/>
      <c r="J142" s="124"/>
      <c r="K142" s="126" t="s">
        <v>160</v>
      </c>
      <c r="L142" s="126"/>
      <c r="M142" s="126"/>
      <c r="N142" s="126"/>
      <c r="O142" s="126"/>
      <c r="P142" s="125"/>
      <c r="Q142" s="39"/>
    </row>
    <row r="143" spans="1:17" ht="15.75">
      <c r="A143" s="4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.75">
      <c r="A144" s="4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ht="15.75">
      <c r="A145" s="41"/>
    </row>
    <row r="146" ht="15.75">
      <c r="A146" s="41"/>
    </row>
  </sheetData>
  <sheetProtection/>
  <mergeCells count="44">
    <mergeCell ref="A58:P58"/>
    <mergeCell ref="A47:P47"/>
    <mergeCell ref="J33:M33"/>
    <mergeCell ref="J32:O32"/>
    <mergeCell ref="L34:M34"/>
    <mergeCell ref="A30:A35"/>
    <mergeCell ref="P30:P31"/>
    <mergeCell ref="C32:H32"/>
    <mergeCell ref="A121:P121"/>
    <mergeCell ref="A130:P130"/>
    <mergeCell ref="A134:P134"/>
    <mergeCell ref="B31:H31"/>
    <mergeCell ref="G33:H34"/>
    <mergeCell ref="C33:F33"/>
    <mergeCell ref="C34:D34"/>
    <mergeCell ref="E34:F34"/>
    <mergeCell ref="I31:O31"/>
    <mergeCell ref="J34:K34"/>
    <mergeCell ref="A100:P100"/>
    <mergeCell ref="A85:P85"/>
    <mergeCell ref="A81:P81"/>
    <mergeCell ref="A105:P105"/>
    <mergeCell ref="A68:P68"/>
    <mergeCell ref="A91:P91"/>
    <mergeCell ref="D14:M14"/>
    <mergeCell ref="A77:P77"/>
    <mergeCell ref="I32:I35"/>
    <mergeCell ref="P32:P35"/>
    <mergeCell ref="A37:P37"/>
    <mergeCell ref="D15:M15"/>
    <mergeCell ref="B30:H30"/>
    <mergeCell ref="B32:B35"/>
    <mergeCell ref="I30:O30"/>
    <mergeCell ref="N33:O34"/>
    <mergeCell ref="K142:O142"/>
    <mergeCell ref="N1:P1"/>
    <mergeCell ref="N2:P2"/>
    <mergeCell ref="A6:P6"/>
    <mergeCell ref="A7:P7"/>
    <mergeCell ref="D9:J9"/>
    <mergeCell ref="D10:J10"/>
    <mergeCell ref="A111:P111"/>
    <mergeCell ref="D11:J11"/>
    <mergeCell ref="D12:J12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84" zoomScaleNormal="84" zoomScalePageLayoutView="0" workbookViewId="0" topLeftCell="A1">
      <selection activeCell="B27" sqref="B27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4" width="9.57421875" style="0" bestFit="1" customWidth="1"/>
    <col min="9" max="9" width="10.57421875" style="0" customWidth="1"/>
    <col min="11" max="11" width="9.57421875" style="0" bestFit="1" customWidth="1"/>
    <col min="16" max="16" width="18.7109375" style="0" customWidth="1"/>
    <col min="17" max="18" width="14.57421875" style="0" hidden="1" customWidth="1"/>
    <col min="19" max="24" width="0" style="0" hidden="1" customWidth="1"/>
    <col min="25" max="25" width="12.57421875" style="0" customWidth="1"/>
  </cols>
  <sheetData>
    <row r="1" spans="14:16" ht="15.75">
      <c r="N1" s="145" t="s">
        <v>36</v>
      </c>
      <c r="O1" s="145"/>
      <c r="P1" s="145"/>
    </row>
    <row r="2" spans="14:16" ht="96.75" customHeight="1">
      <c r="N2" s="128" t="s">
        <v>135</v>
      </c>
      <c r="O2" s="128"/>
      <c r="P2" s="128"/>
    </row>
    <row r="3" spans="14:16" ht="18" customHeight="1">
      <c r="N3" s="23" t="s">
        <v>136</v>
      </c>
      <c r="O3" s="23"/>
      <c r="P3" s="23"/>
    </row>
    <row r="4" spans="14:16" ht="15.75">
      <c r="N4" s="23"/>
      <c r="O4" s="23"/>
      <c r="P4" s="23"/>
    </row>
    <row r="5" spans="1:16" ht="18.75">
      <c r="A5" s="129" t="s">
        <v>24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38.25" customHeight="1">
      <c r="A6" s="130" t="s">
        <v>134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8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8.75">
      <c r="A8" s="79" t="s">
        <v>25</v>
      </c>
      <c r="B8" s="79">
        <v>10</v>
      </c>
      <c r="C8" s="79"/>
      <c r="D8" s="131" t="s">
        <v>26</v>
      </c>
      <c r="E8" s="131"/>
      <c r="F8" s="131"/>
      <c r="G8" s="131"/>
      <c r="H8" s="131"/>
      <c r="I8" s="131"/>
      <c r="J8" s="131"/>
      <c r="K8" s="79"/>
      <c r="L8" s="79"/>
      <c r="M8" s="79"/>
      <c r="N8" s="79"/>
      <c r="O8" s="79"/>
      <c r="P8" s="79"/>
    </row>
    <row r="9" spans="1:16" ht="18.75">
      <c r="A9" s="79"/>
      <c r="B9" s="79" t="s">
        <v>27</v>
      </c>
      <c r="C9" s="79"/>
      <c r="D9" s="132" t="s">
        <v>28</v>
      </c>
      <c r="E9" s="132"/>
      <c r="F9" s="132"/>
      <c r="G9" s="132"/>
      <c r="H9" s="132"/>
      <c r="I9" s="132"/>
      <c r="J9" s="132"/>
      <c r="K9" s="79"/>
      <c r="L9" s="79"/>
      <c r="M9" s="79"/>
      <c r="N9" s="79"/>
      <c r="O9" s="79"/>
      <c r="P9" s="79"/>
    </row>
    <row r="10" spans="1:16" ht="18.75">
      <c r="A10" s="79" t="s">
        <v>29</v>
      </c>
      <c r="B10" s="79"/>
      <c r="C10" s="79"/>
      <c r="D10" s="131" t="s">
        <v>26</v>
      </c>
      <c r="E10" s="131"/>
      <c r="F10" s="131"/>
      <c r="G10" s="131"/>
      <c r="H10" s="131"/>
      <c r="I10" s="131"/>
      <c r="J10" s="131"/>
      <c r="K10" s="79"/>
      <c r="L10" s="79"/>
      <c r="M10" s="79"/>
      <c r="N10" s="79"/>
      <c r="O10" s="79"/>
      <c r="P10" s="79"/>
    </row>
    <row r="11" spans="4:10" ht="15">
      <c r="D11" s="136" t="s">
        <v>30</v>
      </c>
      <c r="E11" s="136"/>
      <c r="F11" s="136"/>
      <c r="G11" s="136"/>
      <c r="H11" s="136"/>
      <c r="I11" s="136"/>
      <c r="J11" s="136"/>
    </row>
    <row r="12" spans="1:13" ht="18.75">
      <c r="A12" s="78" t="s">
        <v>31</v>
      </c>
      <c r="B12" s="27">
        <v>611010</v>
      </c>
      <c r="D12" s="82" t="s">
        <v>87</v>
      </c>
      <c r="E12" s="82"/>
      <c r="F12" s="82"/>
      <c r="G12" s="82"/>
      <c r="H12" s="82"/>
      <c r="I12" s="82"/>
      <c r="J12" s="82"/>
      <c r="K12" s="82"/>
      <c r="L12" s="82"/>
      <c r="M12" s="82"/>
    </row>
    <row r="13" spans="1:13" ht="15.75">
      <c r="A13" s="22"/>
      <c r="B13" s="27">
        <v>611020</v>
      </c>
      <c r="D13" s="137" t="s">
        <v>85</v>
      </c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3" ht="15">
      <c r="A14" s="22"/>
      <c r="B14" s="27">
        <v>611030</v>
      </c>
      <c r="D14" s="136" t="s">
        <v>32</v>
      </c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2" ht="15">
      <c r="A15" s="22"/>
      <c r="B15" s="27">
        <v>611040</v>
      </c>
    </row>
    <row r="16" spans="1:2" ht="15">
      <c r="A16" s="22"/>
      <c r="B16" s="27">
        <v>611060</v>
      </c>
    </row>
    <row r="17" spans="1:2" ht="15">
      <c r="A17" s="22"/>
      <c r="B17" s="27">
        <v>611070</v>
      </c>
    </row>
    <row r="18" spans="1:2" ht="15">
      <c r="A18" s="22"/>
      <c r="B18" s="27">
        <v>611080</v>
      </c>
    </row>
    <row r="19" spans="1:2" ht="15">
      <c r="A19" s="22"/>
      <c r="B19" s="27">
        <v>611090</v>
      </c>
    </row>
    <row r="20" spans="1:2" ht="15">
      <c r="A20" s="22"/>
      <c r="B20" s="27">
        <v>611140</v>
      </c>
    </row>
    <row r="21" spans="1:2" ht="15">
      <c r="A21" s="22"/>
      <c r="B21" s="27">
        <v>611150</v>
      </c>
    </row>
    <row r="22" spans="1:2" ht="15">
      <c r="A22" s="22"/>
      <c r="B22" s="27">
        <v>611160</v>
      </c>
    </row>
    <row r="23" spans="1:2" ht="15">
      <c r="A23" s="22"/>
      <c r="B23" s="27">
        <v>617321</v>
      </c>
    </row>
    <row r="24" spans="1:2" ht="15">
      <c r="A24" s="22"/>
      <c r="B24" s="27">
        <v>611170</v>
      </c>
    </row>
    <row r="25" spans="1:2" ht="15">
      <c r="A25" s="22"/>
      <c r="B25" s="27">
        <v>671360</v>
      </c>
    </row>
    <row r="26" spans="1:2" ht="15">
      <c r="A26" s="22"/>
      <c r="B26" s="27">
        <v>617363</v>
      </c>
    </row>
    <row r="27" spans="1:2" ht="15">
      <c r="A27" s="22"/>
      <c r="B27" s="28"/>
    </row>
    <row r="28" ht="15">
      <c r="B28" s="26" t="s">
        <v>33</v>
      </c>
    </row>
    <row r="29" ht="15">
      <c r="B29" s="26"/>
    </row>
    <row r="30" ht="15">
      <c r="B30" s="26"/>
    </row>
    <row r="32" spans="1:16" ht="22.5" customHeight="1">
      <c r="A32" s="139" t="s">
        <v>0</v>
      </c>
      <c r="B32" s="139" t="s">
        <v>1</v>
      </c>
      <c r="C32" s="139"/>
      <c r="D32" s="139"/>
      <c r="E32" s="139"/>
      <c r="F32" s="139"/>
      <c r="G32" s="139"/>
      <c r="H32" s="139"/>
      <c r="I32" s="139" t="s">
        <v>2</v>
      </c>
      <c r="J32" s="139"/>
      <c r="K32" s="139"/>
      <c r="L32" s="139"/>
      <c r="M32" s="139"/>
      <c r="N32" s="139"/>
      <c r="O32" s="139"/>
      <c r="P32" s="139" t="s">
        <v>3</v>
      </c>
    </row>
    <row r="33" spans="1:16" ht="24.75" customHeight="1">
      <c r="A33" s="139"/>
      <c r="B33" s="139" t="s">
        <v>129</v>
      </c>
      <c r="C33" s="139"/>
      <c r="D33" s="139"/>
      <c r="E33" s="139"/>
      <c r="F33" s="139"/>
      <c r="G33" s="139"/>
      <c r="H33" s="139"/>
      <c r="I33" s="139" t="s">
        <v>129</v>
      </c>
      <c r="J33" s="139"/>
      <c r="K33" s="139"/>
      <c r="L33" s="139"/>
      <c r="M33" s="139"/>
      <c r="N33" s="139"/>
      <c r="O33" s="139"/>
      <c r="P33" s="139"/>
    </row>
    <row r="34" spans="1:16" ht="15.75" customHeight="1">
      <c r="A34" s="139"/>
      <c r="B34" s="143" t="s">
        <v>4</v>
      </c>
      <c r="C34" s="139" t="s">
        <v>5</v>
      </c>
      <c r="D34" s="139"/>
      <c r="E34" s="139"/>
      <c r="F34" s="139"/>
      <c r="G34" s="139"/>
      <c r="H34" s="139"/>
      <c r="I34" s="139" t="s">
        <v>4</v>
      </c>
      <c r="J34" s="139" t="s">
        <v>5</v>
      </c>
      <c r="K34" s="139"/>
      <c r="L34" s="139"/>
      <c r="M34" s="139"/>
      <c r="N34" s="139"/>
      <c r="O34" s="139"/>
      <c r="P34" s="139"/>
    </row>
    <row r="35" spans="1:16" ht="22.5" customHeight="1">
      <c r="A35" s="139"/>
      <c r="B35" s="143"/>
      <c r="C35" s="139" t="s">
        <v>10</v>
      </c>
      <c r="D35" s="139"/>
      <c r="E35" s="139"/>
      <c r="F35" s="139"/>
      <c r="G35" s="139" t="s">
        <v>11</v>
      </c>
      <c r="H35" s="139"/>
      <c r="I35" s="139"/>
      <c r="J35" s="139" t="s">
        <v>10</v>
      </c>
      <c r="K35" s="139"/>
      <c r="L35" s="139"/>
      <c r="M35" s="139"/>
      <c r="N35" s="139" t="s">
        <v>11</v>
      </c>
      <c r="O35" s="139"/>
      <c r="P35" s="139"/>
    </row>
    <row r="36" spans="1:16" ht="15" customHeight="1">
      <c r="A36" s="139"/>
      <c r="B36" s="143"/>
      <c r="C36" s="139" t="s">
        <v>6</v>
      </c>
      <c r="D36" s="139"/>
      <c r="E36" s="139" t="s">
        <v>7</v>
      </c>
      <c r="F36" s="139"/>
      <c r="G36" s="139"/>
      <c r="H36" s="139"/>
      <c r="I36" s="139"/>
      <c r="J36" s="139" t="s">
        <v>6</v>
      </c>
      <c r="K36" s="139"/>
      <c r="L36" s="139" t="s">
        <v>7</v>
      </c>
      <c r="M36" s="139"/>
      <c r="N36" s="139"/>
      <c r="O36" s="139"/>
      <c r="P36" s="139"/>
    </row>
    <row r="37" spans="1:16" ht="45.75" customHeight="1">
      <c r="A37" s="139"/>
      <c r="B37" s="143"/>
      <c r="C37" s="75" t="s">
        <v>8</v>
      </c>
      <c r="D37" s="75" t="s">
        <v>9</v>
      </c>
      <c r="E37" s="75" t="s">
        <v>8</v>
      </c>
      <c r="F37" s="75" t="s">
        <v>9</v>
      </c>
      <c r="G37" s="75" t="s">
        <v>8</v>
      </c>
      <c r="H37" s="75" t="s">
        <v>9</v>
      </c>
      <c r="I37" s="139"/>
      <c r="J37" s="75" t="s">
        <v>8</v>
      </c>
      <c r="K37" s="75" t="s">
        <v>9</v>
      </c>
      <c r="L37" s="75" t="s">
        <v>8</v>
      </c>
      <c r="M37" s="75" t="s">
        <v>9</v>
      </c>
      <c r="N37" s="75" t="s">
        <v>8</v>
      </c>
      <c r="O37" s="75" t="s">
        <v>9</v>
      </c>
      <c r="P37" s="139"/>
    </row>
    <row r="38" spans="1:16" ht="15">
      <c r="A38" s="2">
        <v>1</v>
      </c>
      <c r="B38" s="2">
        <v>2</v>
      </c>
      <c r="C38" s="2">
        <v>3</v>
      </c>
      <c r="D38" s="2">
        <v>4</v>
      </c>
      <c r="E38" s="2">
        <v>5</v>
      </c>
      <c r="F38" s="2">
        <v>6</v>
      </c>
      <c r="G38" s="2">
        <v>7</v>
      </c>
      <c r="H38" s="2">
        <v>8</v>
      </c>
      <c r="I38" s="2">
        <v>9</v>
      </c>
      <c r="J38" s="2">
        <v>10</v>
      </c>
      <c r="K38" s="2">
        <v>11</v>
      </c>
      <c r="L38" s="2">
        <v>12</v>
      </c>
      <c r="M38" s="2">
        <v>13</v>
      </c>
      <c r="N38" s="2">
        <v>14</v>
      </c>
      <c r="O38" s="2">
        <v>15</v>
      </c>
      <c r="P38" s="2">
        <v>16</v>
      </c>
    </row>
    <row r="39" spans="1:16" ht="15">
      <c r="A39" s="146" t="s">
        <v>37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</row>
    <row r="40" spans="1:16" ht="17.25" customHeight="1">
      <c r="A40" s="12" t="s">
        <v>38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4"/>
    </row>
    <row r="41" spans="1:16" ht="30.75" customHeight="1">
      <c r="A41" s="5" t="s">
        <v>39</v>
      </c>
      <c r="B41" s="8">
        <f aca="true" t="shared" si="0" ref="B41:B48">C41+D41+E41+F41+G41+H41</f>
        <v>304169.3</v>
      </c>
      <c r="C41" s="8">
        <v>303769.3</v>
      </c>
      <c r="D41" s="8"/>
      <c r="E41" s="8"/>
      <c r="F41" s="8"/>
      <c r="G41" s="8">
        <v>400</v>
      </c>
      <c r="H41" s="8"/>
      <c r="I41" s="8">
        <f aca="true" t="shared" si="1" ref="I41:I47">J41+K41+L41+M41+N41+O41</f>
        <v>275612.60000000003</v>
      </c>
      <c r="J41" s="8">
        <f>225823.3+49489.9</f>
        <v>275313.2</v>
      </c>
      <c r="K41" s="8"/>
      <c r="L41" s="8"/>
      <c r="M41" s="8"/>
      <c r="N41" s="8">
        <f>245.4+54</f>
        <v>299.4</v>
      </c>
      <c r="O41" s="8"/>
      <c r="P41" s="63">
        <f>I41/B41*100</f>
        <v>90.61157717100313</v>
      </c>
    </row>
    <row r="42" spans="1:25" ht="30.75" customHeight="1">
      <c r="A42" s="5" t="s">
        <v>40</v>
      </c>
      <c r="B42" s="8">
        <f t="shared" si="0"/>
        <v>41603.2</v>
      </c>
      <c r="C42" s="8">
        <v>14119.6</v>
      </c>
      <c r="D42" s="8">
        <v>27483.6</v>
      </c>
      <c r="E42" s="8"/>
      <c r="F42" s="8"/>
      <c r="G42" s="8"/>
      <c r="H42" s="8"/>
      <c r="I42" s="8">
        <f t="shared" si="1"/>
        <v>34894.3</v>
      </c>
      <c r="J42" s="64">
        <f>14862.2</f>
        <v>14862.2</v>
      </c>
      <c r="K42" s="64">
        <v>20032.1</v>
      </c>
      <c r="L42" s="8"/>
      <c r="M42" s="8"/>
      <c r="N42" s="8"/>
      <c r="O42" s="8"/>
      <c r="P42" s="63">
        <f aca="true" t="shared" si="2" ref="P42:P47">I42/B42*100</f>
        <v>83.8740769940774</v>
      </c>
      <c r="Y42" s="62"/>
    </row>
    <row r="43" spans="1:16" ht="30.75" customHeight="1">
      <c r="A43" s="5" t="s">
        <v>41</v>
      </c>
      <c r="B43" s="8">
        <f t="shared" si="0"/>
        <v>66022</v>
      </c>
      <c r="C43" s="93">
        <f>64602-4700</f>
        <v>59902</v>
      </c>
      <c r="D43" s="93">
        <f>1300+4700</f>
        <v>6000</v>
      </c>
      <c r="E43" s="8"/>
      <c r="F43" s="8"/>
      <c r="G43" s="8">
        <v>120</v>
      </c>
      <c r="H43" s="8"/>
      <c r="I43" s="8">
        <f t="shared" si="1"/>
        <v>57860.49999999997</v>
      </c>
      <c r="J43" s="8">
        <f>343598.1-J41-J42</f>
        <v>53422.69999999997</v>
      </c>
      <c r="K43" s="8">
        <f>2686.7+14.3+24.2+1712.6</f>
        <v>4437.799999999999</v>
      </c>
      <c r="L43" s="8"/>
      <c r="M43" s="8"/>
      <c r="N43" s="8"/>
      <c r="O43" s="8"/>
      <c r="P43" s="63">
        <f t="shared" si="2"/>
        <v>87.63821150525578</v>
      </c>
    </row>
    <row r="44" spans="1:16" ht="27" customHeight="1" hidden="1">
      <c r="A44" s="4" t="s">
        <v>42</v>
      </c>
      <c r="B44" s="8">
        <f t="shared" si="0"/>
        <v>0</v>
      </c>
      <c r="C44" s="8"/>
      <c r="D44" s="8"/>
      <c r="E44" s="8"/>
      <c r="F44" s="8"/>
      <c r="G44" s="8"/>
      <c r="H44" s="8"/>
      <c r="I44" s="8">
        <f t="shared" si="1"/>
        <v>0</v>
      </c>
      <c r="J44" s="8"/>
      <c r="K44" s="8"/>
      <c r="L44" s="8"/>
      <c r="M44" s="8"/>
      <c r="N44" s="8"/>
      <c r="O44" s="8"/>
      <c r="P44" s="63" t="e">
        <f t="shared" si="2"/>
        <v>#DIV/0!</v>
      </c>
    </row>
    <row r="45" spans="1:16" ht="30.75" customHeight="1" hidden="1">
      <c r="A45" s="5" t="s">
        <v>43</v>
      </c>
      <c r="B45" s="8">
        <f t="shared" si="0"/>
        <v>0</v>
      </c>
      <c r="C45" s="8"/>
      <c r="D45" s="8"/>
      <c r="E45" s="8"/>
      <c r="F45" s="8"/>
      <c r="G45" s="8"/>
      <c r="H45" s="8"/>
      <c r="I45" s="8">
        <f t="shared" si="1"/>
        <v>0</v>
      </c>
      <c r="J45" s="8"/>
      <c r="K45" s="8"/>
      <c r="L45" s="8"/>
      <c r="M45" s="8"/>
      <c r="N45" s="8"/>
      <c r="O45" s="8"/>
      <c r="P45" s="63" t="e">
        <f t="shared" si="2"/>
        <v>#DIV/0!</v>
      </c>
    </row>
    <row r="46" spans="1:16" ht="30.75" customHeight="1" hidden="1">
      <c r="A46" s="5" t="s">
        <v>44</v>
      </c>
      <c r="B46" s="8">
        <f>C46+D46+E46+F46+G46+H46</f>
        <v>0</v>
      </c>
      <c r="C46" s="8"/>
      <c r="D46" s="8"/>
      <c r="E46" s="8"/>
      <c r="F46" s="8"/>
      <c r="G46" s="8"/>
      <c r="H46" s="8"/>
      <c r="I46" s="8">
        <f t="shared" si="1"/>
        <v>0</v>
      </c>
      <c r="J46" s="8"/>
      <c r="K46" s="8"/>
      <c r="L46" s="8"/>
      <c r="M46" s="8"/>
      <c r="N46" s="8"/>
      <c r="O46" s="8"/>
      <c r="P46" s="63" t="e">
        <f t="shared" si="2"/>
        <v>#DIV/0!</v>
      </c>
    </row>
    <row r="47" spans="1:16" ht="30.75" customHeight="1" hidden="1">
      <c r="A47" s="5" t="s">
        <v>45</v>
      </c>
      <c r="B47" s="8">
        <f>C47+D47+E47+F47+G47+H47</f>
        <v>0</v>
      </c>
      <c r="C47" s="8"/>
      <c r="D47" s="8"/>
      <c r="E47" s="8"/>
      <c r="F47" s="8"/>
      <c r="G47" s="8"/>
      <c r="H47" s="8"/>
      <c r="I47" s="8">
        <f t="shared" si="1"/>
        <v>0</v>
      </c>
      <c r="J47" s="8"/>
      <c r="K47" s="8"/>
      <c r="L47" s="8"/>
      <c r="M47" s="8"/>
      <c r="N47" s="8"/>
      <c r="O47" s="8"/>
      <c r="P47" s="63" t="e">
        <f t="shared" si="2"/>
        <v>#DIV/0!</v>
      </c>
    </row>
    <row r="48" spans="1:16" ht="21.75" customHeight="1">
      <c r="A48" s="19" t="s">
        <v>12</v>
      </c>
      <c r="B48" s="21">
        <f t="shared" si="0"/>
        <v>411794.49999999994</v>
      </c>
      <c r="C48" s="21">
        <f aca="true" t="shared" si="3" ref="C48:O48">SUM(C40:C47)</f>
        <v>377790.89999999997</v>
      </c>
      <c r="D48" s="21">
        <f t="shared" si="3"/>
        <v>33483.6</v>
      </c>
      <c r="E48" s="21">
        <f t="shared" si="3"/>
        <v>0</v>
      </c>
      <c r="F48" s="21">
        <f t="shared" si="3"/>
        <v>0</v>
      </c>
      <c r="G48" s="21">
        <f t="shared" si="3"/>
        <v>520</v>
      </c>
      <c r="H48" s="21">
        <f t="shared" si="3"/>
        <v>0</v>
      </c>
      <c r="I48" s="21">
        <f t="shared" si="3"/>
        <v>368367.4</v>
      </c>
      <c r="J48" s="21">
        <f t="shared" si="3"/>
        <v>343598.1</v>
      </c>
      <c r="K48" s="21">
        <f t="shared" si="3"/>
        <v>24469.899999999998</v>
      </c>
      <c r="L48" s="21">
        <f t="shared" si="3"/>
        <v>0</v>
      </c>
      <c r="M48" s="21">
        <f t="shared" si="3"/>
        <v>0</v>
      </c>
      <c r="N48" s="21">
        <f t="shared" si="3"/>
        <v>299.4</v>
      </c>
      <c r="O48" s="21">
        <f t="shared" si="3"/>
        <v>0</v>
      </c>
      <c r="P48" s="29">
        <f>I48/B48*100</f>
        <v>89.45418163671445</v>
      </c>
    </row>
    <row r="49" spans="1:16" ht="15" customHeight="1">
      <c r="A49" s="138" t="s">
        <v>46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</row>
    <row r="50" spans="1:16" ht="25.5" customHeight="1">
      <c r="A50" s="12" t="s">
        <v>47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33" customHeight="1">
      <c r="A51" s="52" t="s">
        <v>48</v>
      </c>
      <c r="B51" s="36">
        <f aca="true" t="shared" si="4" ref="B51:B59">C51+D51+E51+F51+G51+H51</f>
        <v>705710.4</v>
      </c>
      <c r="C51" s="36">
        <v>164894.6</v>
      </c>
      <c r="D51" s="36">
        <v>3656.3</v>
      </c>
      <c r="E51" s="67"/>
      <c r="F51" s="67"/>
      <c r="G51" s="94">
        <f>556754.9+2484.2-22079.6</f>
        <v>537159.5</v>
      </c>
      <c r="H51" s="67"/>
      <c r="I51" s="64">
        <f aca="true" t="shared" si="5" ref="I51:I56">J51+K51+L51+M51+N51+O51</f>
        <v>597791.2</v>
      </c>
      <c r="J51" s="64">
        <f>129174+28174</f>
        <v>157348</v>
      </c>
      <c r="K51" s="68">
        <f>3875.2+843.5</f>
        <v>4718.7</v>
      </c>
      <c r="L51" s="64"/>
      <c r="M51" s="68"/>
      <c r="N51" s="68">
        <f>435724.5</f>
        <v>435724.5</v>
      </c>
      <c r="O51" s="68"/>
      <c r="P51" s="69">
        <f aca="true" t="shared" si="6" ref="P51:P58">I51/B51*100</f>
        <v>84.70772146761617</v>
      </c>
    </row>
    <row r="52" spans="1:16" ht="24.75" customHeight="1">
      <c r="A52" s="52" t="s">
        <v>49</v>
      </c>
      <c r="B52" s="36">
        <f t="shared" si="4"/>
        <v>3000</v>
      </c>
      <c r="C52" s="36"/>
      <c r="D52" s="67"/>
      <c r="E52" s="67"/>
      <c r="F52" s="67"/>
      <c r="G52" s="36">
        <f>3000</f>
        <v>3000</v>
      </c>
      <c r="H52" s="67"/>
      <c r="I52" s="64">
        <f t="shared" si="5"/>
        <v>1523.3</v>
      </c>
      <c r="J52" s="64"/>
      <c r="K52" s="68"/>
      <c r="L52" s="68"/>
      <c r="M52" s="68"/>
      <c r="N52" s="68">
        <f>1248.6+274.7</f>
        <v>1523.3</v>
      </c>
      <c r="O52" s="68"/>
      <c r="P52" s="69">
        <f t="shared" si="6"/>
        <v>50.77666666666667</v>
      </c>
    </row>
    <row r="53" spans="1:16" ht="52.5" customHeight="1">
      <c r="A53" s="52" t="s">
        <v>95</v>
      </c>
      <c r="B53" s="36">
        <f t="shared" si="4"/>
        <v>52753.4</v>
      </c>
      <c r="C53" s="36">
        <v>11313.9</v>
      </c>
      <c r="D53" s="67">
        <v>41439.5</v>
      </c>
      <c r="E53" s="67"/>
      <c r="F53" s="67"/>
      <c r="G53" s="67"/>
      <c r="H53" s="67"/>
      <c r="I53" s="64">
        <f t="shared" si="5"/>
        <v>62385.8</v>
      </c>
      <c r="J53" s="64">
        <v>9392</v>
      </c>
      <c r="K53" s="68">
        <v>52993.8</v>
      </c>
      <c r="L53" s="68"/>
      <c r="M53" s="68"/>
      <c r="N53" s="68"/>
      <c r="O53" s="68"/>
      <c r="P53" s="69">
        <f t="shared" si="6"/>
        <v>118.25929703109183</v>
      </c>
    </row>
    <row r="54" spans="1:25" ht="31.5" customHeight="1">
      <c r="A54" s="37" t="s">
        <v>50</v>
      </c>
      <c r="B54" s="36">
        <f t="shared" si="4"/>
        <v>120399.4</v>
      </c>
      <c r="C54" s="94">
        <f>95840.8+3000-19841.4</f>
        <v>78999.4</v>
      </c>
      <c r="D54" s="95">
        <f>1500+33500</f>
        <v>35000</v>
      </c>
      <c r="E54" s="67"/>
      <c r="F54" s="67"/>
      <c r="G54" s="36">
        <f>5500+900</f>
        <v>6400</v>
      </c>
      <c r="H54" s="67"/>
      <c r="I54" s="64">
        <f t="shared" si="5"/>
        <v>106025.79999999999</v>
      </c>
      <c r="J54" s="64">
        <f>245739.4-J51-J52-J53</f>
        <v>78999.4</v>
      </c>
      <c r="K54" s="68">
        <f>7383.8+6.3+10.8+1229.6+35.6+124.9+3018.4+63616.4-48399.4</f>
        <v>27026.4</v>
      </c>
      <c r="L54" s="68"/>
      <c r="M54" s="68"/>
      <c r="N54" s="70"/>
      <c r="O54" s="68"/>
      <c r="P54" s="69">
        <f t="shared" si="6"/>
        <v>88.06173452691624</v>
      </c>
      <c r="Y54" s="62"/>
    </row>
    <row r="55" spans="1:16" ht="45" customHeight="1" hidden="1">
      <c r="A55" s="53" t="s">
        <v>51</v>
      </c>
      <c r="B55" s="36">
        <f t="shared" si="4"/>
        <v>0</v>
      </c>
      <c r="C55" s="36"/>
      <c r="D55" s="67"/>
      <c r="E55" s="67"/>
      <c r="F55" s="67"/>
      <c r="G55" s="67"/>
      <c r="H55" s="67"/>
      <c r="I55" s="64">
        <f t="shared" si="5"/>
        <v>0</v>
      </c>
      <c r="J55" s="64"/>
      <c r="K55" s="68"/>
      <c r="L55" s="68"/>
      <c r="M55" s="68"/>
      <c r="N55" s="68"/>
      <c r="O55" s="68"/>
      <c r="P55" s="69" t="e">
        <f t="shared" si="6"/>
        <v>#DIV/0!</v>
      </c>
    </row>
    <row r="56" spans="1:20" ht="59.25" customHeight="1" hidden="1">
      <c r="A56" s="52" t="s">
        <v>52</v>
      </c>
      <c r="B56" s="36">
        <f t="shared" si="4"/>
        <v>0</v>
      </c>
      <c r="C56" s="36"/>
      <c r="D56" s="36"/>
      <c r="E56" s="36"/>
      <c r="F56" s="36"/>
      <c r="G56" s="36"/>
      <c r="H56" s="36"/>
      <c r="I56" s="64">
        <f t="shared" si="5"/>
        <v>0</v>
      </c>
      <c r="J56" s="64"/>
      <c r="K56" s="68"/>
      <c r="L56" s="68"/>
      <c r="M56" s="64"/>
      <c r="N56" s="68"/>
      <c r="O56" s="68"/>
      <c r="P56" s="69" t="e">
        <f t="shared" si="6"/>
        <v>#DIV/0!</v>
      </c>
      <c r="Q56">
        <v>231762.8</v>
      </c>
      <c r="R56">
        <v>912.3</v>
      </c>
      <c r="S56">
        <f>Q56-R56</f>
        <v>230850.5</v>
      </c>
      <c r="T56" s="62">
        <f>S56-J57</f>
        <v>230850.5</v>
      </c>
    </row>
    <row r="57" spans="1:18" ht="15" hidden="1">
      <c r="A57" s="54" t="s">
        <v>53</v>
      </c>
      <c r="B57" s="36">
        <f t="shared" si="4"/>
        <v>0</v>
      </c>
      <c r="C57" s="36"/>
      <c r="D57" s="36"/>
      <c r="E57" s="36"/>
      <c r="F57" s="36"/>
      <c r="G57" s="36"/>
      <c r="H57" s="36"/>
      <c r="I57" s="64">
        <f>J57+K57+L57+M57+N57+O57</f>
        <v>0</v>
      </c>
      <c r="J57" s="68"/>
      <c r="K57" s="68"/>
      <c r="L57" s="68"/>
      <c r="M57" s="68"/>
      <c r="N57" s="68"/>
      <c r="O57" s="68"/>
      <c r="P57" s="69" t="e">
        <f t="shared" si="6"/>
        <v>#DIV/0!</v>
      </c>
      <c r="Q57" s="62">
        <f>C57+E57+G57</f>
        <v>0</v>
      </c>
      <c r="R57" s="62">
        <f>D57+F57+H57</f>
        <v>0</v>
      </c>
    </row>
    <row r="58" spans="1:16" ht="26.25" hidden="1">
      <c r="A58" s="37" t="s">
        <v>54</v>
      </c>
      <c r="B58" s="36">
        <f t="shared" si="4"/>
        <v>0</v>
      </c>
      <c r="C58" s="36"/>
      <c r="D58" s="36"/>
      <c r="E58" s="67"/>
      <c r="F58" s="67"/>
      <c r="G58" s="67"/>
      <c r="H58" s="67"/>
      <c r="I58" s="64">
        <f>J58+K58+L58+M58+N58+O58</f>
        <v>0</v>
      </c>
      <c r="J58" s="68"/>
      <c r="K58" s="64"/>
      <c r="L58" s="68"/>
      <c r="M58" s="68"/>
      <c r="N58" s="68"/>
      <c r="O58" s="68"/>
      <c r="P58" s="69" t="e">
        <f t="shared" si="6"/>
        <v>#DIV/0!</v>
      </c>
    </row>
    <row r="59" spans="1:16" ht="21" customHeight="1">
      <c r="A59" s="19" t="s">
        <v>13</v>
      </c>
      <c r="B59" s="21">
        <f t="shared" si="4"/>
        <v>881863.2</v>
      </c>
      <c r="C59" s="21">
        <f aca="true" t="shared" si="7" ref="C59:O59">SUM(C51:C58)</f>
        <v>255207.9</v>
      </c>
      <c r="D59" s="20">
        <f t="shared" si="7"/>
        <v>80095.8</v>
      </c>
      <c r="E59" s="21">
        <f t="shared" si="7"/>
        <v>0</v>
      </c>
      <c r="F59" s="21">
        <f t="shared" si="7"/>
        <v>0</v>
      </c>
      <c r="G59" s="21">
        <f t="shared" si="7"/>
        <v>546559.5</v>
      </c>
      <c r="H59" s="20">
        <f t="shared" si="7"/>
        <v>0</v>
      </c>
      <c r="I59" s="20">
        <f t="shared" si="7"/>
        <v>767726.1000000001</v>
      </c>
      <c r="J59" s="20">
        <f t="shared" si="7"/>
        <v>245739.4</v>
      </c>
      <c r="K59" s="20">
        <f t="shared" si="7"/>
        <v>84738.9</v>
      </c>
      <c r="L59" s="20">
        <f t="shared" si="7"/>
        <v>0</v>
      </c>
      <c r="M59" s="20">
        <f t="shared" si="7"/>
        <v>0</v>
      </c>
      <c r="N59" s="20">
        <f t="shared" si="7"/>
        <v>437247.8</v>
      </c>
      <c r="O59" s="20">
        <f t="shared" si="7"/>
        <v>0</v>
      </c>
      <c r="P59" s="29">
        <f>I59/B59*100</f>
        <v>87.05727827173195</v>
      </c>
    </row>
    <row r="60" spans="1:16" ht="16.5" customHeight="1">
      <c r="A60" s="138" t="s">
        <v>89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</row>
    <row r="61" spans="1:16" ht="26.25" customHeight="1">
      <c r="A61" s="48" t="s">
        <v>55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ht="39.75" customHeight="1">
      <c r="A62" s="7" t="s">
        <v>96</v>
      </c>
      <c r="B62" s="8">
        <f aca="true" t="shared" si="8" ref="B62:B68">C62+D62+E62+F62+G62+H62</f>
        <v>31599.7</v>
      </c>
      <c r="C62" s="8">
        <v>12982.2</v>
      </c>
      <c r="D62" s="8"/>
      <c r="E62" s="8"/>
      <c r="F62" s="8"/>
      <c r="G62" s="93">
        <f>18627.5-10</f>
        <v>18617.5</v>
      </c>
      <c r="H62" s="8"/>
      <c r="I62" s="8">
        <f aca="true" t="shared" si="9" ref="I62:I68">J62+K62+L62+M62+N62+O62</f>
        <v>28705.2</v>
      </c>
      <c r="J62" s="8">
        <f>10152.9+2233.6</f>
        <v>12386.5</v>
      </c>
      <c r="K62" s="8"/>
      <c r="L62" s="8"/>
      <c r="M62" s="8"/>
      <c r="N62" s="8">
        <v>16318.7</v>
      </c>
      <c r="O62" s="8"/>
      <c r="P62" s="63">
        <f aca="true" t="shared" si="10" ref="P62:P68">I62/B62*100</f>
        <v>90.84010291236943</v>
      </c>
    </row>
    <row r="63" spans="1:16" ht="27.75" customHeight="1">
      <c r="A63" s="7" t="s">
        <v>94</v>
      </c>
      <c r="B63" s="8">
        <f t="shared" si="8"/>
        <v>2216.8</v>
      </c>
      <c r="C63" s="8">
        <f>2216.8</f>
        <v>2216.8</v>
      </c>
      <c r="D63" s="8"/>
      <c r="E63" s="8"/>
      <c r="F63" s="8"/>
      <c r="G63" s="8"/>
      <c r="H63" s="8"/>
      <c r="I63" s="8">
        <f t="shared" si="9"/>
        <v>2056.7</v>
      </c>
      <c r="J63" s="8">
        <v>2056.7</v>
      </c>
      <c r="K63" s="8"/>
      <c r="L63" s="8"/>
      <c r="M63" s="8"/>
      <c r="N63" s="8"/>
      <c r="O63" s="8"/>
      <c r="P63" s="63">
        <f t="shared" si="10"/>
        <v>92.77787802237458</v>
      </c>
    </row>
    <row r="64" spans="1:16" ht="30" customHeight="1">
      <c r="A64" s="7" t="s">
        <v>97</v>
      </c>
      <c r="B64" s="8">
        <f t="shared" si="8"/>
        <v>3839.5</v>
      </c>
      <c r="C64" s="93">
        <f>3644.5+45-400</f>
        <v>3289.5</v>
      </c>
      <c r="D64" s="93">
        <f>50+400</f>
        <v>450</v>
      </c>
      <c r="E64" s="8"/>
      <c r="F64" s="8"/>
      <c r="G64" s="8">
        <f>100</f>
        <v>100</v>
      </c>
      <c r="H64" s="8"/>
      <c r="I64" s="8">
        <f t="shared" si="9"/>
        <v>3323.500000000001</v>
      </c>
      <c r="J64" s="8">
        <f>17504.7-J62-J63</f>
        <v>3061.500000000001</v>
      </c>
      <c r="K64" s="8">
        <v>262</v>
      </c>
      <c r="L64" s="8"/>
      <c r="M64" s="8"/>
      <c r="N64" s="8"/>
      <c r="O64" s="8"/>
      <c r="P64" s="63">
        <f t="shared" si="10"/>
        <v>86.56075009766899</v>
      </c>
    </row>
    <row r="65" spans="1:16" ht="38.25" customHeight="1">
      <c r="A65" s="48" t="s">
        <v>90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81"/>
    </row>
    <row r="66" spans="1:16" ht="23.25" customHeight="1">
      <c r="A66" s="7" t="s">
        <v>91</v>
      </c>
      <c r="B66" s="32">
        <f t="shared" si="8"/>
        <v>12025.699999999999</v>
      </c>
      <c r="C66" s="32">
        <f>10719.8</f>
        <v>10719.8</v>
      </c>
      <c r="D66" s="32"/>
      <c r="E66" s="8"/>
      <c r="F66" s="8"/>
      <c r="G66" s="93">
        <f>1295.9+10</f>
        <v>1305.9</v>
      </c>
      <c r="H66" s="8"/>
      <c r="I66" s="8">
        <f t="shared" si="9"/>
        <v>11493.600000000002</v>
      </c>
      <c r="J66" s="8">
        <f>8367.7+1824.2</f>
        <v>10191.900000000001</v>
      </c>
      <c r="K66" s="8"/>
      <c r="L66" s="8"/>
      <c r="M66" s="8"/>
      <c r="N66" s="8">
        <v>1301.7</v>
      </c>
      <c r="O66" s="8"/>
      <c r="P66" s="63">
        <f t="shared" si="10"/>
        <v>95.57530954539033</v>
      </c>
    </row>
    <row r="67" spans="1:16" ht="30.75" customHeight="1">
      <c r="A67" s="7" t="s">
        <v>92</v>
      </c>
      <c r="B67" s="32">
        <f t="shared" si="8"/>
        <v>421.4</v>
      </c>
      <c r="C67" s="32">
        <f>421.4</f>
        <v>421.4</v>
      </c>
      <c r="D67" s="32"/>
      <c r="E67" s="8"/>
      <c r="F67" s="8"/>
      <c r="G67" s="8"/>
      <c r="H67" s="8"/>
      <c r="I67" s="8">
        <f t="shared" si="9"/>
        <v>403.7</v>
      </c>
      <c r="J67" s="8">
        <v>403.7</v>
      </c>
      <c r="K67" s="8"/>
      <c r="L67" s="8"/>
      <c r="M67" s="8"/>
      <c r="N67" s="8"/>
      <c r="O67" s="8"/>
      <c r="P67" s="63">
        <f t="shared" si="10"/>
        <v>95.79971523493118</v>
      </c>
    </row>
    <row r="68" spans="1:26" ht="23.25" customHeight="1">
      <c r="A68" s="7" t="s">
        <v>93</v>
      </c>
      <c r="B68" s="8">
        <f t="shared" si="8"/>
        <v>1799.6</v>
      </c>
      <c r="C68" s="93">
        <f>1799.6-100</f>
        <v>1699.6</v>
      </c>
      <c r="D68" s="93">
        <v>100</v>
      </c>
      <c r="E68" s="8"/>
      <c r="F68" s="8"/>
      <c r="G68" s="8"/>
      <c r="H68" s="8"/>
      <c r="I68" s="8">
        <f t="shared" si="9"/>
        <v>1766.399999999999</v>
      </c>
      <c r="J68" s="8">
        <f>12270.1-J66-J67</f>
        <v>1674.4999999999989</v>
      </c>
      <c r="K68" s="8">
        <v>91.9</v>
      </c>
      <c r="L68" s="8"/>
      <c r="M68" s="8"/>
      <c r="N68" s="8"/>
      <c r="O68" s="8"/>
      <c r="P68" s="63">
        <f t="shared" si="10"/>
        <v>98.15514558790836</v>
      </c>
      <c r="Y68" s="62"/>
      <c r="Z68" s="62"/>
    </row>
    <row r="69" spans="1:16" ht="19.5" customHeight="1">
      <c r="A69" s="19" t="s">
        <v>14</v>
      </c>
      <c r="B69" s="21">
        <f>SUM(B62:B68)</f>
        <v>51902.7</v>
      </c>
      <c r="C69" s="21">
        <f aca="true" t="shared" si="11" ref="C69:O69">SUM(C62:C68)</f>
        <v>31329.3</v>
      </c>
      <c r="D69" s="21">
        <f t="shared" si="11"/>
        <v>550</v>
      </c>
      <c r="E69" s="21">
        <f t="shared" si="11"/>
        <v>0</v>
      </c>
      <c r="F69" s="21">
        <f t="shared" si="11"/>
        <v>0</v>
      </c>
      <c r="G69" s="21">
        <f t="shared" si="11"/>
        <v>20023.4</v>
      </c>
      <c r="H69" s="21">
        <f t="shared" si="11"/>
        <v>0</v>
      </c>
      <c r="I69" s="21">
        <f t="shared" si="11"/>
        <v>47749.1</v>
      </c>
      <c r="J69" s="21">
        <f t="shared" si="11"/>
        <v>29774.800000000003</v>
      </c>
      <c r="K69" s="21">
        <f t="shared" si="11"/>
        <v>353.9</v>
      </c>
      <c r="L69" s="21">
        <f t="shared" si="11"/>
        <v>0</v>
      </c>
      <c r="M69" s="21">
        <f t="shared" si="11"/>
        <v>0</v>
      </c>
      <c r="N69" s="21">
        <f t="shared" si="11"/>
        <v>17620.4</v>
      </c>
      <c r="O69" s="21">
        <f t="shared" si="11"/>
        <v>0</v>
      </c>
      <c r="P69" s="29">
        <f>I69/B69*100</f>
        <v>91.99733347205445</v>
      </c>
    </row>
    <row r="70" spans="1:16" ht="22.5" customHeight="1">
      <c r="A70" s="138" t="s">
        <v>98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</row>
    <row r="71" spans="1:16" ht="23.25" customHeight="1">
      <c r="A71" s="12" t="s">
        <v>56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25" ht="24.75" customHeight="1">
      <c r="A72" s="7" t="s">
        <v>57</v>
      </c>
      <c r="B72" s="32">
        <f aca="true" t="shared" si="12" ref="B72:B77">C72+D72+E72+F72+G72+H72</f>
        <v>37918.2</v>
      </c>
      <c r="C72" s="95">
        <f>38918.2-1000</f>
        <v>37918.2</v>
      </c>
      <c r="D72" s="32"/>
      <c r="E72" s="32"/>
      <c r="F72" s="32"/>
      <c r="G72" s="32"/>
      <c r="H72" s="32"/>
      <c r="I72" s="32">
        <f aca="true" t="shared" si="13" ref="I72:I77">J72+K72+L72+M72+N72+O72</f>
        <v>35924.1</v>
      </c>
      <c r="J72" s="32">
        <f>29446+6478.1</f>
        <v>35924.1</v>
      </c>
      <c r="K72" s="32"/>
      <c r="L72" s="32"/>
      <c r="M72" s="32"/>
      <c r="N72" s="32"/>
      <c r="O72" s="32"/>
      <c r="P72" s="63">
        <f aca="true" t="shared" si="14" ref="P72:P77">I72/B72*100</f>
        <v>94.74104783454911</v>
      </c>
      <c r="Y72" s="62"/>
    </row>
    <row r="73" spans="1:26" ht="24.75" customHeight="1">
      <c r="A73" s="7" t="s">
        <v>58</v>
      </c>
      <c r="B73" s="32">
        <f t="shared" si="12"/>
        <v>7080.3</v>
      </c>
      <c r="C73" s="95">
        <f>5980.3+600</f>
        <v>6580.3</v>
      </c>
      <c r="D73" s="94">
        <f>100+400</f>
        <v>500</v>
      </c>
      <c r="E73" s="32"/>
      <c r="F73" s="32"/>
      <c r="G73" s="32"/>
      <c r="H73" s="32"/>
      <c r="I73" s="32">
        <f t="shared" si="13"/>
        <v>6843.899999999999</v>
      </c>
      <c r="J73" s="32">
        <f>42397.2-J72</f>
        <v>6473.0999999999985</v>
      </c>
      <c r="K73" s="32">
        <v>370.8</v>
      </c>
      <c r="L73" s="32"/>
      <c r="M73" s="32"/>
      <c r="N73" s="32"/>
      <c r="O73" s="32"/>
      <c r="P73" s="63">
        <f t="shared" si="14"/>
        <v>96.66115842549043</v>
      </c>
      <c r="Y73" s="62"/>
      <c r="Z73" s="62"/>
    </row>
    <row r="74" spans="1:16" ht="24.75" customHeight="1" hidden="1">
      <c r="A74" s="45" t="s">
        <v>59</v>
      </c>
      <c r="B74" s="32">
        <f t="shared" si="12"/>
        <v>0</v>
      </c>
      <c r="C74" s="32"/>
      <c r="D74" s="32"/>
      <c r="E74" s="32"/>
      <c r="F74" s="32"/>
      <c r="G74" s="32"/>
      <c r="H74" s="32"/>
      <c r="I74" s="32">
        <f t="shared" si="13"/>
        <v>0</v>
      </c>
      <c r="J74" s="32"/>
      <c r="K74" s="32"/>
      <c r="L74" s="32"/>
      <c r="M74" s="32"/>
      <c r="N74" s="32"/>
      <c r="O74" s="32"/>
      <c r="P74" s="63" t="e">
        <f t="shared" si="14"/>
        <v>#DIV/0!</v>
      </c>
    </row>
    <row r="75" spans="1:16" ht="24.75" customHeight="1" hidden="1">
      <c r="A75" s="7" t="s">
        <v>60</v>
      </c>
      <c r="B75" s="32">
        <f t="shared" si="12"/>
        <v>0</v>
      </c>
      <c r="C75" s="33"/>
      <c r="D75" s="32"/>
      <c r="E75" s="32"/>
      <c r="F75" s="32"/>
      <c r="G75" s="32"/>
      <c r="H75" s="32"/>
      <c r="I75" s="32">
        <f t="shared" si="13"/>
        <v>0</v>
      </c>
      <c r="J75" s="32"/>
      <c r="K75" s="32"/>
      <c r="L75" s="32"/>
      <c r="M75" s="32"/>
      <c r="N75" s="32"/>
      <c r="O75" s="32"/>
      <c r="P75" s="63" t="e">
        <f t="shared" si="14"/>
        <v>#DIV/0!</v>
      </c>
    </row>
    <row r="76" spans="1:16" ht="24.75" customHeight="1" hidden="1">
      <c r="A76" s="4" t="s">
        <v>61</v>
      </c>
      <c r="B76" s="32">
        <f t="shared" si="12"/>
        <v>0</v>
      </c>
      <c r="C76" s="32"/>
      <c r="D76" s="32"/>
      <c r="E76" s="32"/>
      <c r="F76" s="32"/>
      <c r="G76" s="32"/>
      <c r="H76" s="32"/>
      <c r="I76" s="32">
        <f t="shared" si="13"/>
        <v>0</v>
      </c>
      <c r="J76" s="32"/>
      <c r="K76" s="32"/>
      <c r="L76" s="32"/>
      <c r="M76" s="32"/>
      <c r="N76" s="32"/>
      <c r="O76" s="32"/>
      <c r="P76" s="63" t="e">
        <f t="shared" si="14"/>
        <v>#DIV/0!</v>
      </c>
    </row>
    <row r="77" spans="1:16" ht="24.75" customHeight="1" hidden="1">
      <c r="A77" s="5" t="s">
        <v>62</v>
      </c>
      <c r="B77" s="32">
        <f t="shared" si="12"/>
        <v>0</v>
      </c>
      <c r="C77" s="33"/>
      <c r="D77" s="32"/>
      <c r="E77" s="32"/>
      <c r="F77" s="32"/>
      <c r="G77" s="32"/>
      <c r="H77" s="32"/>
      <c r="I77" s="32">
        <f t="shared" si="13"/>
        <v>0</v>
      </c>
      <c r="J77" s="32"/>
      <c r="K77" s="32"/>
      <c r="L77" s="32"/>
      <c r="M77" s="32"/>
      <c r="N77" s="32"/>
      <c r="O77" s="32"/>
      <c r="P77" s="63" t="e">
        <f t="shared" si="14"/>
        <v>#DIV/0!</v>
      </c>
    </row>
    <row r="78" spans="1:19" ht="15">
      <c r="A78" s="19" t="s">
        <v>16</v>
      </c>
      <c r="B78" s="21">
        <f aca="true" t="shared" si="15" ref="B78:O78">SUM(B72:B77)</f>
        <v>44998.5</v>
      </c>
      <c r="C78" s="21">
        <f t="shared" si="15"/>
        <v>44498.5</v>
      </c>
      <c r="D78" s="21">
        <f t="shared" si="15"/>
        <v>500</v>
      </c>
      <c r="E78" s="21">
        <f t="shared" si="15"/>
        <v>0</v>
      </c>
      <c r="F78" s="21">
        <f t="shared" si="15"/>
        <v>0</v>
      </c>
      <c r="G78" s="21">
        <f t="shared" si="15"/>
        <v>0</v>
      </c>
      <c r="H78" s="21">
        <f t="shared" si="15"/>
        <v>0</v>
      </c>
      <c r="I78" s="21">
        <f t="shared" si="15"/>
        <v>42768</v>
      </c>
      <c r="J78" s="21">
        <f t="shared" si="15"/>
        <v>42397.2</v>
      </c>
      <c r="K78" s="21">
        <f t="shared" si="15"/>
        <v>370.8</v>
      </c>
      <c r="L78" s="21">
        <f t="shared" si="15"/>
        <v>0</v>
      </c>
      <c r="M78" s="21">
        <f t="shared" si="15"/>
        <v>0</v>
      </c>
      <c r="N78" s="21">
        <f t="shared" si="15"/>
        <v>0</v>
      </c>
      <c r="O78" s="21">
        <f t="shared" si="15"/>
        <v>0</v>
      </c>
      <c r="P78" s="29">
        <f>I78/B78*100</f>
        <v>95.04316810560351</v>
      </c>
      <c r="Q78">
        <f>J79+N79</f>
        <v>0</v>
      </c>
      <c r="R78">
        <f>K79+O79</f>
        <v>0</v>
      </c>
      <c r="S78">
        <f>Q78+R78</f>
        <v>0</v>
      </c>
    </row>
    <row r="79" spans="1:18" ht="20.25" customHeight="1">
      <c r="A79" s="138" t="s">
        <v>99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62">
        <f>C79+E79+G79</f>
        <v>0</v>
      </c>
      <c r="R79" s="62">
        <f>D79+F79+H79</f>
        <v>0</v>
      </c>
    </row>
    <row r="80" spans="1:16" ht="15">
      <c r="A80" s="12" t="s">
        <v>63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64.5">
      <c r="A81" s="5" t="s">
        <v>64</v>
      </c>
      <c r="B81" s="36">
        <f>C81+D81+E81+F81+G81+H81</f>
        <v>5187.7</v>
      </c>
      <c r="C81" s="11">
        <v>5137.7</v>
      </c>
      <c r="D81" s="10">
        <v>50</v>
      </c>
      <c r="E81" s="10"/>
      <c r="F81" s="36"/>
      <c r="G81" s="36"/>
      <c r="H81" s="36"/>
      <c r="I81" s="36">
        <f>J81+K81+L81+M81+N81+O81</f>
        <v>4882.9</v>
      </c>
      <c r="J81" s="36">
        <v>4882.9</v>
      </c>
      <c r="K81" s="36"/>
      <c r="L81" s="36"/>
      <c r="M81" s="36"/>
      <c r="N81" s="36"/>
      <c r="O81" s="36"/>
      <c r="P81" s="63">
        <f>I81/B81*100</f>
        <v>94.12456387223625</v>
      </c>
    </row>
    <row r="82" spans="1:16" ht="15">
      <c r="A82" s="19" t="s">
        <v>17</v>
      </c>
      <c r="B82" s="21">
        <f aca="true" t="shared" si="16" ref="B82:O82">SUM(B81:B81)</f>
        <v>5187.7</v>
      </c>
      <c r="C82" s="21">
        <f t="shared" si="16"/>
        <v>5137.7</v>
      </c>
      <c r="D82" s="21">
        <f t="shared" si="16"/>
        <v>50</v>
      </c>
      <c r="E82" s="21">
        <f t="shared" si="16"/>
        <v>0</v>
      </c>
      <c r="F82" s="21">
        <f t="shared" si="16"/>
        <v>0</v>
      </c>
      <c r="G82" s="21">
        <f t="shared" si="16"/>
        <v>0</v>
      </c>
      <c r="H82" s="21">
        <f t="shared" si="16"/>
        <v>0</v>
      </c>
      <c r="I82" s="21">
        <f t="shared" si="16"/>
        <v>4882.9</v>
      </c>
      <c r="J82" s="21">
        <f t="shared" si="16"/>
        <v>4882.9</v>
      </c>
      <c r="K82" s="21">
        <f t="shared" si="16"/>
        <v>0</v>
      </c>
      <c r="L82" s="21">
        <f t="shared" si="16"/>
        <v>0</v>
      </c>
      <c r="M82" s="21">
        <f t="shared" si="16"/>
        <v>0</v>
      </c>
      <c r="N82" s="21">
        <f t="shared" si="16"/>
        <v>0</v>
      </c>
      <c r="O82" s="21">
        <f t="shared" si="16"/>
        <v>0</v>
      </c>
      <c r="P82" s="29">
        <f>I82/B82*100</f>
        <v>94.12456387223625</v>
      </c>
    </row>
    <row r="83" spans="1:16" ht="19.5" customHeight="1">
      <c r="A83" s="138" t="s">
        <v>100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</row>
    <row r="84" spans="1:16" ht="26.25">
      <c r="A84" s="12" t="s">
        <v>65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51.75">
      <c r="A85" s="5" t="s">
        <v>66</v>
      </c>
      <c r="B85" s="10">
        <f>C85+D85+E85+F85+G85+H85</f>
        <v>902.3</v>
      </c>
      <c r="C85" s="10">
        <v>902.3</v>
      </c>
      <c r="D85" s="10">
        <v>0</v>
      </c>
      <c r="E85" s="10"/>
      <c r="F85" s="10"/>
      <c r="G85" s="10"/>
      <c r="H85" s="10"/>
      <c r="I85" s="10">
        <f>J85+K85+L85+M85+N85+O85</f>
        <v>832.1</v>
      </c>
      <c r="J85" s="10">
        <v>832.1</v>
      </c>
      <c r="K85" s="10"/>
      <c r="L85" s="10"/>
      <c r="M85" s="10"/>
      <c r="N85" s="10"/>
      <c r="O85" s="10"/>
      <c r="P85" s="63">
        <f>I85/B85*100</f>
        <v>92.21988252244266</v>
      </c>
    </row>
    <row r="86" spans="1:16" ht="15">
      <c r="A86" s="19" t="s">
        <v>18</v>
      </c>
      <c r="B86" s="21">
        <f aca="true" t="shared" si="17" ref="B86:O86">SUM(B85:B85)</f>
        <v>902.3</v>
      </c>
      <c r="C86" s="21">
        <f t="shared" si="17"/>
        <v>902.3</v>
      </c>
      <c r="D86" s="21">
        <f t="shared" si="17"/>
        <v>0</v>
      </c>
      <c r="E86" s="21">
        <f t="shared" si="17"/>
        <v>0</v>
      </c>
      <c r="F86" s="21">
        <f t="shared" si="17"/>
        <v>0</v>
      </c>
      <c r="G86" s="21">
        <f t="shared" si="17"/>
        <v>0</v>
      </c>
      <c r="H86" s="21">
        <f t="shared" si="17"/>
        <v>0</v>
      </c>
      <c r="I86" s="21">
        <f t="shared" si="17"/>
        <v>832.1</v>
      </c>
      <c r="J86" s="21">
        <f t="shared" si="17"/>
        <v>832.1</v>
      </c>
      <c r="K86" s="21">
        <f t="shared" si="17"/>
        <v>0</v>
      </c>
      <c r="L86" s="21">
        <f t="shared" si="17"/>
        <v>0</v>
      </c>
      <c r="M86" s="21">
        <f t="shared" si="17"/>
        <v>0</v>
      </c>
      <c r="N86" s="21">
        <f t="shared" si="17"/>
        <v>0</v>
      </c>
      <c r="O86" s="21">
        <f t="shared" si="17"/>
        <v>0</v>
      </c>
      <c r="P86" s="29">
        <f>I86/B86*100</f>
        <v>92.21988252244266</v>
      </c>
    </row>
    <row r="87" spans="1:16" ht="15" customHeight="1">
      <c r="A87" s="138" t="s">
        <v>101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</row>
    <row r="88" spans="1:16" ht="51.75" customHeight="1">
      <c r="A88" s="15" t="s">
        <v>67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26.25">
      <c r="A89" s="5" t="s">
        <v>68</v>
      </c>
      <c r="B89" s="34">
        <f>C89+D89+E89+F89+G89+H89</f>
        <v>110</v>
      </c>
      <c r="C89" s="34">
        <v>110</v>
      </c>
      <c r="D89" s="34"/>
      <c r="E89" s="34"/>
      <c r="F89" s="34"/>
      <c r="G89" s="49"/>
      <c r="H89" s="34"/>
      <c r="I89" s="36">
        <f>J89+K89+L89+M89+N89+O89</f>
        <v>95</v>
      </c>
      <c r="J89" s="36">
        <v>95</v>
      </c>
      <c r="K89" s="36"/>
      <c r="L89" s="36"/>
      <c r="M89" s="34"/>
      <c r="N89" s="34"/>
      <c r="O89" s="34"/>
      <c r="P89" s="63">
        <f>I89/B89*100</f>
        <v>86.36363636363636</v>
      </c>
    </row>
    <row r="90" spans="1:16" ht="15">
      <c r="A90" s="38" t="s">
        <v>15</v>
      </c>
      <c r="B90" s="34">
        <f>C90+D90+E90+F90+G90+H90</f>
        <v>25.4</v>
      </c>
      <c r="C90" s="35">
        <v>25.4</v>
      </c>
      <c r="D90" s="34"/>
      <c r="E90" s="34"/>
      <c r="F90" s="34"/>
      <c r="G90" s="34"/>
      <c r="H90" s="34"/>
      <c r="I90" s="34">
        <f>J90+K90+L90+M90+N90+O90</f>
        <v>24</v>
      </c>
      <c r="J90" s="34">
        <v>24</v>
      </c>
      <c r="K90" s="34"/>
      <c r="L90" s="34"/>
      <c r="M90" s="34"/>
      <c r="N90" s="34"/>
      <c r="O90" s="34"/>
      <c r="P90" s="63">
        <f>I90/B90*100</f>
        <v>94.48818897637796</v>
      </c>
    </row>
    <row r="91" spans="1:16" ht="15">
      <c r="A91" s="38" t="s">
        <v>102</v>
      </c>
      <c r="B91" s="34">
        <f>C91+D91+E91+F91+G91+H91</f>
        <v>1000</v>
      </c>
      <c r="C91" s="92">
        <v>1000</v>
      </c>
      <c r="D91" s="34"/>
      <c r="E91" s="34"/>
      <c r="F91" s="34"/>
      <c r="G91" s="34"/>
      <c r="H91" s="34"/>
      <c r="I91" s="34">
        <f>J91+K91+L91+M91+N91+O91</f>
        <v>0</v>
      </c>
      <c r="J91" s="34"/>
      <c r="K91" s="34"/>
      <c r="L91" s="34"/>
      <c r="M91" s="34"/>
      <c r="N91" s="34"/>
      <c r="O91" s="34"/>
      <c r="P91" s="63">
        <f>I91/B91*100</f>
        <v>0</v>
      </c>
    </row>
    <row r="92" spans="1:16" ht="15">
      <c r="A92" s="19" t="s">
        <v>19</v>
      </c>
      <c r="B92" s="21">
        <f>SUM(B88:B91)</f>
        <v>1135.4</v>
      </c>
      <c r="C92" s="21">
        <f>SUM(C88:C91)</f>
        <v>1135.4</v>
      </c>
      <c r="D92" s="21">
        <f aca="true" t="shared" si="18" ref="D92:O92">SUM(D88:D91)</f>
        <v>0</v>
      </c>
      <c r="E92" s="21">
        <f t="shared" si="18"/>
        <v>0</v>
      </c>
      <c r="F92" s="21">
        <f t="shared" si="18"/>
        <v>0</v>
      </c>
      <c r="G92" s="21">
        <f t="shared" si="18"/>
        <v>0</v>
      </c>
      <c r="H92" s="21">
        <f t="shared" si="18"/>
        <v>0</v>
      </c>
      <c r="I92" s="21">
        <f t="shared" si="18"/>
        <v>119</v>
      </c>
      <c r="J92" s="21">
        <f t="shared" si="18"/>
        <v>119</v>
      </c>
      <c r="K92" s="21">
        <f t="shared" si="18"/>
        <v>0</v>
      </c>
      <c r="L92" s="21">
        <f t="shared" si="18"/>
        <v>0</v>
      </c>
      <c r="M92" s="21">
        <f t="shared" si="18"/>
        <v>0</v>
      </c>
      <c r="N92" s="21">
        <f t="shared" si="18"/>
        <v>0</v>
      </c>
      <c r="O92" s="21">
        <f t="shared" si="18"/>
        <v>0</v>
      </c>
      <c r="P92" s="29">
        <f>I92/B92*100</f>
        <v>10.480887792848334</v>
      </c>
    </row>
    <row r="93" spans="1:16" ht="15.75">
      <c r="A93" s="138" t="s">
        <v>103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</row>
    <row r="94" spans="1:18" ht="26.25">
      <c r="A94" s="12" t="s">
        <v>69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62">
        <f>C94+E94+G94</f>
        <v>0</v>
      </c>
      <c r="R94" s="62">
        <f>D94+F94+H94</f>
        <v>0</v>
      </c>
    </row>
    <row r="95" spans="1:25" ht="26.25">
      <c r="A95" s="5" t="s">
        <v>70</v>
      </c>
      <c r="B95" s="10">
        <f>C95+D95+E95+F95+G95+H95</f>
        <v>3725.5</v>
      </c>
      <c r="C95" s="96">
        <f>4283.5-558</f>
        <v>3725.5</v>
      </c>
      <c r="D95" s="10"/>
      <c r="E95" s="10"/>
      <c r="F95" s="10"/>
      <c r="G95" s="10"/>
      <c r="H95" s="10"/>
      <c r="I95" s="10">
        <f>J95+K95+L95+M95+N95+O95</f>
        <v>3455.7</v>
      </c>
      <c r="J95" s="10">
        <v>3455.7</v>
      </c>
      <c r="K95" s="10"/>
      <c r="L95" s="10"/>
      <c r="M95" s="10"/>
      <c r="N95" s="10"/>
      <c r="O95" s="10"/>
      <c r="P95" s="63">
        <f>I95/B95*100</f>
        <v>92.75801905784458</v>
      </c>
      <c r="Y95" s="62">
        <f>J95-C95</f>
        <v>-269.8000000000002</v>
      </c>
    </row>
    <row r="96" spans="1:25" ht="15">
      <c r="A96" s="7" t="s">
        <v>71</v>
      </c>
      <c r="B96" s="10">
        <f>C96+D96+E96+F96+G96+H96</f>
        <v>1497</v>
      </c>
      <c r="C96" s="96">
        <f>839+458</f>
        <v>1297</v>
      </c>
      <c r="D96" s="96">
        <f>100+100</f>
        <v>200</v>
      </c>
      <c r="E96" s="10"/>
      <c r="F96" s="10"/>
      <c r="G96" s="10"/>
      <c r="H96" s="10"/>
      <c r="I96" s="10">
        <f>J96+K96+L96+M96+N96+O96</f>
        <v>1367</v>
      </c>
      <c r="J96" s="10">
        <v>1287</v>
      </c>
      <c r="K96" s="10">
        <v>80</v>
      </c>
      <c r="L96" s="10"/>
      <c r="M96" s="10"/>
      <c r="N96" s="10"/>
      <c r="O96" s="10"/>
      <c r="P96" s="63">
        <f>I96/B96*100</f>
        <v>91.31596526386106</v>
      </c>
      <c r="Y96" s="62">
        <f>J96-C96</f>
        <v>-10</v>
      </c>
    </row>
    <row r="97" spans="1:16" ht="15">
      <c r="A97" s="12" t="s">
        <v>72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26.25">
      <c r="A98" s="44" t="s">
        <v>73</v>
      </c>
      <c r="B98" s="10">
        <f>C98+D98+E98+F98+G98+H98</f>
        <v>2583.8</v>
      </c>
      <c r="C98" s="11">
        <v>2583.8</v>
      </c>
      <c r="D98" s="10"/>
      <c r="E98" s="10"/>
      <c r="F98" s="10"/>
      <c r="G98" s="10"/>
      <c r="H98" s="10"/>
      <c r="I98" s="10">
        <f>J98+K98+L98+M98+N98+O98</f>
        <v>2239.8</v>
      </c>
      <c r="J98" s="10">
        <v>2239.8</v>
      </c>
      <c r="K98" s="10"/>
      <c r="L98" s="10"/>
      <c r="M98" s="10"/>
      <c r="N98" s="10"/>
      <c r="O98" s="10"/>
      <c r="P98" s="63">
        <f>I98/B98*100</f>
        <v>86.6862760275563</v>
      </c>
    </row>
    <row r="99" spans="1:16" ht="26.25">
      <c r="A99" s="12" t="s">
        <v>83</v>
      </c>
      <c r="B99" s="9"/>
      <c r="C99" s="1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81"/>
    </row>
    <row r="100" spans="1:26" ht="26.25">
      <c r="A100" s="44" t="s">
        <v>104</v>
      </c>
      <c r="B100" s="10">
        <f>C100+D100+E100+F100+G100+H100</f>
        <v>3225.3</v>
      </c>
      <c r="C100" s="97">
        <f>3195.3-100</f>
        <v>3095.3</v>
      </c>
      <c r="D100" s="96">
        <f>30+100</f>
        <v>130</v>
      </c>
      <c r="E100" s="10"/>
      <c r="F100" s="10"/>
      <c r="G100" s="10"/>
      <c r="H100" s="10"/>
      <c r="I100" s="10">
        <f>J100+K100+L100+M100+N100+O100</f>
        <v>2997.5</v>
      </c>
      <c r="J100" s="10">
        <v>2913</v>
      </c>
      <c r="K100" s="10">
        <v>84.5</v>
      </c>
      <c r="L100" s="10"/>
      <c r="M100" s="10"/>
      <c r="N100" s="10"/>
      <c r="O100" s="10"/>
      <c r="P100" s="63">
        <f>I100/B100*100</f>
        <v>92.93709112330636</v>
      </c>
      <c r="Y100" s="62">
        <f>J100-C100</f>
        <v>-182.30000000000018</v>
      </c>
      <c r="Z100" s="62">
        <f>K100-D100</f>
        <v>-45.5</v>
      </c>
    </row>
    <row r="101" spans="1:16" ht="15">
      <c r="A101" s="19" t="s">
        <v>20</v>
      </c>
      <c r="B101" s="20">
        <f>SUM(B94:B100)</f>
        <v>11031.6</v>
      </c>
      <c r="C101" s="20">
        <f aca="true" t="shared" si="19" ref="C101:O101">SUM(C94:C100)</f>
        <v>10701.6</v>
      </c>
      <c r="D101" s="20">
        <f t="shared" si="19"/>
        <v>330</v>
      </c>
      <c r="E101" s="20">
        <f t="shared" si="19"/>
        <v>0</v>
      </c>
      <c r="F101" s="20">
        <f t="shared" si="19"/>
        <v>0</v>
      </c>
      <c r="G101" s="20">
        <f t="shared" si="19"/>
        <v>0</v>
      </c>
      <c r="H101" s="20">
        <f t="shared" si="19"/>
        <v>0</v>
      </c>
      <c r="I101" s="20">
        <f t="shared" si="19"/>
        <v>10060</v>
      </c>
      <c r="J101" s="20">
        <f t="shared" si="19"/>
        <v>9895.5</v>
      </c>
      <c r="K101" s="20">
        <f t="shared" si="19"/>
        <v>164.5</v>
      </c>
      <c r="L101" s="20">
        <f t="shared" si="19"/>
        <v>0</v>
      </c>
      <c r="M101" s="20">
        <f t="shared" si="19"/>
        <v>0</v>
      </c>
      <c r="N101" s="20">
        <f t="shared" si="19"/>
        <v>0</v>
      </c>
      <c r="O101" s="20">
        <f t="shared" si="19"/>
        <v>0</v>
      </c>
      <c r="P101" s="29">
        <f>I101/B101*100</f>
        <v>91.19257405997317</v>
      </c>
    </row>
    <row r="102" spans="1:16" ht="15.75">
      <c r="A102" s="138" t="s">
        <v>105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</row>
    <row r="103" spans="1:18" ht="64.5">
      <c r="A103" s="16" t="s">
        <v>106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62">
        <f>C103+E103+G103</f>
        <v>0</v>
      </c>
      <c r="R103" s="62">
        <f>D103+F103+H103</f>
        <v>0</v>
      </c>
    </row>
    <row r="104" spans="1:16" ht="25.5">
      <c r="A104" s="6" t="s">
        <v>107</v>
      </c>
      <c r="B104" s="10">
        <f>C104+D104+E104+F104+G104+H104</f>
        <v>1460.8</v>
      </c>
      <c r="C104" s="11">
        <v>1460.8</v>
      </c>
      <c r="D104" s="10"/>
      <c r="E104" s="10"/>
      <c r="F104" s="10"/>
      <c r="G104" s="10"/>
      <c r="H104" s="10"/>
      <c r="I104" s="10">
        <f>J104+K104+L104+M104+N104+O104</f>
        <v>0</v>
      </c>
      <c r="J104" s="11"/>
      <c r="K104" s="10"/>
      <c r="L104" s="10"/>
      <c r="M104" s="10"/>
      <c r="N104" s="10"/>
      <c r="O104" s="10"/>
      <c r="P104" s="63">
        <f>I104/B104*100</f>
        <v>0</v>
      </c>
    </row>
    <row r="105" spans="1:16" ht="42" customHeight="1">
      <c r="A105" s="17" t="s">
        <v>108</v>
      </c>
      <c r="B105" s="10">
        <f>C105+D105+E105+F105+G105+H105</f>
        <v>1085.3</v>
      </c>
      <c r="C105" s="11">
        <v>1085.3</v>
      </c>
      <c r="D105" s="10"/>
      <c r="E105" s="10"/>
      <c r="F105" s="10"/>
      <c r="G105" s="10"/>
      <c r="H105" s="10"/>
      <c r="I105" s="10">
        <f>J105+K105+L105+M105+N105+O105</f>
        <v>0</v>
      </c>
      <c r="J105" s="11"/>
      <c r="K105" s="10"/>
      <c r="L105" s="10"/>
      <c r="M105" s="10"/>
      <c r="N105" s="10"/>
      <c r="O105" s="10"/>
      <c r="P105" s="63">
        <f>I105/B105*100</f>
        <v>0</v>
      </c>
    </row>
    <row r="106" spans="1:16" ht="15">
      <c r="A106" s="19" t="s">
        <v>21</v>
      </c>
      <c r="B106" s="21">
        <f>SUM(B104:B105)</f>
        <v>2546.1</v>
      </c>
      <c r="C106" s="21">
        <f aca="true" t="shared" si="20" ref="C106:O106">SUM(C104:C105)</f>
        <v>2546.1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21">
        <f t="shared" si="20"/>
        <v>0</v>
      </c>
      <c r="O106" s="21">
        <f t="shared" si="20"/>
        <v>0</v>
      </c>
      <c r="P106" s="29">
        <f>I106/B106*100</f>
        <v>0</v>
      </c>
    </row>
    <row r="107" spans="1:16" ht="15.75">
      <c r="A107" s="138" t="s">
        <v>109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</row>
    <row r="108" spans="1:16" ht="32.25" customHeight="1">
      <c r="A108" s="12" t="s">
        <v>74</v>
      </c>
      <c r="B108" s="9"/>
      <c r="C108" s="13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4"/>
    </row>
    <row r="109" spans="1:16" ht="26.25">
      <c r="A109" s="7" t="s">
        <v>75</v>
      </c>
      <c r="B109" s="34">
        <f>C109+D109+E109+F109+G109+H109</f>
        <v>2202.3</v>
      </c>
      <c r="C109" s="98">
        <f>417.6-6.2</f>
        <v>411.40000000000003</v>
      </c>
      <c r="D109" s="34"/>
      <c r="E109" s="34"/>
      <c r="F109" s="34"/>
      <c r="G109" s="34">
        <v>1790.9</v>
      </c>
      <c r="H109" s="34"/>
      <c r="I109" s="34">
        <f>J109+K109+L109+M109+N109+O109</f>
        <v>2133.7</v>
      </c>
      <c r="J109" s="34">
        <f>319.8+70.3</f>
        <v>390.1</v>
      </c>
      <c r="K109" s="34"/>
      <c r="L109" s="34"/>
      <c r="M109" s="34"/>
      <c r="N109" s="34">
        <v>1743.6</v>
      </c>
      <c r="O109" s="34"/>
      <c r="P109" s="69">
        <f>I109/B109*100</f>
        <v>96.88507469463741</v>
      </c>
    </row>
    <row r="110" spans="1:16" ht="15">
      <c r="A110" s="45" t="s">
        <v>76</v>
      </c>
      <c r="B110" s="34">
        <f>C110+D110+E110+F110+G110+H110</f>
        <v>178</v>
      </c>
      <c r="C110" s="96">
        <f>141.8+6.2</f>
        <v>148</v>
      </c>
      <c r="D110" s="96">
        <v>30</v>
      </c>
      <c r="E110" s="34"/>
      <c r="F110" s="34"/>
      <c r="G110" s="34"/>
      <c r="H110" s="34"/>
      <c r="I110" s="34">
        <f>J110+K110+L110+M110+N110+O110</f>
        <v>167.4</v>
      </c>
      <c r="J110" s="34">
        <f>538.1-J109</f>
        <v>148</v>
      </c>
      <c r="K110" s="34">
        <v>19.4</v>
      </c>
      <c r="L110" s="34"/>
      <c r="M110" s="34"/>
      <c r="N110" s="34"/>
      <c r="O110" s="34"/>
      <c r="P110" s="69">
        <f>I110/B110*100</f>
        <v>94.04494382022473</v>
      </c>
    </row>
    <row r="111" spans="1:18" ht="26.25">
      <c r="A111" s="7" t="s">
        <v>77</v>
      </c>
      <c r="B111" s="34">
        <f>C111+D111+E111+F111+G111+H111</f>
        <v>50</v>
      </c>
      <c r="C111" s="35"/>
      <c r="D111" s="96">
        <f>30+20</f>
        <v>50</v>
      </c>
      <c r="E111" s="34"/>
      <c r="F111" s="34"/>
      <c r="G111" s="34"/>
      <c r="H111" s="34"/>
      <c r="I111" s="34">
        <f>J111+K111+L111+M111+N111+O111</f>
        <v>29.1</v>
      </c>
      <c r="J111" s="34"/>
      <c r="K111" s="34">
        <v>29.1</v>
      </c>
      <c r="L111" s="34"/>
      <c r="M111" s="34"/>
      <c r="N111" s="34"/>
      <c r="O111" s="34"/>
      <c r="P111" s="69">
        <f>I111/B111*100</f>
        <v>58.20000000000001</v>
      </c>
      <c r="Q111" s="62">
        <f>C111+E111+G111</f>
        <v>0</v>
      </c>
      <c r="R111" s="62">
        <f>D111+F111+H111</f>
        <v>50</v>
      </c>
    </row>
    <row r="112" spans="1:16" ht="15">
      <c r="A112" s="19" t="s">
        <v>22</v>
      </c>
      <c r="B112" s="21">
        <f>SUM(B109:B111)</f>
        <v>2430.3</v>
      </c>
      <c r="C112" s="21">
        <f aca="true" t="shared" si="21" ref="C112:N112">SUM(C109:C111)</f>
        <v>559.4000000000001</v>
      </c>
      <c r="D112" s="21">
        <f t="shared" si="21"/>
        <v>80</v>
      </c>
      <c r="E112" s="21">
        <f t="shared" si="21"/>
        <v>0</v>
      </c>
      <c r="F112" s="21">
        <f t="shared" si="21"/>
        <v>0</v>
      </c>
      <c r="G112" s="21">
        <f t="shared" si="21"/>
        <v>1790.9</v>
      </c>
      <c r="H112" s="21">
        <f t="shared" si="21"/>
        <v>0</v>
      </c>
      <c r="I112" s="21">
        <f t="shared" si="21"/>
        <v>2330.2</v>
      </c>
      <c r="J112" s="21">
        <f t="shared" si="21"/>
        <v>538.1</v>
      </c>
      <c r="K112" s="21">
        <f t="shared" si="21"/>
        <v>48.5</v>
      </c>
      <c r="L112" s="21">
        <f t="shared" si="21"/>
        <v>0</v>
      </c>
      <c r="M112" s="21">
        <f t="shared" si="21"/>
        <v>0</v>
      </c>
      <c r="N112" s="21">
        <f t="shared" si="21"/>
        <v>1743.6</v>
      </c>
      <c r="O112" s="21">
        <f>SUM(O109:O111)</f>
        <v>0</v>
      </c>
      <c r="P112" s="29">
        <f>I112/B112*100</f>
        <v>95.88116693412334</v>
      </c>
    </row>
    <row r="113" spans="1:16" ht="15.75">
      <c r="A113" s="133" t="s">
        <v>110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5"/>
    </row>
    <row r="114" spans="1:16" ht="26.25">
      <c r="A114" s="46" t="s">
        <v>80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60"/>
    </row>
    <row r="115" spans="1:16" ht="15">
      <c r="A115" s="72" t="s">
        <v>111</v>
      </c>
      <c r="B115" s="10">
        <f aca="true" t="shared" si="22" ref="B115:B122">C115+D115+E115+F115+G115+H115</f>
        <v>87000</v>
      </c>
      <c r="C115" s="32"/>
      <c r="D115" s="94">
        <f>5300+81700</f>
        <v>87000</v>
      </c>
      <c r="E115" s="32"/>
      <c r="F115" s="32"/>
      <c r="G115" s="32"/>
      <c r="H115" s="32"/>
      <c r="I115" s="10">
        <f aca="true" t="shared" si="23" ref="I115:I122">J115+K115+L115+M115+N115+O115</f>
        <v>71401.9</v>
      </c>
      <c r="J115" s="32"/>
      <c r="K115" s="32">
        <f>72598.4-K116-950-46.5</f>
        <v>71401.9</v>
      </c>
      <c r="L115" s="32"/>
      <c r="M115" s="32"/>
      <c r="N115" s="32"/>
      <c r="O115" s="32"/>
      <c r="P115" s="63">
        <f aca="true" t="shared" si="24" ref="P115:P123">I115/B115*100</f>
        <v>82.07114942528735</v>
      </c>
    </row>
    <row r="116" spans="1:16" ht="15">
      <c r="A116" s="72" t="s">
        <v>112</v>
      </c>
      <c r="B116" s="10">
        <f t="shared" si="22"/>
        <v>200</v>
      </c>
      <c r="C116" s="32"/>
      <c r="D116" s="94">
        <f>1800-1600</f>
        <v>200</v>
      </c>
      <c r="E116" s="32"/>
      <c r="F116" s="32"/>
      <c r="G116" s="32"/>
      <c r="H116" s="32"/>
      <c r="I116" s="10">
        <f t="shared" si="23"/>
        <v>200</v>
      </c>
      <c r="J116" s="32"/>
      <c r="K116" s="32">
        <v>200</v>
      </c>
      <c r="L116" s="32"/>
      <c r="M116" s="32"/>
      <c r="N116" s="32"/>
      <c r="O116" s="32"/>
      <c r="P116" s="63">
        <f t="shared" si="24"/>
        <v>100</v>
      </c>
    </row>
    <row r="117" spans="1:16" ht="25.5" customHeight="1">
      <c r="A117" s="72" t="s">
        <v>113</v>
      </c>
      <c r="B117" s="10">
        <f t="shared" si="22"/>
        <v>0</v>
      </c>
      <c r="C117" s="32"/>
      <c r="D117" s="94">
        <f>1500-1500</f>
        <v>0</v>
      </c>
      <c r="E117" s="32"/>
      <c r="F117" s="32"/>
      <c r="G117" s="32"/>
      <c r="H117" s="32"/>
      <c r="I117" s="10">
        <f t="shared" si="23"/>
        <v>0</v>
      </c>
      <c r="J117" s="32"/>
      <c r="K117" s="32"/>
      <c r="L117" s="32"/>
      <c r="M117" s="32"/>
      <c r="N117" s="32"/>
      <c r="O117" s="32"/>
      <c r="P117" s="63" t="e">
        <f t="shared" si="24"/>
        <v>#DIV/0!</v>
      </c>
    </row>
    <row r="118" spans="1:16" ht="15">
      <c r="A118" s="72" t="s">
        <v>114</v>
      </c>
      <c r="B118" s="10">
        <f t="shared" si="22"/>
        <v>0</v>
      </c>
      <c r="C118" s="32"/>
      <c r="D118" s="94">
        <f>2554.3-2554.3</f>
        <v>0</v>
      </c>
      <c r="E118" s="32"/>
      <c r="F118" s="32"/>
      <c r="G118" s="32"/>
      <c r="H118" s="32"/>
      <c r="I118" s="10">
        <f t="shared" si="23"/>
        <v>0</v>
      </c>
      <c r="J118" s="32"/>
      <c r="K118" s="32"/>
      <c r="L118" s="32"/>
      <c r="M118" s="32"/>
      <c r="N118" s="32"/>
      <c r="O118" s="32"/>
      <c r="P118" s="63" t="e">
        <f t="shared" si="24"/>
        <v>#DIV/0!</v>
      </c>
    </row>
    <row r="119" spans="1:16" ht="28.5" customHeight="1">
      <c r="A119" s="72" t="s">
        <v>115</v>
      </c>
      <c r="B119" s="10">
        <f t="shared" si="22"/>
        <v>0</v>
      </c>
      <c r="C119" s="32"/>
      <c r="D119" s="94">
        <f>3100-3100</f>
        <v>0</v>
      </c>
      <c r="E119" s="32"/>
      <c r="F119" s="32"/>
      <c r="G119" s="32"/>
      <c r="H119" s="32"/>
      <c r="I119" s="10">
        <f t="shared" si="23"/>
        <v>0</v>
      </c>
      <c r="J119" s="32"/>
      <c r="K119" s="32"/>
      <c r="L119" s="32"/>
      <c r="M119" s="32"/>
      <c r="N119" s="32"/>
      <c r="O119" s="32"/>
      <c r="P119" s="63" t="e">
        <f t="shared" si="24"/>
        <v>#DIV/0!</v>
      </c>
    </row>
    <row r="120" spans="1:16" ht="36.75" customHeight="1">
      <c r="A120" s="72" t="s">
        <v>116</v>
      </c>
      <c r="B120" s="10">
        <f t="shared" si="22"/>
        <v>0</v>
      </c>
      <c r="C120" s="32"/>
      <c r="D120" s="94">
        <f>600-600</f>
        <v>0</v>
      </c>
      <c r="E120" s="32"/>
      <c r="F120" s="32"/>
      <c r="G120" s="32"/>
      <c r="H120" s="32"/>
      <c r="I120" s="10">
        <f t="shared" si="23"/>
        <v>0</v>
      </c>
      <c r="J120" s="32"/>
      <c r="K120" s="32"/>
      <c r="L120" s="32"/>
      <c r="M120" s="32"/>
      <c r="N120" s="32"/>
      <c r="O120" s="32"/>
      <c r="P120" s="63" t="e">
        <f t="shared" si="24"/>
        <v>#DIV/0!</v>
      </c>
    </row>
    <row r="121" spans="1:16" ht="32.25" customHeight="1">
      <c r="A121" s="7" t="s">
        <v>45</v>
      </c>
      <c r="B121" s="10">
        <f t="shared" si="22"/>
        <v>0</v>
      </c>
      <c r="C121" s="32"/>
      <c r="D121" s="94">
        <f>5200-5200</f>
        <v>0</v>
      </c>
      <c r="E121" s="32"/>
      <c r="F121" s="32"/>
      <c r="G121" s="32"/>
      <c r="H121" s="32"/>
      <c r="I121" s="10">
        <f t="shared" si="23"/>
        <v>0</v>
      </c>
      <c r="J121" s="32"/>
      <c r="K121" s="32"/>
      <c r="L121" s="32"/>
      <c r="M121" s="32"/>
      <c r="N121" s="32"/>
      <c r="O121" s="32"/>
      <c r="P121" s="63" t="e">
        <f t="shared" si="24"/>
        <v>#DIV/0!</v>
      </c>
    </row>
    <row r="122" spans="1:16" ht="56.25" customHeight="1">
      <c r="A122" s="99" t="s">
        <v>155</v>
      </c>
      <c r="B122" s="10">
        <f t="shared" si="22"/>
        <v>57080.3</v>
      </c>
      <c r="C122" s="32"/>
      <c r="D122" s="94">
        <v>57080.3</v>
      </c>
      <c r="E122" s="32"/>
      <c r="F122" s="32"/>
      <c r="G122" s="32"/>
      <c r="H122" s="32"/>
      <c r="I122" s="10">
        <f t="shared" si="23"/>
        <v>0</v>
      </c>
      <c r="J122" s="32"/>
      <c r="K122" s="32"/>
      <c r="L122" s="32"/>
      <c r="M122" s="32"/>
      <c r="N122" s="32"/>
      <c r="O122" s="32"/>
      <c r="P122" s="63">
        <f t="shared" si="24"/>
        <v>0</v>
      </c>
    </row>
    <row r="123" spans="1:16" ht="15">
      <c r="A123" s="19" t="s">
        <v>81</v>
      </c>
      <c r="B123" s="21">
        <f>SUM(B114:B122)</f>
        <v>144280.3</v>
      </c>
      <c r="C123" s="21">
        <f aca="true" t="shared" si="25" ref="C123:O123">SUM(C114:C121)</f>
        <v>0</v>
      </c>
      <c r="D123" s="21">
        <f>SUM(D114:D122)</f>
        <v>144280.3</v>
      </c>
      <c r="E123" s="21">
        <f t="shared" si="25"/>
        <v>0</v>
      </c>
      <c r="F123" s="21">
        <f t="shared" si="25"/>
        <v>0</v>
      </c>
      <c r="G123" s="21">
        <f t="shared" si="25"/>
        <v>0</v>
      </c>
      <c r="H123" s="21">
        <f t="shared" si="25"/>
        <v>0</v>
      </c>
      <c r="I123" s="21">
        <f t="shared" si="25"/>
        <v>71601.9</v>
      </c>
      <c r="J123" s="21">
        <f t="shared" si="25"/>
        <v>0</v>
      </c>
      <c r="K123" s="21">
        <f t="shared" si="25"/>
        <v>71601.9</v>
      </c>
      <c r="L123" s="21">
        <f t="shared" si="25"/>
        <v>0</v>
      </c>
      <c r="M123" s="21">
        <f t="shared" si="25"/>
        <v>0</v>
      </c>
      <c r="N123" s="21">
        <f t="shared" si="25"/>
        <v>0</v>
      </c>
      <c r="O123" s="21">
        <f t="shared" si="25"/>
        <v>0</v>
      </c>
      <c r="P123" s="29">
        <f t="shared" si="24"/>
        <v>49.62694144661468</v>
      </c>
    </row>
    <row r="124" spans="1:16" ht="15">
      <c r="A124" s="140" t="s">
        <v>117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2"/>
    </row>
    <row r="125" spans="1:16" ht="19.5" customHeight="1">
      <c r="A125" s="15" t="s">
        <v>154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1"/>
    </row>
    <row r="126" spans="1:16" ht="51">
      <c r="A126" s="71" t="s">
        <v>119</v>
      </c>
      <c r="B126" s="10">
        <f aca="true" t="shared" si="26" ref="B126:B131">C126+D126+E126+F126+G126+H126</f>
        <v>0</v>
      </c>
      <c r="C126" s="94">
        <f>81600-81600</f>
        <v>0</v>
      </c>
      <c r="D126" s="32"/>
      <c r="E126" s="32"/>
      <c r="F126" s="32"/>
      <c r="G126" s="32"/>
      <c r="H126" s="32"/>
      <c r="I126" s="10">
        <f aca="true" t="shared" si="27" ref="I126:I131">J126+K126+L126+M126+N126+O126</f>
        <v>0</v>
      </c>
      <c r="J126" s="61"/>
      <c r="K126" s="65"/>
      <c r="L126" s="61"/>
      <c r="M126" s="61"/>
      <c r="N126" s="61"/>
      <c r="O126" s="61"/>
      <c r="P126" s="63" t="e">
        <f aca="true" t="shared" si="28" ref="P126:P132">I126/B126*100</f>
        <v>#DIV/0!</v>
      </c>
    </row>
    <row r="127" spans="1:16" ht="26.25">
      <c r="A127" s="7" t="s">
        <v>140</v>
      </c>
      <c r="B127" s="10">
        <f t="shared" si="26"/>
        <v>119855.9</v>
      </c>
      <c r="C127" s="94">
        <v>94028</v>
      </c>
      <c r="D127" s="94">
        <v>3748.3</v>
      </c>
      <c r="E127" s="32"/>
      <c r="F127" s="32"/>
      <c r="G127" s="32">
        <v>22079.6</v>
      </c>
      <c r="H127" s="32"/>
      <c r="I127" s="10">
        <f t="shared" si="27"/>
        <v>119855.9</v>
      </c>
      <c r="J127" s="36">
        <f>77072.2+16955.8</f>
        <v>94028</v>
      </c>
      <c r="K127" s="36">
        <f>3075.5+672.8</f>
        <v>3748.3</v>
      </c>
      <c r="L127" s="36"/>
      <c r="M127" s="36"/>
      <c r="N127" s="36">
        <v>22079.6</v>
      </c>
      <c r="O127" s="36"/>
      <c r="P127" s="63">
        <f t="shared" si="28"/>
        <v>100</v>
      </c>
    </row>
    <row r="128" spans="1:16" ht="26.25">
      <c r="A128" s="7" t="s">
        <v>141</v>
      </c>
      <c r="B128" s="10">
        <f t="shared" si="26"/>
        <v>4748.6</v>
      </c>
      <c r="C128" s="94">
        <v>4063.6</v>
      </c>
      <c r="D128" s="94">
        <v>685</v>
      </c>
      <c r="E128" s="32"/>
      <c r="F128" s="32"/>
      <c r="G128" s="32"/>
      <c r="H128" s="32"/>
      <c r="I128" s="10">
        <f t="shared" si="27"/>
        <v>4748.6</v>
      </c>
      <c r="J128" s="36">
        <f>4063.6</f>
        <v>4063.6</v>
      </c>
      <c r="K128" s="36">
        <v>685</v>
      </c>
      <c r="L128" s="36"/>
      <c r="M128" s="36"/>
      <c r="N128" s="36"/>
      <c r="O128" s="36"/>
      <c r="P128" s="63">
        <f t="shared" si="28"/>
        <v>100</v>
      </c>
    </row>
    <row r="129" spans="1:16" ht="26.25">
      <c r="A129" s="7" t="s">
        <v>142</v>
      </c>
      <c r="B129" s="10">
        <f t="shared" si="26"/>
        <v>30244</v>
      </c>
      <c r="C129" s="94">
        <v>21500.1</v>
      </c>
      <c r="D129" s="94">
        <v>8743.9</v>
      </c>
      <c r="E129" s="32"/>
      <c r="F129" s="32"/>
      <c r="G129" s="32"/>
      <c r="H129" s="32"/>
      <c r="I129" s="10">
        <f t="shared" si="27"/>
        <v>30244</v>
      </c>
      <c r="J129" s="36">
        <f>148078.5-J127-J128-J130</f>
        <v>21500.100000000002</v>
      </c>
      <c r="K129" s="36">
        <f>13500.8-K127-K128-K131</f>
        <v>8743.9</v>
      </c>
      <c r="L129" s="36"/>
      <c r="M129" s="36"/>
      <c r="N129" s="36"/>
      <c r="O129" s="36"/>
      <c r="P129" s="63">
        <f t="shared" si="28"/>
        <v>100</v>
      </c>
    </row>
    <row r="130" spans="1:16" ht="21" customHeight="1">
      <c r="A130" s="45" t="s">
        <v>143</v>
      </c>
      <c r="B130" s="10">
        <f t="shared" si="26"/>
        <v>28486.8</v>
      </c>
      <c r="C130" s="94">
        <v>28486.8</v>
      </c>
      <c r="D130" s="32"/>
      <c r="E130" s="32"/>
      <c r="F130" s="32"/>
      <c r="G130" s="32"/>
      <c r="H130" s="32"/>
      <c r="I130" s="10">
        <f t="shared" si="27"/>
        <v>28486.8</v>
      </c>
      <c r="J130" s="36">
        <f>27187.7+1299.1</f>
        <v>28486.8</v>
      </c>
      <c r="K130" s="36"/>
      <c r="L130" s="36"/>
      <c r="M130" s="36"/>
      <c r="N130" s="36"/>
      <c r="O130" s="36"/>
      <c r="P130" s="63">
        <f t="shared" si="28"/>
        <v>100</v>
      </c>
    </row>
    <row r="131" spans="1:16" ht="26.25">
      <c r="A131" s="7" t="s">
        <v>52</v>
      </c>
      <c r="B131" s="10">
        <f t="shared" si="26"/>
        <v>323.6</v>
      </c>
      <c r="C131" s="32"/>
      <c r="D131" s="94">
        <v>323.6</v>
      </c>
      <c r="E131" s="32"/>
      <c r="F131" s="32"/>
      <c r="G131" s="32"/>
      <c r="H131" s="32"/>
      <c r="I131" s="10">
        <f t="shared" si="27"/>
        <v>323.6</v>
      </c>
      <c r="J131" s="36"/>
      <c r="K131" s="36">
        <v>323.6</v>
      </c>
      <c r="L131" s="36"/>
      <c r="M131" s="36"/>
      <c r="N131" s="36"/>
      <c r="O131" s="36"/>
      <c r="P131" s="63">
        <f t="shared" si="28"/>
        <v>100</v>
      </c>
    </row>
    <row r="132" spans="1:16" ht="15">
      <c r="A132" s="19" t="s">
        <v>23</v>
      </c>
      <c r="B132" s="21">
        <f>SUM(B126:B131)</f>
        <v>183658.9</v>
      </c>
      <c r="C132" s="21">
        <f aca="true" t="shared" si="29" ref="C132:O132">SUM(C126:C131)</f>
        <v>148078.5</v>
      </c>
      <c r="D132" s="21">
        <f t="shared" si="29"/>
        <v>13500.800000000001</v>
      </c>
      <c r="E132" s="21">
        <f t="shared" si="29"/>
        <v>0</v>
      </c>
      <c r="F132" s="21">
        <f t="shared" si="29"/>
        <v>0</v>
      </c>
      <c r="G132" s="21">
        <f t="shared" si="29"/>
        <v>22079.6</v>
      </c>
      <c r="H132" s="21">
        <f t="shared" si="29"/>
        <v>0</v>
      </c>
      <c r="I132" s="21">
        <f t="shared" si="29"/>
        <v>183658.9</v>
      </c>
      <c r="J132" s="21">
        <f t="shared" si="29"/>
        <v>148078.5</v>
      </c>
      <c r="K132" s="21">
        <f t="shared" si="29"/>
        <v>13500.800000000001</v>
      </c>
      <c r="L132" s="21">
        <f t="shared" si="29"/>
        <v>0</v>
      </c>
      <c r="M132" s="21">
        <f t="shared" si="29"/>
        <v>0</v>
      </c>
      <c r="N132" s="21">
        <f t="shared" si="29"/>
        <v>22079.6</v>
      </c>
      <c r="O132" s="21">
        <f t="shared" si="29"/>
        <v>0</v>
      </c>
      <c r="P132" s="29">
        <f t="shared" si="28"/>
        <v>100</v>
      </c>
    </row>
    <row r="133" spans="1:16" ht="12.75" customHeight="1">
      <c r="A133" s="140" t="s">
        <v>120</v>
      </c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2"/>
    </row>
    <row r="134" spans="1:16" ht="27" customHeight="1">
      <c r="A134" s="15" t="s">
        <v>121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1"/>
    </row>
    <row r="135" spans="1:16" ht="30">
      <c r="A135" s="80" t="s">
        <v>122</v>
      </c>
      <c r="B135" s="10">
        <f>C135+D135+E135+F135+G135+H135</f>
        <v>6700</v>
      </c>
      <c r="C135" s="32"/>
      <c r="D135" s="32">
        <v>2000</v>
      </c>
      <c r="E135" s="32"/>
      <c r="F135" s="32"/>
      <c r="G135" s="32"/>
      <c r="H135" s="32">
        <v>4700</v>
      </c>
      <c r="I135" s="10">
        <f>J135+K135+L135+M135+N135+O135</f>
        <v>0</v>
      </c>
      <c r="J135" s="58"/>
      <c r="K135" s="58"/>
      <c r="L135" s="58"/>
      <c r="M135" s="58"/>
      <c r="N135" s="58"/>
      <c r="O135" s="58"/>
      <c r="P135" s="63">
        <f>I135/B135*100</f>
        <v>0</v>
      </c>
    </row>
    <row r="136" spans="1:16" ht="15">
      <c r="A136" s="19" t="s">
        <v>78</v>
      </c>
      <c r="B136" s="21">
        <f>B135</f>
        <v>6700</v>
      </c>
      <c r="C136" s="21">
        <f aca="true" t="shared" si="30" ref="C136:O136">C135</f>
        <v>0</v>
      </c>
      <c r="D136" s="21">
        <f t="shared" si="30"/>
        <v>2000</v>
      </c>
      <c r="E136" s="21">
        <f t="shared" si="30"/>
        <v>0</v>
      </c>
      <c r="F136" s="21">
        <f t="shared" si="30"/>
        <v>0</v>
      </c>
      <c r="G136" s="21">
        <f t="shared" si="30"/>
        <v>0</v>
      </c>
      <c r="H136" s="21">
        <f t="shared" si="30"/>
        <v>4700</v>
      </c>
      <c r="I136" s="21">
        <f t="shared" si="30"/>
        <v>0</v>
      </c>
      <c r="J136" s="21">
        <f t="shared" si="30"/>
        <v>0</v>
      </c>
      <c r="K136" s="21">
        <f t="shared" si="30"/>
        <v>0</v>
      </c>
      <c r="L136" s="21">
        <f t="shared" si="30"/>
        <v>0</v>
      </c>
      <c r="M136" s="21">
        <f t="shared" si="30"/>
        <v>0</v>
      </c>
      <c r="N136" s="21">
        <f t="shared" si="30"/>
        <v>0</v>
      </c>
      <c r="O136" s="21">
        <f t="shared" si="30"/>
        <v>0</v>
      </c>
      <c r="P136" s="29">
        <f>I136/B136*100</f>
        <v>0</v>
      </c>
    </row>
    <row r="137" spans="1:16" ht="15">
      <c r="A137" s="140" t="s">
        <v>123</v>
      </c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2"/>
    </row>
    <row r="138" spans="1:16" ht="27.75" customHeight="1">
      <c r="A138" s="15" t="s">
        <v>121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1"/>
    </row>
    <row r="139" spans="1:16" ht="45" customHeight="1">
      <c r="A139" s="80" t="s">
        <v>124</v>
      </c>
      <c r="B139" s="10">
        <f>C139+D139+E139+F139+G139+H139</f>
        <v>0</v>
      </c>
      <c r="C139" s="58"/>
      <c r="D139" s="58"/>
      <c r="E139" s="58"/>
      <c r="F139" s="58"/>
      <c r="G139" s="58"/>
      <c r="H139" s="58"/>
      <c r="I139" s="10">
        <f>J139+K139+L139+M139+N139+O139</f>
        <v>0</v>
      </c>
      <c r="J139" s="58"/>
      <c r="K139" s="58"/>
      <c r="L139" s="58"/>
      <c r="M139" s="58"/>
      <c r="N139" s="58"/>
      <c r="O139" s="58"/>
      <c r="P139" s="63" t="e">
        <f>I139/B139*100</f>
        <v>#DIV/0!</v>
      </c>
    </row>
    <row r="140" spans="1:16" ht="15">
      <c r="A140" s="19" t="s">
        <v>79</v>
      </c>
      <c r="B140" s="21">
        <f>B139</f>
        <v>0</v>
      </c>
      <c r="C140" s="21">
        <f aca="true" t="shared" si="31" ref="C140:O140">C139</f>
        <v>0</v>
      </c>
      <c r="D140" s="21">
        <f t="shared" si="31"/>
        <v>0</v>
      </c>
      <c r="E140" s="21">
        <f t="shared" si="31"/>
        <v>0</v>
      </c>
      <c r="F140" s="21">
        <f t="shared" si="31"/>
        <v>0</v>
      </c>
      <c r="G140" s="21">
        <f t="shared" si="31"/>
        <v>0</v>
      </c>
      <c r="H140" s="21">
        <f t="shared" si="31"/>
        <v>0</v>
      </c>
      <c r="I140" s="21">
        <f t="shared" si="31"/>
        <v>0</v>
      </c>
      <c r="J140" s="21">
        <f t="shared" si="31"/>
        <v>0</v>
      </c>
      <c r="K140" s="21">
        <f t="shared" si="31"/>
        <v>0</v>
      </c>
      <c r="L140" s="21">
        <f t="shared" si="31"/>
        <v>0</v>
      </c>
      <c r="M140" s="21">
        <f t="shared" si="31"/>
        <v>0</v>
      </c>
      <c r="N140" s="21">
        <f t="shared" si="31"/>
        <v>0</v>
      </c>
      <c r="O140" s="21">
        <f t="shared" si="31"/>
        <v>0</v>
      </c>
      <c r="P140" s="29" t="e">
        <f>I140/B140*100</f>
        <v>#DIV/0!</v>
      </c>
    </row>
    <row r="141" spans="1:16" ht="63">
      <c r="A141" s="18" t="s">
        <v>131</v>
      </c>
      <c r="B141" s="30">
        <f>B48+B59+B69+B78+B82+B86+B92+B101+B106+B112+B123+B132+B136+B140</f>
        <v>1748431.5</v>
      </c>
      <c r="C141" s="30">
        <f>C48+C59+C69+C78+C82+C86+C92+C101+C106+C112+C123+C132+C136+C140</f>
        <v>877887.6</v>
      </c>
      <c r="D141" s="30">
        <f aca="true" t="shared" si="32" ref="D141:O141">D48+D59+D69+D78+D82+D86+D92+D101+D106+D112+D123+D132+D136+D140</f>
        <v>274870.5</v>
      </c>
      <c r="E141" s="30">
        <f t="shared" si="32"/>
        <v>0</v>
      </c>
      <c r="F141" s="30">
        <f t="shared" si="32"/>
        <v>0</v>
      </c>
      <c r="G141" s="30">
        <f>G48+G59+G69+G78+G82+G86+G92+G101+G106+G112+G123+G132+G136+G140</f>
        <v>590973.4</v>
      </c>
      <c r="H141" s="30">
        <f t="shared" si="32"/>
        <v>4700</v>
      </c>
      <c r="I141" s="30">
        <f t="shared" si="32"/>
        <v>1500095.5999999999</v>
      </c>
      <c r="J141" s="30">
        <f t="shared" si="32"/>
        <v>825855.6</v>
      </c>
      <c r="K141" s="30">
        <f>K48+K59+K69+K78+K82+K86+K92+K101+K106+K112+K123+K132+K136+K140</f>
        <v>195249.19999999995</v>
      </c>
      <c r="L141" s="30">
        <f t="shared" si="32"/>
        <v>0</v>
      </c>
      <c r="M141" s="30">
        <f t="shared" si="32"/>
        <v>0</v>
      </c>
      <c r="N141" s="30">
        <f t="shared" si="32"/>
        <v>478990.8</v>
      </c>
      <c r="O141" s="30">
        <f t="shared" si="32"/>
        <v>0</v>
      </c>
      <c r="P141" s="31">
        <f>I141/B141*100</f>
        <v>85.79664688036105</v>
      </c>
    </row>
    <row r="142" spans="1:16" s="73" customFormat="1" ht="15" hidden="1">
      <c r="A142" s="56"/>
      <c r="B142" s="56"/>
      <c r="C142" s="55" t="e">
        <f>#REF!+#REF!</f>
        <v>#REF!</v>
      </c>
      <c r="D142" s="56"/>
      <c r="E142" s="55" t="e">
        <f>#REF!+#REF!</f>
        <v>#REF!</v>
      </c>
      <c r="F142" s="56"/>
      <c r="G142" s="55" t="e">
        <f>#REF!+#REF!</f>
        <v>#REF!</v>
      </c>
      <c r="H142" s="56"/>
      <c r="I142" s="56"/>
      <c r="J142" s="56"/>
      <c r="K142" s="56"/>
      <c r="L142" s="56"/>
      <c r="M142" s="56"/>
      <c r="N142" s="56"/>
      <c r="O142" s="56"/>
      <c r="P142" s="56"/>
    </row>
    <row r="143" spans="1:16" s="73" customFormat="1" ht="15" hidden="1">
      <c r="A143" s="56"/>
      <c r="B143" s="55" t="e">
        <f>C143+D143</f>
        <v>#REF!</v>
      </c>
      <c r="C143" s="55" t="e">
        <f>#REF!+#REF!+#REF!</f>
        <v>#REF!</v>
      </c>
      <c r="D143" s="55" t="e">
        <f>#REF!+#REF!+#REF!</f>
        <v>#REF!</v>
      </c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s="73" customFormat="1" ht="18.75">
      <c r="A144" s="74"/>
      <c r="B144" s="56"/>
      <c r="C144" s="55"/>
      <c r="D144" s="55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</row>
    <row r="145" spans="1:16" ht="18.75">
      <c r="A145" s="40" t="s">
        <v>35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144" t="s">
        <v>126</v>
      </c>
      <c r="L145" s="144"/>
      <c r="M145" s="144"/>
      <c r="N145" s="144"/>
      <c r="O145" s="39"/>
      <c r="P145" s="39"/>
    </row>
    <row r="146" spans="1:16" ht="15.75">
      <c r="A146" s="4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>
      <c r="A147" s="4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ht="15.75">
      <c r="A148" s="41" t="s">
        <v>128</v>
      </c>
    </row>
    <row r="149" ht="15.75">
      <c r="A149" s="41" t="s">
        <v>84</v>
      </c>
    </row>
  </sheetData>
  <sheetProtection/>
  <mergeCells count="44">
    <mergeCell ref="D13:M13"/>
    <mergeCell ref="D14:M14"/>
    <mergeCell ref="A60:P60"/>
    <mergeCell ref="P34:P37"/>
    <mergeCell ref="C35:F35"/>
    <mergeCell ref="G35:H36"/>
    <mergeCell ref="L36:M36"/>
    <mergeCell ref="A39:P39"/>
    <mergeCell ref="C36:D36"/>
    <mergeCell ref="E36:F36"/>
    <mergeCell ref="J36:K36"/>
    <mergeCell ref="I34:I37"/>
    <mergeCell ref="J34:O34"/>
    <mergeCell ref="A49:P49"/>
    <mergeCell ref="P32:P33"/>
    <mergeCell ref="B33:H33"/>
    <mergeCell ref="I33:O33"/>
    <mergeCell ref="C34:H34"/>
    <mergeCell ref="N1:P1"/>
    <mergeCell ref="N2:P2"/>
    <mergeCell ref="A5:P5"/>
    <mergeCell ref="A6:P6"/>
    <mergeCell ref="D8:J8"/>
    <mergeCell ref="D10:J10"/>
    <mergeCell ref="D11:J11"/>
    <mergeCell ref="A102:P102"/>
    <mergeCell ref="D9:J9"/>
    <mergeCell ref="K145:N145"/>
    <mergeCell ref="A32:A37"/>
    <mergeCell ref="B32:H32"/>
    <mergeCell ref="I32:O32"/>
    <mergeCell ref="J35:M35"/>
    <mergeCell ref="N35:O36"/>
    <mergeCell ref="B34:B37"/>
    <mergeCell ref="A107:P107"/>
    <mergeCell ref="A113:P113"/>
    <mergeCell ref="A124:P124"/>
    <mergeCell ref="A133:P133"/>
    <mergeCell ref="A137:P137"/>
    <mergeCell ref="A70:P70"/>
    <mergeCell ref="A79:P79"/>
    <mergeCell ref="A83:P83"/>
    <mergeCell ref="A87:P87"/>
    <mergeCell ref="A93:P93"/>
  </mergeCells>
  <printOptions/>
  <pageMargins left="0.1968503937007874" right="0.1968503937007874" top="0.984251968503937" bottom="0.3937007874015748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1"/>
  <sheetViews>
    <sheetView zoomScale="84" zoomScaleNormal="84" zoomScalePageLayoutView="0" workbookViewId="0" topLeftCell="A103">
      <selection activeCell="A119" sqref="A119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9.57421875" style="0" bestFit="1" customWidth="1"/>
    <col min="16" max="16" width="18.7109375" style="0" customWidth="1"/>
    <col min="17" max="18" width="14.57421875" style="0" customWidth="1"/>
  </cols>
  <sheetData>
    <row r="1" spans="14:16" ht="15.75">
      <c r="N1" s="145" t="s">
        <v>36</v>
      </c>
      <c r="O1" s="145"/>
      <c r="P1" s="145"/>
    </row>
    <row r="2" spans="14:16" ht="90.75" customHeight="1">
      <c r="N2" s="128" t="s">
        <v>137</v>
      </c>
      <c r="O2" s="128"/>
      <c r="P2" s="128"/>
    </row>
    <row r="3" spans="14:16" ht="15.75">
      <c r="N3" s="23" t="s">
        <v>138</v>
      </c>
      <c r="O3" s="23"/>
      <c r="P3" s="23"/>
    </row>
    <row r="4" spans="14:16" ht="15.75">
      <c r="N4" s="23"/>
      <c r="O4" s="23"/>
      <c r="P4" s="23"/>
    </row>
    <row r="5" spans="1:16" ht="18.75">
      <c r="A5" s="129" t="s">
        <v>24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38.25" customHeight="1">
      <c r="A6" s="130" t="s">
        <v>133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8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8.75">
      <c r="A8" s="79" t="s">
        <v>25</v>
      </c>
      <c r="B8" s="79">
        <v>10</v>
      </c>
      <c r="C8" s="79"/>
      <c r="D8" s="131" t="s">
        <v>26</v>
      </c>
      <c r="E8" s="131"/>
      <c r="F8" s="131"/>
      <c r="G8" s="131"/>
      <c r="H8" s="131"/>
      <c r="I8" s="131"/>
      <c r="J8" s="131"/>
      <c r="K8" s="79"/>
      <c r="L8" s="79"/>
      <c r="M8" s="79"/>
      <c r="N8" s="79"/>
      <c r="O8" s="79"/>
      <c r="P8" s="79"/>
    </row>
    <row r="9" spans="1:16" ht="18.75">
      <c r="A9" s="79"/>
      <c r="B9" s="79" t="s">
        <v>27</v>
      </c>
      <c r="C9" s="79"/>
      <c r="D9" s="132" t="s">
        <v>28</v>
      </c>
      <c r="E9" s="132"/>
      <c r="F9" s="132"/>
      <c r="G9" s="132"/>
      <c r="H9" s="132"/>
      <c r="I9" s="132"/>
      <c r="J9" s="132"/>
      <c r="K9" s="79"/>
      <c r="L9" s="79"/>
      <c r="M9" s="79"/>
      <c r="N9" s="79"/>
      <c r="O9" s="79"/>
      <c r="P9" s="79"/>
    </row>
    <row r="10" spans="1:16" ht="18.75">
      <c r="A10" s="79" t="s">
        <v>29</v>
      </c>
      <c r="B10" s="79"/>
      <c r="C10" s="79"/>
      <c r="D10" s="131" t="s">
        <v>26</v>
      </c>
      <c r="E10" s="131"/>
      <c r="F10" s="131"/>
      <c r="G10" s="131"/>
      <c r="H10" s="131"/>
      <c r="I10" s="131"/>
      <c r="J10" s="131"/>
      <c r="K10" s="79"/>
      <c r="L10" s="79"/>
      <c r="M10" s="79"/>
      <c r="N10" s="79"/>
      <c r="O10" s="79"/>
      <c r="P10" s="79"/>
    </row>
    <row r="11" spans="4:10" ht="15">
      <c r="D11" s="136" t="s">
        <v>30</v>
      </c>
      <c r="E11" s="136"/>
      <c r="F11" s="136"/>
      <c r="G11" s="136"/>
      <c r="H11" s="136"/>
      <c r="I11" s="136"/>
      <c r="J11" s="136"/>
    </row>
    <row r="12" spans="1:13" ht="18.75">
      <c r="A12" s="78" t="s">
        <v>31</v>
      </c>
      <c r="B12" s="27">
        <v>611010</v>
      </c>
      <c r="D12" s="82" t="s">
        <v>87</v>
      </c>
      <c r="E12" s="82"/>
      <c r="F12" s="82"/>
      <c r="G12" s="82"/>
      <c r="H12" s="82"/>
      <c r="I12" s="82"/>
      <c r="J12" s="82"/>
      <c r="K12" s="82"/>
      <c r="L12" s="82"/>
      <c r="M12" s="82"/>
    </row>
    <row r="13" spans="1:13" ht="15.75">
      <c r="A13" s="22"/>
      <c r="B13" s="27">
        <v>611020</v>
      </c>
      <c r="D13" s="137" t="s">
        <v>85</v>
      </c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3" ht="15">
      <c r="A14" s="22"/>
      <c r="B14" s="27">
        <v>611030</v>
      </c>
      <c r="D14" s="136" t="s">
        <v>32</v>
      </c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2" ht="15">
      <c r="A15" s="22"/>
      <c r="B15" s="27">
        <v>611070</v>
      </c>
    </row>
    <row r="16" spans="1:2" ht="15">
      <c r="A16" s="22"/>
      <c r="B16" s="27">
        <v>611090</v>
      </c>
    </row>
    <row r="17" spans="1:2" ht="15">
      <c r="A17" s="22"/>
      <c r="B17" s="27">
        <v>611150</v>
      </c>
    </row>
    <row r="18" spans="1:2" ht="15">
      <c r="A18" s="22"/>
      <c r="B18" s="27">
        <v>611160</v>
      </c>
    </row>
    <row r="19" spans="1:2" ht="15">
      <c r="A19" s="22"/>
      <c r="B19" s="28">
        <v>617363</v>
      </c>
    </row>
    <row r="20" ht="15">
      <c r="B20" s="26" t="s">
        <v>33</v>
      </c>
    </row>
    <row r="22" spans="1:16" ht="22.5" customHeight="1">
      <c r="A22" s="139" t="s">
        <v>0</v>
      </c>
      <c r="B22" s="139" t="s">
        <v>1</v>
      </c>
      <c r="C22" s="139"/>
      <c r="D22" s="139"/>
      <c r="E22" s="139"/>
      <c r="F22" s="139"/>
      <c r="G22" s="139"/>
      <c r="H22" s="139"/>
      <c r="I22" s="139" t="s">
        <v>2</v>
      </c>
      <c r="J22" s="139"/>
      <c r="K22" s="139"/>
      <c r="L22" s="139"/>
      <c r="M22" s="139"/>
      <c r="N22" s="139"/>
      <c r="O22" s="139"/>
      <c r="P22" s="139" t="s">
        <v>3</v>
      </c>
    </row>
    <row r="23" spans="1:16" ht="24.75" customHeight="1">
      <c r="A23" s="139"/>
      <c r="B23" s="139" t="s">
        <v>127</v>
      </c>
      <c r="C23" s="139"/>
      <c r="D23" s="139"/>
      <c r="E23" s="139"/>
      <c r="F23" s="139"/>
      <c r="G23" s="139"/>
      <c r="H23" s="139"/>
      <c r="I23" s="139" t="s">
        <v>127</v>
      </c>
      <c r="J23" s="139"/>
      <c r="K23" s="139"/>
      <c r="L23" s="139"/>
      <c r="M23" s="139"/>
      <c r="N23" s="139"/>
      <c r="O23" s="139"/>
      <c r="P23" s="139"/>
    </row>
    <row r="24" spans="1:16" ht="15.75" customHeight="1">
      <c r="A24" s="139"/>
      <c r="B24" s="143" t="s">
        <v>4</v>
      </c>
      <c r="C24" s="139" t="s">
        <v>5</v>
      </c>
      <c r="D24" s="139"/>
      <c r="E24" s="139"/>
      <c r="F24" s="139"/>
      <c r="G24" s="139"/>
      <c r="H24" s="139"/>
      <c r="I24" s="139" t="s">
        <v>4</v>
      </c>
      <c r="J24" s="139" t="s">
        <v>5</v>
      </c>
      <c r="K24" s="139"/>
      <c r="L24" s="139"/>
      <c r="M24" s="139"/>
      <c r="N24" s="139"/>
      <c r="O24" s="139"/>
      <c r="P24" s="139"/>
    </row>
    <row r="25" spans="1:16" ht="22.5" customHeight="1">
      <c r="A25" s="139"/>
      <c r="B25" s="143"/>
      <c r="C25" s="139" t="s">
        <v>10</v>
      </c>
      <c r="D25" s="139"/>
      <c r="E25" s="139"/>
      <c r="F25" s="139"/>
      <c r="G25" s="139" t="s">
        <v>11</v>
      </c>
      <c r="H25" s="139"/>
      <c r="I25" s="139"/>
      <c r="J25" s="139" t="s">
        <v>10</v>
      </c>
      <c r="K25" s="139"/>
      <c r="L25" s="139"/>
      <c r="M25" s="139"/>
      <c r="N25" s="139" t="s">
        <v>11</v>
      </c>
      <c r="O25" s="139"/>
      <c r="P25" s="139"/>
    </row>
    <row r="26" spans="1:16" ht="15">
      <c r="A26" s="139"/>
      <c r="B26" s="143"/>
      <c r="C26" s="139" t="s">
        <v>6</v>
      </c>
      <c r="D26" s="139"/>
      <c r="E26" s="139" t="s">
        <v>7</v>
      </c>
      <c r="F26" s="139"/>
      <c r="G26" s="139"/>
      <c r="H26" s="139"/>
      <c r="I26" s="139"/>
      <c r="J26" s="139" t="s">
        <v>6</v>
      </c>
      <c r="K26" s="139"/>
      <c r="L26" s="139" t="s">
        <v>7</v>
      </c>
      <c r="M26" s="139"/>
      <c r="N26" s="139"/>
      <c r="O26" s="139"/>
      <c r="P26" s="139"/>
    </row>
    <row r="27" spans="1:16" ht="45.75" customHeight="1">
      <c r="A27" s="139"/>
      <c r="B27" s="143"/>
      <c r="C27" s="77" t="s">
        <v>8</v>
      </c>
      <c r="D27" s="77" t="s">
        <v>9</v>
      </c>
      <c r="E27" s="77" t="s">
        <v>8</v>
      </c>
      <c r="F27" s="77" t="s">
        <v>9</v>
      </c>
      <c r="G27" s="77" t="s">
        <v>8</v>
      </c>
      <c r="H27" s="77" t="s">
        <v>9</v>
      </c>
      <c r="I27" s="139"/>
      <c r="J27" s="77" t="s">
        <v>8</v>
      </c>
      <c r="K27" s="77" t="s">
        <v>9</v>
      </c>
      <c r="L27" s="77" t="s">
        <v>8</v>
      </c>
      <c r="M27" s="77" t="s">
        <v>9</v>
      </c>
      <c r="N27" s="77" t="s">
        <v>8</v>
      </c>
      <c r="O27" s="77" t="s">
        <v>9</v>
      </c>
      <c r="P27" s="139"/>
    </row>
    <row r="28" spans="1:16" ht="15">
      <c r="A28" s="2">
        <v>1</v>
      </c>
      <c r="B28" s="2">
        <v>2</v>
      </c>
      <c r="C28" s="2">
        <v>3</v>
      </c>
      <c r="D28" s="2">
        <v>4</v>
      </c>
      <c r="E28" s="2">
        <v>5</v>
      </c>
      <c r="F28" s="2">
        <v>6</v>
      </c>
      <c r="G28" s="2">
        <v>7</v>
      </c>
      <c r="H28" s="2">
        <v>8</v>
      </c>
      <c r="I28" s="2">
        <v>9</v>
      </c>
      <c r="J28" s="2">
        <v>10</v>
      </c>
      <c r="K28" s="2">
        <v>11</v>
      </c>
      <c r="L28" s="2">
        <v>12</v>
      </c>
      <c r="M28" s="2">
        <v>13</v>
      </c>
      <c r="N28" s="2">
        <v>14</v>
      </c>
      <c r="O28" s="2">
        <v>15</v>
      </c>
      <c r="P28" s="2">
        <v>16</v>
      </c>
    </row>
    <row r="29" spans="1:16" ht="15">
      <c r="A29" s="146" t="s">
        <v>37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</row>
    <row r="30" spans="1:16" ht="17.25" customHeight="1">
      <c r="A30" s="12" t="s">
        <v>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4"/>
    </row>
    <row r="31" spans="1:16" ht="30.75" customHeight="1">
      <c r="A31" s="5" t="s">
        <v>39</v>
      </c>
      <c r="B31" s="8">
        <f aca="true" t="shared" si="0" ref="B31:B38">C31+D31+E31+F31+G31+H31</f>
        <v>324899.2</v>
      </c>
      <c r="C31" s="8">
        <v>324499.2</v>
      </c>
      <c r="D31" s="8"/>
      <c r="E31" s="8"/>
      <c r="F31" s="8"/>
      <c r="G31" s="8">
        <v>400</v>
      </c>
      <c r="H31" s="8"/>
      <c r="I31" s="8">
        <f aca="true" t="shared" si="1" ref="I31:I37">J31+K31+L31+M31+N31+O31</f>
        <v>0</v>
      </c>
      <c r="J31" s="8"/>
      <c r="K31" s="8"/>
      <c r="L31" s="8"/>
      <c r="M31" s="8"/>
      <c r="N31" s="8"/>
      <c r="O31" s="8"/>
      <c r="P31" s="63">
        <f>I31/B31*100</f>
        <v>0</v>
      </c>
    </row>
    <row r="32" spans="1:16" ht="30.75" customHeight="1">
      <c r="A32" s="5" t="s">
        <v>40</v>
      </c>
      <c r="B32" s="8">
        <f t="shared" si="0"/>
        <v>42923.7</v>
      </c>
      <c r="C32" s="8">
        <v>13983.5</v>
      </c>
      <c r="D32" s="8">
        <v>28940.2</v>
      </c>
      <c r="E32" s="8"/>
      <c r="F32" s="8"/>
      <c r="G32" s="8"/>
      <c r="H32" s="8"/>
      <c r="I32" s="8">
        <f t="shared" si="1"/>
        <v>0</v>
      </c>
      <c r="J32" s="64"/>
      <c r="K32" s="64"/>
      <c r="L32" s="8"/>
      <c r="M32" s="8"/>
      <c r="N32" s="8"/>
      <c r="O32" s="8"/>
      <c r="P32" s="63">
        <f aca="true" t="shared" si="2" ref="P32:P37">I32/B32*100</f>
        <v>0</v>
      </c>
    </row>
    <row r="33" spans="1:16" ht="30.75" customHeight="1">
      <c r="A33" s="5" t="s">
        <v>41</v>
      </c>
      <c r="B33" s="8">
        <f t="shared" si="0"/>
        <v>68410.6</v>
      </c>
      <c r="C33" s="8">
        <v>66990.6</v>
      </c>
      <c r="D33" s="8">
        <v>1300</v>
      </c>
      <c r="E33" s="8"/>
      <c r="F33" s="8"/>
      <c r="G33" s="8">
        <v>120</v>
      </c>
      <c r="H33" s="8"/>
      <c r="I33" s="8">
        <f t="shared" si="1"/>
        <v>0</v>
      </c>
      <c r="J33" s="8"/>
      <c r="K33" s="8"/>
      <c r="L33" s="8"/>
      <c r="M33" s="8"/>
      <c r="N33" s="8"/>
      <c r="O33" s="8"/>
      <c r="P33" s="63">
        <f t="shared" si="2"/>
        <v>0</v>
      </c>
    </row>
    <row r="34" spans="1:16" ht="24.75" customHeight="1" hidden="1">
      <c r="A34" s="4" t="s">
        <v>42</v>
      </c>
      <c r="B34" s="8">
        <f t="shared" si="0"/>
        <v>0</v>
      </c>
      <c r="C34" s="8"/>
      <c r="D34" s="8"/>
      <c r="E34" s="8"/>
      <c r="F34" s="8"/>
      <c r="G34" s="8"/>
      <c r="H34" s="8"/>
      <c r="I34" s="8">
        <f t="shared" si="1"/>
        <v>0</v>
      </c>
      <c r="J34" s="8"/>
      <c r="K34" s="8"/>
      <c r="L34" s="8"/>
      <c r="M34" s="8"/>
      <c r="N34" s="8"/>
      <c r="O34" s="8"/>
      <c r="P34" s="63" t="e">
        <f t="shared" si="2"/>
        <v>#DIV/0!</v>
      </c>
    </row>
    <row r="35" spans="1:16" ht="30.75" customHeight="1" hidden="1">
      <c r="A35" s="5" t="s">
        <v>43</v>
      </c>
      <c r="B35" s="8">
        <f t="shared" si="0"/>
        <v>0</v>
      </c>
      <c r="C35" s="8"/>
      <c r="D35" s="8"/>
      <c r="E35" s="8"/>
      <c r="F35" s="8"/>
      <c r="G35" s="8"/>
      <c r="H35" s="8"/>
      <c r="I35" s="8">
        <f t="shared" si="1"/>
        <v>0</v>
      </c>
      <c r="J35" s="8"/>
      <c r="K35" s="8"/>
      <c r="L35" s="8"/>
      <c r="M35" s="8"/>
      <c r="N35" s="8"/>
      <c r="O35" s="8"/>
      <c r="P35" s="63" t="e">
        <f t="shared" si="2"/>
        <v>#DIV/0!</v>
      </c>
    </row>
    <row r="36" spans="1:16" ht="30.75" customHeight="1" hidden="1">
      <c r="A36" s="5" t="s">
        <v>44</v>
      </c>
      <c r="B36" s="8">
        <f>C36+D36+E36+F36+G36+H36</f>
        <v>0</v>
      </c>
      <c r="C36" s="8"/>
      <c r="D36" s="8"/>
      <c r="E36" s="8"/>
      <c r="F36" s="8"/>
      <c r="G36" s="8"/>
      <c r="H36" s="8"/>
      <c r="I36" s="8">
        <f t="shared" si="1"/>
        <v>0</v>
      </c>
      <c r="J36" s="8"/>
      <c r="K36" s="8"/>
      <c r="L36" s="8"/>
      <c r="M36" s="8"/>
      <c r="N36" s="8"/>
      <c r="O36" s="8"/>
      <c r="P36" s="63" t="e">
        <f t="shared" si="2"/>
        <v>#DIV/0!</v>
      </c>
    </row>
    <row r="37" spans="1:16" ht="30.75" customHeight="1" hidden="1">
      <c r="A37" s="5" t="s">
        <v>45</v>
      </c>
      <c r="B37" s="8">
        <f>C37+D37+E37+F37+G37+H37</f>
        <v>0</v>
      </c>
      <c r="C37" s="8"/>
      <c r="D37" s="8"/>
      <c r="E37" s="8"/>
      <c r="F37" s="8"/>
      <c r="G37" s="8"/>
      <c r="H37" s="8"/>
      <c r="I37" s="8">
        <f t="shared" si="1"/>
        <v>0</v>
      </c>
      <c r="J37" s="8"/>
      <c r="K37" s="8"/>
      <c r="L37" s="8"/>
      <c r="M37" s="8"/>
      <c r="N37" s="8"/>
      <c r="O37" s="8"/>
      <c r="P37" s="63" t="e">
        <f t="shared" si="2"/>
        <v>#DIV/0!</v>
      </c>
    </row>
    <row r="38" spans="1:18" ht="15">
      <c r="A38" s="19" t="s">
        <v>12</v>
      </c>
      <c r="B38" s="21">
        <f t="shared" si="0"/>
        <v>436233.50000000006</v>
      </c>
      <c r="C38" s="21">
        <f aca="true" t="shared" si="3" ref="C38:O38">SUM(C30:C37)</f>
        <v>405473.30000000005</v>
      </c>
      <c r="D38" s="21">
        <f t="shared" si="3"/>
        <v>30240.2</v>
      </c>
      <c r="E38" s="21">
        <f t="shared" si="3"/>
        <v>0</v>
      </c>
      <c r="F38" s="21">
        <f t="shared" si="3"/>
        <v>0</v>
      </c>
      <c r="G38" s="21">
        <f t="shared" si="3"/>
        <v>520</v>
      </c>
      <c r="H38" s="21">
        <f t="shared" si="3"/>
        <v>0</v>
      </c>
      <c r="I38" s="21">
        <f t="shared" si="3"/>
        <v>0</v>
      </c>
      <c r="J38" s="21">
        <f t="shared" si="3"/>
        <v>0</v>
      </c>
      <c r="K38" s="21">
        <f t="shared" si="3"/>
        <v>0</v>
      </c>
      <c r="L38" s="21">
        <f t="shared" si="3"/>
        <v>0</v>
      </c>
      <c r="M38" s="21">
        <f t="shared" si="3"/>
        <v>0</v>
      </c>
      <c r="N38" s="21">
        <f t="shared" si="3"/>
        <v>0</v>
      </c>
      <c r="O38" s="21">
        <f t="shared" si="3"/>
        <v>0</v>
      </c>
      <c r="P38" s="29">
        <f>I38/B38*100</f>
        <v>0</v>
      </c>
      <c r="Q38" s="62"/>
      <c r="R38" s="62"/>
    </row>
    <row r="39" spans="1:16" ht="15.75">
      <c r="A39" s="138" t="s">
        <v>46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1:16" ht="21" customHeight="1">
      <c r="A40" s="12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30.75" customHeight="1">
      <c r="A41" s="52" t="s">
        <v>48</v>
      </c>
      <c r="B41" s="36">
        <f aca="true" t="shared" si="4" ref="B41:B49">C41+D41+E41+F41+G41+H41</f>
        <v>0</v>
      </c>
      <c r="C41" s="36"/>
      <c r="D41" s="36"/>
      <c r="E41" s="67"/>
      <c r="F41" s="67"/>
      <c r="G41" s="36"/>
      <c r="H41" s="67"/>
      <c r="I41" s="64">
        <f aca="true" t="shared" si="5" ref="I41:I46">J41+K41+L41+M41+N41+O41</f>
        <v>0</v>
      </c>
      <c r="J41" s="64"/>
      <c r="K41" s="68"/>
      <c r="L41" s="64"/>
      <c r="M41" s="68"/>
      <c r="N41" s="68"/>
      <c r="O41" s="68"/>
      <c r="P41" s="69" t="e">
        <f aca="true" t="shared" si="6" ref="P41:P48">I41/B41*100</f>
        <v>#DIV/0!</v>
      </c>
    </row>
    <row r="42" spans="1:17" ht="41.25" customHeight="1">
      <c r="A42" s="52" t="s">
        <v>49</v>
      </c>
      <c r="B42" s="36">
        <f t="shared" si="4"/>
        <v>0</v>
      </c>
      <c r="C42" s="36"/>
      <c r="D42" s="67"/>
      <c r="E42" s="67"/>
      <c r="F42" s="67"/>
      <c r="G42" s="36"/>
      <c r="H42" s="67"/>
      <c r="I42" s="64">
        <f t="shared" si="5"/>
        <v>0</v>
      </c>
      <c r="J42" s="64"/>
      <c r="K42" s="68"/>
      <c r="L42" s="68"/>
      <c r="M42" s="68"/>
      <c r="N42" s="68"/>
      <c r="O42" s="68"/>
      <c r="P42" s="69" t="e">
        <f t="shared" si="6"/>
        <v>#DIV/0!</v>
      </c>
      <c r="Q42" s="62"/>
    </row>
    <row r="43" spans="1:16" ht="52.5" customHeight="1">
      <c r="A43" s="52" t="s">
        <v>95</v>
      </c>
      <c r="B43" s="36">
        <f t="shared" si="4"/>
        <v>0</v>
      </c>
      <c r="C43" s="36"/>
      <c r="D43" s="67"/>
      <c r="E43" s="67"/>
      <c r="F43" s="67"/>
      <c r="G43" s="67"/>
      <c r="H43" s="67"/>
      <c r="I43" s="64">
        <f t="shared" si="5"/>
        <v>0</v>
      </c>
      <c r="J43" s="64"/>
      <c r="K43" s="68"/>
      <c r="L43" s="68"/>
      <c r="M43" s="68"/>
      <c r="N43" s="68"/>
      <c r="O43" s="68"/>
      <c r="P43" s="69" t="e">
        <f t="shared" si="6"/>
        <v>#DIV/0!</v>
      </c>
    </row>
    <row r="44" spans="1:16" ht="27.75" customHeight="1">
      <c r="A44" s="37" t="s">
        <v>50</v>
      </c>
      <c r="B44" s="36">
        <f t="shared" si="4"/>
        <v>0</v>
      </c>
      <c r="C44" s="36"/>
      <c r="D44" s="67"/>
      <c r="E44" s="67"/>
      <c r="F44" s="67"/>
      <c r="G44" s="36"/>
      <c r="H44" s="67"/>
      <c r="I44" s="64">
        <f t="shared" si="5"/>
        <v>0</v>
      </c>
      <c r="J44" s="64"/>
      <c r="K44" s="68"/>
      <c r="L44" s="68"/>
      <c r="M44" s="68"/>
      <c r="N44" s="70"/>
      <c r="O44" s="68"/>
      <c r="P44" s="69" t="e">
        <f t="shared" si="6"/>
        <v>#DIV/0!</v>
      </c>
    </row>
    <row r="45" spans="1:17" ht="20.25" customHeight="1" hidden="1">
      <c r="A45" s="53" t="s">
        <v>51</v>
      </c>
      <c r="B45" s="36">
        <f t="shared" si="4"/>
        <v>0</v>
      </c>
      <c r="C45" s="36"/>
      <c r="D45" s="67"/>
      <c r="E45" s="67"/>
      <c r="F45" s="67"/>
      <c r="G45" s="67"/>
      <c r="H45" s="67"/>
      <c r="I45" s="64">
        <f t="shared" si="5"/>
        <v>0</v>
      </c>
      <c r="J45" s="64"/>
      <c r="K45" s="68"/>
      <c r="L45" s="68"/>
      <c r="M45" s="68"/>
      <c r="N45" s="68"/>
      <c r="O45" s="68"/>
      <c r="P45" s="69" t="e">
        <f t="shared" si="6"/>
        <v>#DIV/0!</v>
      </c>
      <c r="Q45" s="62"/>
    </row>
    <row r="46" spans="1:16" ht="30.75" customHeight="1" hidden="1">
      <c r="A46" s="52" t="s">
        <v>52</v>
      </c>
      <c r="B46" s="36">
        <f t="shared" si="4"/>
        <v>0</v>
      </c>
      <c r="C46" s="36"/>
      <c r="D46" s="36"/>
      <c r="E46" s="36"/>
      <c r="F46" s="36"/>
      <c r="G46" s="36"/>
      <c r="H46" s="36"/>
      <c r="I46" s="64">
        <f t="shared" si="5"/>
        <v>0</v>
      </c>
      <c r="J46" s="64"/>
      <c r="K46" s="68"/>
      <c r="L46" s="68"/>
      <c r="M46" s="64"/>
      <c r="N46" s="68"/>
      <c r="O46" s="68"/>
      <c r="P46" s="69" t="e">
        <f t="shared" si="6"/>
        <v>#DIV/0!</v>
      </c>
    </row>
    <row r="47" spans="1:16" ht="21.75" customHeight="1" hidden="1">
      <c r="A47" s="54" t="s">
        <v>53</v>
      </c>
      <c r="B47" s="36">
        <f t="shared" si="4"/>
        <v>0</v>
      </c>
      <c r="C47" s="36"/>
      <c r="D47" s="36"/>
      <c r="E47" s="36"/>
      <c r="F47" s="36"/>
      <c r="G47" s="36"/>
      <c r="H47" s="36"/>
      <c r="I47" s="64">
        <f>J47+K47+L47+M47+N47+O47</f>
        <v>0</v>
      </c>
      <c r="J47" s="68"/>
      <c r="K47" s="68"/>
      <c r="L47" s="68"/>
      <c r="M47" s="68"/>
      <c r="N47" s="68"/>
      <c r="O47" s="68"/>
      <c r="P47" s="69" t="e">
        <f t="shared" si="6"/>
        <v>#DIV/0!</v>
      </c>
    </row>
    <row r="48" spans="1:16" ht="30.75" customHeight="1" hidden="1">
      <c r="A48" s="37" t="s">
        <v>54</v>
      </c>
      <c r="B48" s="36">
        <f t="shared" si="4"/>
        <v>0</v>
      </c>
      <c r="C48" s="36"/>
      <c r="D48" s="36"/>
      <c r="E48" s="67"/>
      <c r="F48" s="67"/>
      <c r="G48" s="67"/>
      <c r="H48" s="67"/>
      <c r="I48" s="64">
        <f>J48+K48+L48+M48+N48+O48</f>
        <v>0</v>
      </c>
      <c r="J48" s="68"/>
      <c r="K48" s="64"/>
      <c r="L48" s="68"/>
      <c r="M48" s="68"/>
      <c r="N48" s="68"/>
      <c r="O48" s="68"/>
      <c r="P48" s="69" t="e">
        <f t="shared" si="6"/>
        <v>#DIV/0!</v>
      </c>
    </row>
    <row r="49" spans="1:16" ht="20.25" customHeight="1">
      <c r="A49" s="19" t="s">
        <v>13</v>
      </c>
      <c r="B49" s="21">
        <f t="shared" si="4"/>
        <v>0</v>
      </c>
      <c r="C49" s="21">
        <f aca="true" t="shared" si="7" ref="C49:O49">SUM(C41:C48)</f>
        <v>0</v>
      </c>
      <c r="D49" s="20">
        <f t="shared" si="7"/>
        <v>0</v>
      </c>
      <c r="E49" s="21">
        <f t="shared" si="7"/>
        <v>0</v>
      </c>
      <c r="F49" s="21">
        <f t="shared" si="7"/>
        <v>0</v>
      </c>
      <c r="G49" s="21">
        <f t="shared" si="7"/>
        <v>0</v>
      </c>
      <c r="H49" s="20">
        <f t="shared" si="7"/>
        <v>0</v>
      </c>
      <c r="I49" s="20">
        <f t="shared" si="7"/>
        <v>0</v>
      </c>
      <c r="J49" s="20">
        <f t="shared" si="7"/>
        <v>0</v>
      </c>
      <c r="K49" s="20">
        <f t="shared" si="7"/>
        <v>0</v>
      </c>
      <c r="L49" s="20">
        <f t="shared" si="7"/>
        <v>0</v>
      </c>
      <c r="M49" s="20">
        <f t="shared" si="7"/>
        <v>0</v>
      </c>
      <c r="N49" s="20">
        <f t="shared" si="7"/>
        <v>0</v>
      </c>
      <c r="O49" s="20">
        <f t="shared" si="7"/>
        <v>0</v>
      </c>
      <c r="P49" s="29" t="e">
        <f>I49/B49*100</f>
        <v>#DIV/0!</v>
      </c>
    </row>
    <row r="50" spans="1:16" ht="15.75">
      <c r="A50" s="138" t="s">
        <v>89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1:16" ht="26.25">
      <c r="A51" s="48" t="s">
        <v>55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1:16" ht="27.75" customHeight="1">
      <c r="A52" s="7" t="s">
        <v>96</v>
      </c>
      <c r="B52" s="8">
        <f aca="true" t="shared" si="8" ref="B52:B58">C52+D52+E52+F52+G52+H52</f>
        <v>0</v>
      </c>
      <c r="C52" s="8"/>
      <c r="D52" s="8"/>
      <c r="E52" s="8"/>
      <c r="F52" s="8"/>
      <c r="G52" s="8"/>
      <c r="H52" s="8"/>
      <c r="I52" s="8">
        <f aca="true" t="shared" si="9" ref="I52:I58">J52+K52+L52+M52+N52+O52</f>
        <v>0</v>
      </c>
      <c r="J52" s="8"/>
      <c r="K52" s="8"/>
      <c r="L52" s="8"/>
      <c r="M52" s="8"/>
      <c r="N52" s="8"/>
      <c r="O52" s="8"/>
      <c r="P52" s="63" t="e">
        <f aca="true" t="shared" si="10" ref="P52:P58">I52/B52*100</f>
        <v>#DIV/0!</v>
      </c>
    </row>
    <row r="53" spans="1:16" ht="26.25">
      <c r="A53" s="7" t="s">
        <v>94</v>
      </c>
      <c r="B53" s="8">
        <f t="shared" si="8"/>
        <v>0</v>
      </c>
      <c r="C53" s="8"/>
      <c r="D53" s="8"/>
      <c r="E53" s="8"/>
      <c r="F53" s="8"/>
      <c r="G53" s="8"/>
      <c r="H53" s="8"/>
      <c r="I53" s="8">
        <f t="shared" si="9"/>
        <v>0</v>
      </c>
      <c r="J53" s="8"/>
      <c r="K53" s="8"/>
      <c r="L53" s="8"/>
      <c r="M53" s="8"/>
      <c r="N53" s="8"/>
      <c r="O53" s="8"/>
      <c r="P53" s="63" t="e">
        <f t="shared" si="10"/>
        <v>#DIV/0!</v>
      </c>
    </row>
    <row r="54" spans="1:16" ht="26.25">
      <c r="A54" s="7" t="s">
        <v>97</v>
      </c>
      <c r="B54" s="8">
        <f t="shared" si="8"/>
        <v>0</v>
      </c>
      <c r="C54" s="8"/>
      <c r="D54" s="8"/>
      <c r="E54" s="8"/>
      <c r="F54" s="8"/>
      <c r="G54" s="8"/>
      <c r="H54" s="8"/>
      <c r="I54" s="8">
        <f t="shared" si="9"/>
        <v>0</v>
      </c>
      <c r="J54" s="8"/>
      <c r="K54" s="8"/>
      <c r="L54" s="8"/>
      <c r="M54" s="8"/>
      <c r="N54" s="8"/>
      <c r="O54" s="8"/>
      <c r="P54" s="63" t="e">
        <f t="shared" si="10"/>
        <v>#DIV/0!</v>
      </c>
    </row>
    <row r="55" spans="1:16" ht="39">
      <c r="A55" s="48" t="s">
        <v>90</v>
      </c>
      <c r="B55" s="8">
        <f t="shared" si="8"/>
        <v>0</v>
      </c>
      <c r="C55" s="8"/>
      <c r="D55" s="8"/>
      <c r="E55" s="8"/>
      <c r="F55" s="8"/>
      <c r="G55" s="8"/>
      <c r="H55" s="8"/>
      <c r="I55" s="8">
        <f t="shared" si="9"/>
        <v>0</v>
      </c>
      <c r="J55" s="8"/>
      <c r="K55" s="8"/>
      <c r="L55" s="8"/>
      <c r="M55" s="8"/>
      <c r="N55" s="8"/>
      <c r="O55" s="8"/>
      <c r="P55" s="63" t="e">
        <f t="shared" si="10"/>
        <v>#DIV/0!</v>
      </c>
    </row>
    <row r="56" spans="1:16" ht="26.25">
      <c r="A56" s="7" t="s">
        <v>91</v>
      </c>
      <c r="B56" s="32">
        <f t="shared" si="8"/>
        <v>0</v>
      </c>
      <c r="C56" s="32"/>
      <c r="D56" s="32"/>
      <c r="E56" s="8"/>
      <c r="F56" s="8"/>
      <c r="G56" s="8"/>
      <c r="H56" s="8"/>
      <c r="I56" s="8">
        <f t="shared" si="9"/>
        <v>0</v>
      </c>
      <c r="J56" s="8"/>
      <c r="K56" s="8"/>
      <c r="L56" s="8"/>
      <c r="M56" s="8"/>
      <c r="N56" s="8"/>
      <c r="O56" s="8"/>
      <c r="P56" s="63" t="e">
        <f t="shared" si="10"/>
        <v>#DIV/0!</v>
      </c>
    </row>
    <row r="57" spans="1:16" ht="26.25">
      <c r="A57" s="7" t="s">
        <v>92</v>
      </c>
      <c r="B57" s="32">
        <f t="shared" si="8"/>
        <v>0</v>
      </c>
      <c r="C57" s="32"/>
      <c r="D57" s="32"/>
      <c r="E57" s="8"/>
      <c r="F57" s="8"/>
      <c r="G57" s="8"/>
      <c r="H57" s="8"/>
      <c r="I57" s="8">
        <f t="shared" si="9"/>
        <v>0</v>
      </c>
      <c r="J57" s="8"/>
      <c r="K57" s="8"/>
      <c r="L57" s="8"/>
      <c r="M57" s="8"/>
      <c r="N57" s="8"/>
      <c r="O57" s="8"/>
      <c r="P57" s="63" t="e">
        <f t="shared" si="10"/>
        <v>#DIV/0!</v>
      </c>
    </row>
    <row r="58" spans="1:16" ht="26.25">
      <c r="A58" s="7" t="s">
        <v>93</v>
      </c>
      <c r="B58" s="8">
        <f t="shared" si="8"/>
        <v>0</v>
      </c>
      <c r="C58" s="8"/>
      <c r="D58" s="8"/>
      <c r="E58" s="8"/>
      <c r="F58" s="8"/>
      <c r="G58" s="8"/>
      <c r="H58" s="8"/>
      <c r="I58" s="8">
        <f t="shared" si="9"/>
        <v>0</v>
      </c>
      <c r="J58" s="8"/>
      <c r="K58" s="8"/>
      <c r="L58" s="8"/>
      <c r="M58" s="8"/>
      <c r="N58" s="8"/>
      <c r="O58" s="8"/>
      <c r="P58" s="63" t="e">
        <f t="shared" si="10"/>
        <v>#DIV/0!</v>
      </c>
    </row>
    <row r="59" spans="1:16" ht="15">
      <c r="A59" s="19" t="s">
        <v>14</v>
      </c>
      <c r="B59" s="21">
        <f>SUM(B52:B58)</f>
        <v>0</v>
      </c>
      <c r="C59" s="21">
        <f aca="true" t="shared" si="11" ref="C59:O59">SUM(C52:C58)</f>
        <v>0</v>
      </c>
      <c r="D59" s="21">
        <f t="shared" si="11"/>
        <v>0</v>
      </c>
      <c r="E59" s="21">
        <f t="shared" si="11"/>
        <v>0</v>
      </c>
      <c r="F59" s="21">
        <f t="shared" si="11"/>
        <v>0</v>
      </c>
      <c r="G59" s="21">
        <f t="shared" si="11"/>
        <v>0</v>
      </c>
      <c r="H59" s="21">
        <f t="shared" si="11"/>
        <v>0</v>
      </c>
      <c r="I59" s="21">
        <f t="shared" si="11"/>
        <v>0</v>
      </c>
      <c r="J59" s="21">
        <f t="shared" si="11"/>
        <v>0</v>
      </c>
      <c r="K59" s="21">
        <f t="shared" si="11"/>
        <v>0</v>
      </c>
      <c r="L59" s="21">
        <f t="shared" si="11"/>
        <v>0</v>
      </c>
      <c r="M59" s="21">
        <f t="shared" si="11"/>
        <v>0</v>
      </c>
      <c r="N59" s="21">
        <f t="shared" si="11"/>
        <v>0</v>
      </c>
      <c r="O59" s="21">
        <f t="shared" si="11"/>
        <v>0</v>
      </c>
      <c r="P59" s="29" t="e">
        <f>I59/B59*100</f>
        <v>#DIV/0!</v>
      </c>
    </row>
    <row r="60" spans="1:16" ht="15.75">
      <c r="A60" s="138" t="s">
        <v>98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</row>
    <row r="61" spans="1:16" ht="15">
      <c r="A61" s="12" t="s">
        <v>56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26.25">
      <c r="A62" s="7" t="s">
        <v>57</v>
      </c>
      <c r="B62" s="32">
        <f aca="true" t="shared" si="12" ref="B62:B67">C62+D62+E62+F62+G62+H62</f>
        <v>0</v>
      </c>
      <c r="C62" s="33"/>
      <c r="D62" s="32"/>
      <c r="E62" s="32"/>
      <c r="F62" s="32"/>
      <c r="G62" s="32"/>
      <c r="H62" s="32"/>
      <c r="I62" s="32">
        <f aca="true" t="shared" si="13" ref="I62:I67">J62+K62+L62+M62+N62+O62</f>
        <v>0</v>
      </c>
      <c r="J62" s="32"/>
      <c r="K62" s="32"/>
      <c r="L62" s="32"/>
      <c r="M62" s="32"/>
      <c r="N62" s="32"/>
      <c r="O62" s="32"/>
      <c r="P62" s="63" t="e">
        <f aca="true" t="shared" si="14" ref="P62:P67">I62/B62*100</f>
        <v>#DIV/0!</v>
      </c>
    </row>
    <row r="63" spans="1:16" ht="26.25">
      <c r="A63" s="7" t="s">
        <v>58</v>
      </c>
      <c r="B63" s="32">
        <f t="shared" si="12"/>
        <v>0</v>
      </c>
      <c r="C63" s="33"/>
      <c r="D63" s="32"/>
      <c r="E63" s="32"/>
      <c r="F63" s="32"/>
      <c r="G63" s="32"/>
      <c r="H63" s="32"/>
      <c r="I63" s="32">
        <f t="shared" si="13"/>
        <v>0</v>
      </c>
      <c r="J63" s="32"/>
      <c r="K63" s="32"/>
      <c r="L63" s="32"/>
      <c r="M63" s="32"/>
      <c r="N63" s="32"/>
      <c r="O63" s="32"/>
      <c r="P63" s="63" t="e">
        <f t="shared" si="14"/>
        <v>#DIV/0!</v>
      </c>
    </row>
    <row r="64" spans="1:16" ht="15" hidden="1">
      <c r="A64" s="45" t="s">
        <v>59</v>
      </c>
      <c r="B64" s="32">
        <f t="shared" si="12"/>
        <v>0</v>
      </c>
      <c r="C64" s="32"/>
      <c r="D64" s="32"/>
      <c r="E64" s="32"/>
      <c r="F64" s="32"/>
      <c r="G64" s="32"/>
      <c r="H64" s="32"/>
      <c r="I64" s="32">
        <f t="shared" si="13"/>
        <v>0</v>
      </c>
      <c r="J64" s="32"/>
      <c r="K64" s="32"/>
      <c r="L64" s="32"/>
      <c r="M64" s="32"/>
      <c r="N64" s="32"/>
      <c r="O64" s="32"/>
      <c r="P64" s="63" t="e">
        <f t="shared" si="14"/>
        <v>#DIV/0!</v>
      </c>
    </row>
    <row r="65" spans="1:16" ht="26.25" hidden="1">
      <c r="A65" s="7" t="s">
        <v>60</v>
      </c>
      <c r="B65" s="32">
        <f t="shared" si="12"/>
        <v>0</v>
      </c>
      <c r="C65" s="33"/>
      <c r="D65" s="32"/>
      <c r="E65" s="32"/>
      <c r="F65" s="32"/>
      <c r="G65" s="32"/>
      <c r="H65" s="32"/>
      <c r="I65" s="32">
        <f t="shared" si="13"/>
        <v>0</v>
      </c>
      <c r="J65" s="32"/>
      <c r="K65" s="32"/>
      <c r="L65" s="32"/>
      <c r="M65" s="32"/>
      <c r="N65" s="32"/>
      <c r="O65" s="32"/>
      <c r="P65" s="63" t="e">
        <f t="shared" si="14"/>
        <v>#DIV/0!</v>
      </c>
    </row>
    <row r="66" spans="1:16" ht="15" hidden="1">
      <c r="A66" s="4" t="s">
        <v>61</v>
      </c>
      <c r="B66" s="32">
        <f t="shared" si="12"/>
        <v>0</v>
      </c>
      <c r="C66" s="32"/>
      <c r="D66" s="32"/>
      <c r="E66" s="32"/>
      <c r="F66" s="32"/>
      <c r="G66" s="32"/>
      <c r="H66" s="32"/>
      <c r="I66" s="32">
        <f t="shared" si="13"/>
        <v>0</v>
      </c>
      <c r="J66" s="32"/>
      <c r="K66" s="32"/>
      <c r="L66" s="32"/>
      <c r="M66" s="32"/>
      <c r="N66" s="32"/>
      <c r="O66" s="32"/>
      <c r="P66" s="63" t="e">
        <f t="shared" si="14"/>
        <v>#DIV/0!</v>
      </c>
    </row>
    <row r="67" spans="1:16" ht="26.25" hidden="1">
      <c r="A67" s="5" t="s">
        <v>62</v>
      </c>
      <c r="B67" s="32">
        <f t="shared" si="12"/>
        <v>0</v>
      </c>
      <c r="C67" s="33"/>
      <c r="D67" s="32"/>
      <c r="E67" s="32"/>
      <c r="F67" s="32"/>
      <c r="G67" s="32"/>
      <c r="H67" s="32"/>
      <c r="I67" s="32">
        <f t="shared" si="13"/>
        <v>0</v>
      </c>
      <c r="J67" s="32"/>
      <c r="K67" s="32"/>
      <c r="L67" s="32"/>
      <c r="M67" s="32"/>
      <c r="N67" s="32"/>
      <c r="O67" s="32"/>
      <c r="P67" s="63" t="e">
        <f t="shared" si="14"/>
        <v>#DIV/0!</v>
      </c>
    </row>
    <row r="68" spans="1:16" ht="15">
      <c r="A68" s="19" t="s">
        <v>16</v>
      </c>
      <c r="B68" s="21">
        <f aca="true" t="shared" si="15" ref="B68:O68">SUM(B62:B67)</f>
        <v>0</v>
      </c>
      <c r="C68" s="21">
        <f t="shared" si="15"/>
        <v>0</v>
      </c>
      <c r="D68" s="21">
        <f t="shared" si="15"/>
        <v>0</v>
      </c>
      <c r="E68" s="21">
        <f t="shared" si="15"/>
        <v>0</v>
      </c>
      <c r="F68" s="21">
        <f t="shared" si="15"/>
        <v>0</v>
      </c>
      <c r="G68" s="21">
        <f t="shared" si="15"/>
        <v>0</v>
      </c>
      <c r="H68" s="21">
        <f t="shared" si="15"/>
        <v>0</v>
      </c>
      <c r="I68" s="21">
        <f t="shared" si="15"/>
        <v>0</v>
      </c>
      <c r="J68" s="21">
        <f t="shared" si="15"/>
        <v>0</v>
      </c>
      <c r="K68" s="21">
        <f t="shared" si="15"/>
        <v>0</v>
      </c>
      <c r="L68" s="21">
        <f t="shared" si="15"/>
        <v>0</v>
      </c>
      <c r="M68" s="21">
        <f t="shared" si="15"/>
        <v>0</v>
      </c>
      <c r="N68" s="21">
        <f t="shared" si="15"/>
        <v>0</v>
      </c>
      <c r="O68" s="21">
        <f t="shared" si="15"/>
        <v>0</v>
      </c>
      <c r="P68" s="29" t="e">
        <f>I68/B68*100</f>
        <v>#DIV/0!</v>
      </c>
    </row>
    <row r="69" spans="1:16" ht="15.75">
      <c r="A69" s="138" t="s">
        <v>99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</row>
    <row r="70" spans="1:16" ht="30" customHeight="1">
      <c r="A70" s="12" t="s">
        <v>63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64.5">
      <c r="A71" s="5" t="s">
        <v>64</v>
      </c>
      <c r="B71" s="36">
        <f>C71+D71+E71+F71+G71+H71</f>
        <v>0</v>
      </c>
      <c r="C71" s="11"/>
      <c r="D71" s="10"/>
      <c r="E71" s="10"/>
      <c r="F71" s="36"/>
      <c r="G71" s="36"/>
      <c r="H71" s="36"/>
      <c r="I71" s="36">
        <f>J71+K71+L71+M71+N71+O71</f>
        <v>0</v>
      </c>
      <c r="J71" s="36"/>
      <c r="K71" s="36"/>
      <c r="L71" s="36"/>
      <c r="M71" s="36"/>
      <c r="N71" s="36"/>
      <c r="O71" s="36"/>
      <c r="P71" s="63" t="e">
        <f>I71/B71*100</f>
        <v>#DIV/0!</v>
      </c>
    </row>
    <row r="72" spans="1:16" ht="15">
      <c r="A72" s="19" t="s">
        <v>17</v>
      </c>
      <c r="B72" s="21">
        <f aca="true" t="shared" si="16" ref="B72:O72">SUM(B71:B71)</f>
        <v>0</v>
      </c>
      <c r="C72" s="21">
        <f t="shared" si="16"/>
        <v>0</v>
      </c>
      <c r="D72" s="21">
        <f t="shared" si="16"/>
        <v>0</v>
      </c>
      <c r="E72" s="21">
        <f t="shared" si="16"/>
        <v>0</v>
      </c>
      <c r="F72" s="21">
        <f t="shared" si="16"/>
        <v>0</v>
      </c>
      <c r="G72" s="21">
        <f t="shared" si="16"/>
        <v>0</v>
      </c>
      <c r="H72" s="21">
        <f t="shared" si="16"/>
        <v>0</v>
      </c>
      <c r="I72" s="21">
        <f t="shared" si="16"/>
        <v>0</v>
      </c>
      <c r="J72" s="21">
        <f t="shared" si="16"/>
        <v>0</v>
      </c>
      <c r="K72" s="21">
        <f t="shared" si="16"/>
        <v>0</v>
      </c>
      <c r="L72" s="21">
        <f t="shared" si="16"/>
        <v>0</v>
      </c>
      <c r="M72" s="21">
        <f t="shared" si="16"/>
        <v>0</v>
      </c>
      <c r="N72" s="21">
        <f t="shared" si="16"/>
        <v>0</v>
      </c>
      <c r="O72" s="21">
        <f t="shared" si="16"/>
        <v>0</v>
      </c>
      <c r="P72" s="29" t="e">
        <f>I72/B72*100</f>
        <v>#DIV/0!</v>
      </c>
    </row>
    <row r="73" spans="1:16" ht="15.75">
      <c r="A73" s="138" t="s">
        <v>100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</row>
    <row r="74" spans="1:16" ht="26.25">
      <c r="A74" s="12" t="s">
        <v>65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51.75">
      <c r="A75" s="5" t="s">
        <v>66</v>
      </c>
      <c r="B75" s="10">
        <f>C75+D75+E75+F75+G75+H75</f>
        <v>0</v>
      </c>
      <c r="C75" s="10"/>
      <c r="D75" s="10"/>
      <c r="E75" s="10"/>
      <c r="F75" s="10"/>
      <c r="G75" s="10"/>
      <c r="H75" s="10"/>
      <c r="I75" s="10">
        <f>J75+K75+L75+M75+N75+O75</f>
        <v>0</v>
      </c>
      <c r="J75" s="10"/>
      <c r="K75" s="10"/>
      <c r="L75" s="10"/>
      <c r="M75" s="10"/>
      <c r="N75" s="10"/>
      <c r="O75" s="10"/>
      <c r="P75" s="63" t="e">
        <f>I75/B75*100</f>
        <v>#DIV/0!</v>
      </c>
    </row>
    <row r="76" spans="1:16" ht="15">
      <c r="A76" s="19" t="s">
        <v>18</v>
      </c>
      <c r="B76" s="21">
        <f aca="true" t="shared" si="17" ref="B76:O76">SUM(B75:B75)</f>
        <v>0</v>
      </c>
      <c r="C76" s="21">
        <f t="shared" si="17"/>
        <v>0</v>
      </c>
      <c r="D76" s="21">
        <f t="shared" si="17"/>
        <v>0</v>
      </c>
      <c r="E76" s="21">
        <f t="shared" si="17"/>
        <v>0</v>
      </c>
      <c r="F76" s="21">
        <f t="shared" si="17"/>
        <v>0</v>
      </c>
      <c r="G76" s="21">
        <f t="shared" si="17"/>
        <v>0</v>
      </c>
      <c r="H76" s="21">
        <f t="shared" si="17"/>
        <v>0</v>
      </c>
      <c r="I76" s="21">
        <f t="shared" si="17"/>
        <v>0</v>
      </c>
      <c r="J76" s="21">
        <f t="shared" si="17"/>
        <v>0</v>
      </c>
      <c r="K76" s="21">
        <f t="shared" si="17"/>
        <v>0</v>
      </c>
      <c r="L76" s="21">
        <f t="shared" si="17"/>
        <v>0</v>
      </c>
      <c r="M76" s="21">
        <f t="shared" si="17"/>
        <v>0</v>
      </c>
      <c r="N76" s="21">
        <f t="shared" si="17"/>
        <v>0</v>
      </c>
      <c r="O76" s="21">
        <f t="shared" si="17"/>
        <v>0</v>
      </c>
      <c r="P76" s="29" t="e">
        <f>I76/B76*100</f>
        <v>#DIV/0!</v>
      </c>
    </row>
    <row r="77" spans="1:16" ht="15.75">
      <c r="A77" s="138" t="s">
        <v>101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</row>
    <row r="78" spans="1:16" ht="51.75" customHeight="1">
      <c r="A78" s="15" t="s">
        <v>67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26.25">
      <c r="A79" s="5" t="s">
        <v>68</v>
      </c>
      <c r="B79" s="34">
        <f>C79+D79+E79+F79+G79+H79</f>
        <v>0</v>
      </c>
      <c r="C79" s="34"/>
      <c r="D79" s="34"/>
      <c r="E79" s="34"/>
      <c r="F79" s="34"/>
      <c r="G79" s="49"/>
      <c r="H79" s="34"/>
      <c r="I79" s="36">
        <f>J79+K79+L79+M79+N79+O79</f>
        <v>0</v>
      </c>
      <c r="J79" s="36"/>
      <c r="K79" s="36"/>
      <c r="L79" s="36"/>
      <c r="M79" s="34"/>
      <c r="N79" s="34"/>
      <c r="O79" s="34"/>
      <c r="P79" s="63" t="e">
        <f>I79/B79*100</f>
        <v>#DIV/0!</v>
      </c>
    </row>
    <row r="80" spans="1:16" ht="23.25" customHeight="1">
      <c r="A80" s="38" t="s">
        <v>15</v>
      </c>
      <c r="B80" s="34">
        <f>C80+D80+E80+F80+G80+H80</f>
        <v>0</v>
      </c>
      <c r="C80" s="35"/>
      <c r="D80" s="34"/>
      <c r="E80" s="34"/>
      <c r="F80" s="34"/>
      <c r="G80" s="34"/>
      <c r="H80" s="34"/>
      <c r="I80" s="34">
        <f>J80+K80+L80+M80+N80+O80</f>
        <v>0</v>
      </c>
      <c r="J80" s="34"/>
      <c r="K80" s="34"/>
      <c r="L80" s="34"/>
      <c r="M80" s="34"/>
      <c r="N80" s="34"/>
      <c r="O80" s="34"/>
      <c r="P80" s="63" t="e">
        <f>I80/B80*100</f>
        <v>#DIV/0!</v>
      </c>
    </row>
    <row r="81" spans="1:16" ht="23.25" customHeight="1">
      <c r="A81" s="38" t="s">
        <v>102</v>
      </c>
      <c r="B81" s="34">
        <f>C81+D81+E81+F81+G81+H81</f>
        <v>0</v>
      </c>
      <c r="C81" s="35"/>
      <c r="D81" s="34"/>
      <c r="E81" s="34"/>
      <c r="F81" s="34"/>
      <c r="G81" s="34"/>
      <c r="H81" s="34"/>
      <c r="I81" s="34">
        <f>J81+K81+L81+M81+N81+O81</f>
        <v>0</v>
      </c>
      <c r="J81" s="34"/>
      <c r="K81" s="34"/>
      <c r="L81" s="34"/>
      <c r="M81" s="34"/>
      <c r="N81" s="34"/>
      <c r="O81" s="34"/>
      <c r="P81" s="63" t="e">
        <f>I81/B81*100</f>
        <v>#DIV/0!</v>
      </c>
    </row>
    <row r="82" spans="1:16" ht="15">
      <c r="A82" s="19" t="s">
        <v>19</v>
      </c>
      <c r="B82" s="21">
        <f>SUM(B78:B81)</f>
        <v>0</v>
      </c>
      <c r="C82" s="21">
        <f>SUM(C78:C81)</f>
        <v>0</v>
      </c>
      <c r="D82" s="21">
        <f aca="true" t="shared" si="18" ref="D82:O82">SUM(D78:D81)</f>
        <v>0</v>
      </c>
      <c r="E82" s="21">
        <f t="shared" si="18"/>
        <v>0</v>
      </c>
      <c r="F82" s="21">
        <f t="shared" si="18"/>
        <v>0</v>
      </c>
      <c r="G82" s="21">
        <f t="shared" si="18"/>
        <v>0</v>
      </c>
      <c r="H82" s="21">
        <f t="shared" si="18"/>
        <v>0</v>
      </c>
      <c r="I82" s="21">
        <f t="shared" si="18"/>
        <v>0</v>
      </c>
      <c r="J82" s="21">
        <f t="shared" si="18"/>
        <v>0</v>
      </c>
      <c r="K82" s="21">
        <f t="shared" si="18"/>
        <v>0</v>
      </c>
      <c r="L82" s="21">
        <f t="shared" si="18"/>
        <v>0</v>
      </c>
      <c r="M82" s="21">
        <f t="shared" si="18"/>
        <v>0</v>
      </c>
      <c r="N82" s="21">
        <f t="shared" si="18"/>
        <v>0</v>
      </c>
      <c r="O82" s="21">
        <f t="shared" si="18"/>
        <v>0</v>
      </c>
      <c r="P82" s="29" t="e">
        <f>I82/B82*100</f>
        <v>#DIV/0!</v>
      </c>
    </row>
    <row r="83" spans="1:16" ht="15.75">
      <c r="A83" s="138" t="s">
        <v>103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</row>
    <row r="84" spans="1:16" ht="26.25">
      <c r="A84" s="12" t="s">
        <v>69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26.25">
      <c r="A85" s="5" t="s">
        <v>70</v>
      </c>
      <c r="B85" s="10">
        <f>C85+D85+E85+F85+G85+H85</f>
        <v>0</v>
      </c>
      <c r="C85" s="10"/>
      <c r="D85" s="10"/>
      <c r="E85" s="10"/>
      <c r="F85" s="10"/>
      <c r="G85" s="10"/>
      <c r="H85" s="10"/>
      <c r="I85" s="10">
        <f>J85+K85+L85+M85+N85+O85</f>
        <v>0</v>
      </c>
      <c r="J85" s="10"/>
      <c r="K85" s="10"/>
      <c r="L85" s="10"/>
      <c r="M85" s="10"/>
      <c r="N85" s="10"/>
      <c r="O85" s="10"/>
      <c r="P85" s="63" t="e">
        <f>I85/B85*100</f>
        <v>#DIV/0!</v>
      </c>
    </row>
    <row r="86" spans="1:16" ht="30.75" customHeight="1">
      <c r="A86" s="7" t="s">
        <v>71</v>
      </c>
      <c r="B86" s="10">
        <f>C86+D86+E86+F86+G86+H86</f>
        <v>0</v>
      </c>
      <c r="C86" s="10"/>
      <c r="D86" s="10"/>
      <c r="E86" s="10"/>
      <c r="F86" s="10"/>
      <c r="G86" s="10"/>
      <c r="H86" s="10"/>
      <c r="I86" s="10">
        <f>J86+K86+L86+M86+N86+O86</f>
        <v>0</v>
      </c>
      <c r="J86" s="10"/>
      <c r="K86" s="10"/>
      <c r="L86" s="10"/>
      <c r="M86" s="10"/>
      <c r="N86" s="10"/>
      <c r="O86" s="10"/>
      <c r="P86" s="63" t="e">
        <f>I86/B86*100</f>
        <v>#DIV/0!</v>
      </c>
    </row>
    <row r="87" spans="1:16" ht="15">
      <c r="A87" s="12" t="s">
        <v>72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26.25">
      <c r="A88" s="44" t="s">
        <v>73</v>
      </c>
      <c r="B88" s="10">
        <f>C88+D88+E88+F88+G88+H88</f>
        <v>0</v>
      </c>
      <c r="C88" s="11"/>
      <c r="D88" s="10"/>
      <c r="E88" s="10"/>
      <c r="F88" s="10"/>
      <c r="G88" s="10"/>
      <c r="H88" s="10"/>
      <c r="I88" s="10">
        <f>J88+K88+L88+M88+N88+O88</f>
        <v>0</v>
      </c>
      <c r="J88" s="10"/>
      <c r="K88" s="10"/>
      <c r="L88" s="10"/>
      <c r="M88" s="10"/>
      <c r="N88" s="10"/>
      <c r="O88" s="10"/>
      <c r="P88" s="63" t="e">
        <f>I88/B88*100</f>
        <v>#DIV/0!</v>
      </c>
    </row>
    <row r="89" spans="1:16" ht="26.25">
      <c r="A89" s="12" t="s">
        <v>83</v>
      </c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63"/>
    </row>
    <row r="90" spans="1:16" ht="26.25">
      <c r="A90" s="44" t="s">
        <v>104</v>
      </c>
      <c r="B90" s="10">
        <f>C90+D90+E90+F90+G90+H90</f>
        <v>0</v>
      </c>
      <c r="C90" s="76"/>
      <c r="D90" s="10"/>
      <c r="E90" s="10"/>
      <c r="F90" s="10"/>
      <c r="G90" s="10"/>
      <c r="H90" s="10"/>
      <c r="I90" s="10">
        <f>J90+K90+L90+M90+N90+O90</f>
        <v>0</v>
      </c>
      <c r="J90" s="10"/>
      <c r="K90" s="10"/>
      <c r="L90" s="10"/>
      <c r="M90" s="10"/>
      <c r="N90" s="10"/>
      <c r="O90" s="10"/>
      <c r="P90" s="63" t="e">
        <f>I90/B90*100</f>
        <v>#DIV/0!</v>
      </c>
    </row>
    <row r="91" spans="1:16" ht="15">
      <c r="A91" s="19" t="s">
        <v>20</v>
      </c>
      <c r="B91" s="20">
        <f>SUM(B84:B90)</f>
        <v>0</v>
      </c>
      <c r="C91" s="20">
        <f aca="true" t="shared" si="19" ref="C91:O91">SUM(C84:C90)</f>
        <v>0</v>
      </c>
      <c r="D91" s="20">
        <f t="shared" si="19"/>
        <v>0</v>
      </c>
      <c r="E91" s="20">
        <f t="shared" si="19"/>
        <v>0</v>
      </c>
      <c r="F91" s="20">
        <f t="shared" si="19"/>
        <v>0</v>
      </c>
      <c r="G91" s="20">
        <f t="shared" si="19"/>
        <v>0</v>
      </c>
      <c r="H91" s="20">
        <f t="shared" si="19"/>
        <v>0</v>
      </c>
      <c r="I91" s="20">
        <f t="shared" si="19"/>
        <v>0</v>
      </c>
      <c r="J91" s="20">
        <f t="shared" si="19"/>
        <v>0</v>
      </c>
      <c r="K91" s="20">
        <f t="shared" si="19"/>
        <v>0</v>
      </c>
      <c r="L91" s="20">
        <f t="shared" si="19"/>
        <v>0</v>
      </c>
      <c r="M91" s="20">
        <f t="shared" si="19"/>
        <v>0</v>
      </c>
      <c r="N91" s="20">
        <f t="shared" si="19"/>
        <v>0</v>
      </c>
      <c r="O91" s="20">
        <f t="shared" si="19"/>
        <v>0</v>
      </c>
      <c r="P91" s="29" t="e">
        <f>I91/B91*100</f>
        <v>#DIV/0!</v>
      </c>
    </row>
    <row r="92" spans="1:16" ht="15.75">
      <c r="A92" s="138" t="s">
        <v>105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</row>
    <row r="93" spans="1:16" ht="64.5">
      <c r="A93" s="16" t="s">
        <v>106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25.5">
      <c r="A94" s="6" t="s">
        <v>107</v>
      </c>
      <c r="B94" s="10">
        <f>C94+D94+E94+F94+G94+H94</f>
        <v>0</v>
      </c>
      <c r="C94" s="11"/>
      <c r="D94" s="10"/>
      <c r="E94" s="10"/>
      <c r="F94" s="10"/>
      <c r="G94" s="10"/>
      <c r="H94" s="10"/>
      <c r="I94" s="10">
        <f>J94+K94+L94+M94+N94+O94</f>
        <v>0</v>
      </c>
      <c r="J94" s="11"/>
      <c r="K94" s="10"/>
      <c r="L94" s="10"/>
      <c r="M94" s="10"/>
      <c r="N94" s="10"/>
      <c r="O94" s="10"/>
      <c r="P94" s="63" t="e">
        <f>I94/B94*100</f>
        <v>#DIV/0!</v>
      </c>
    </row>
    <row r="95" spans="1:16" ht="38.25">
      <c r="A95" s="17" t="s">
        <v>108</v>
      </c>
      <c r="B95" s="10">
        <f>C95+D95+E95+F95+G95+H95</f>
        <v>0</v>
      </c>
      <c r="C95" s="11"/>
      <c r="D95" s="10"/>
      <c r="E95" s="10"/>
      <c r="F95" s="10"/>
      <c r="G95" s="10"/>
      <c r="H95" s="10"/>
      <c r="I95" s="10">
        <f>J95+K95+L95+M95+N95+O95</f>
        <v>0</v>
      </c>
      <c r="J95" s="11"/>
      <c r="K95" s="10"/>
      <c r="L95" s="10"/>
      <c r="M95" s="10"/>
      <c r="N95" s="10"/>
      <c r="O95" s="10"/>
      <c r="P95" s="63" t="e">
        <f>I95/B95*100</f>
        <v>#DIV/0!</v>
      </c>
    </row>
    <row r="96" spans="1:16" ht="15">
      <c r="A96" s="19" t="s">
        <v>21</v>
      </c>
      <c r="B96" s="21">
        <f>SUM(B94:B95)</f>
        <v>0</v>
      </c>
      <c r="C96" s="21">
        <f aca="true" t="shared" si="20" ref="C96:O96">SUM(C94:C95)</f>
        <v>0</v>
      </c>
      <c r="D96" s="21">
        <f t="shared" si="20"/>
        <v>0</v>
      </c>
      <c r="E96" s="21">
        <f t="shared" si="20"/>
        <v>0</v>
      </c>
      <c r="F96" s="21">
        <f t="shared" si="20"/>
        <v>0</v>
      </c>
      <c r="G96" s="21">
        <f t="shared" si="20"/>
        <v>0</v>
      </c>
      <c r="H96" s="21">
        <f t="shared" si="20"/>
        <v>0</v>
      </c>
      <c r="I96" s="21">
        <f t="shared" si="20"/>
        <v>0</v>
      </c>
      <c r="J96" s="21">
        <f t="shared" si="20"/>
        <v>0</v>
      </c>
      <c r="K96" s="21">
        <f t="shared" si="20"/>
        <v>0</v>
      </c>
      <c r="L96" s="21">
        <f t="shared" si="20"/>
        <v>0</v>
      </c>
      <c r="M96" s="21">
        <f t="shared" si="20"/>
        <v>0</v>
      </c>
      <c r="N96" s="21">
        <f t="shared" si="20"/>
        <v>0</v>
      </c>
      <c r="O96" s="21">
        <f t="shared" si="20"/>
        <v>0</v>
      </c>
      <c r="P96" s="29" t="e">
        <f>I96/B96*100</f>
        <v>#DIV/0!</v>
      </c>
    </row>
    <row r="97" spans="1:16" ht="15.75">
      <c r="A97" s="138" t="s">
        <v>109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</row>
    <row r="98" spans="1:16" ht="30.75" customHeight="1">
      <c r="A98" s="12" t="s">
        <v>74</v>
      </c>
      <c r="B98" s="9"/>
      <c r="C98" s="1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4"/>
    </row>
    <row r="99" spans="1:16" ht="26.25">
      <c r="A99" s="7" t="s">
        <v>75</v>
      </c>
      <c r="B99" s="34">
        <f>C99+D99+E99+F99+G99+H99</f>
        <v>0</v>
      </c>
      <c r="C99" s="35"/>
      <c r="D99" s="34"/>
      <c r="E99" s="34"/>
      <c r="F99" s="34"/>
      <c r="G99" s="34"/>
      <c r="H99" s="34"/>
      <c r="I99" s="34">
        <f>J99+K99+L99+M99+N99+O99</f>
        <v>0</v>
      </c>
      <c r="J99" s="34"/>
      <c r="K99" s="34"/>
      <c r="L99" s="34"/>
      <c r="M99" s="34"/>
      <c r="N99" s="34"/>
      <c r="O99" s="34"/>
      <c r="P99" s="69" t="e">
        <f>I99/B99*100</f>
        <v>#DIV/0!</v>
      </c>
    </row>
    <row r="100" spans="1:16" ht="15">
      <c r="A100" s="45" t="s">
        <v>76</v>
      </c>
      <c r="B100" s="34">
        <f>C100+D100+E100+F100+G100+H100</f>
        <v>0</v>
      </c>
      <c r="C100" s="35"/>
      <c r="D100" s="34"/>
      <c r="E100" s="34"/>
      <c r="F100" s="34"/>
      <c r="G100" s="34"/>
      <c r="H100" s="34"/>
      <c r="I100" s="34">
        <f>J100+K100+L100+M100+N100+O100</f>
        <v>0</v>
      </c>
      <c r="J100" s="34"/>
      <c r="K100" s="34"/>
      <c r="L100" s="34"/>
      <c r="M100" s="34"/>
      <c r="N100" s="34"/>
      <c r="O100" s="34"/>
      <c r="P100" s="69" t="e">
        <f>I100/B100*100</f>
        <v>#DIV/0!</v>
      </c>
    </row>
    <row r="101" spans="1:16" ht="26.25">
      <c r="A101" s="7" t="s">
        <v>77</v>
      </c>
      <c r="B101" s="34">
        <f>C101+D101+E101+F101+G101+H101</f>
        <v>0</v>
      </c>
      <c r="C101" s="35"/>
      <c r="D101" s="34"/>
      <c r="E101" s="34"/>
      <c r="F101" s="34"/>
      <c r="G101" s="34"/>
      <c r="H101" s="34"/>
      <c r="I101" s="34">
        <f>J101+K101+L101+M101+N101+O101</f>
        <v>0</v>
      </c>
      <c r="J101" s="34"/>
      <c r="K101" s="34"/>
      <c r="L101" s="34"/>
      <c r="M101" s="34"/>
      <c r="N101" s="34"/>
      <c r="O101" s="34"/>
      <c r="P101" s="69" t="e">
        <f>I101/B101*100</f>
        <v>#DIV/0!</v>
      </c>
    </row>
    <row r="102" spans="1:16" ht="15">
      <c r="A102" s="19" t="s">
        <v>22</v>
      </c>
      <c r="B102" s="21">
        <f>SUM(B99:B101)</f>
        <v>0</v>
      </c>
      <c r="C102" s="21">
        <f aca="true" t="shared" si="21" ref="C102:N102">SUM(C99:C101)</f>
        <v>0</v>
      </c>
      <c r="D102" s="21">
        <f t="shared" si="21"/>
        <v>0</v>
      </c>
      <c r="E102" s="21">
        <f t="shared" si="21"/>
        <v>0</v>
      </c>
      <c r="F102" s="21">
        <f t="shared" si="21"/>
        <v>0</v>
      </c>
      <c r="G102" s="21">
        <f t="shared" si="21"/>
        <v>0</v>
      </c>
      <c r="H102" s="21">
        <f t="shared" si="21"/>
        <v>0</v>
      </c>
      <c r="I102" s="21">
        <f t="shared" si="21"/>
        <v>0</v>
      </c>
      <c r="J102" s="21">
        <f t="shared" si="21"/>
        <v>0</v>
      </c>
      <c r="K102" s="21">
        <f t="shared" si="21"/>
        <v>0</v>
      </c>
      <c r="L102" s="21">
        <f t="shared" si="21"/>
        <v>0</v>
      </c>
      <c r="M102" s="21">
        <f t="shared" si="21"/>
        <v>0</v>
      </c>
      <c r="N102" s="21">
        <f t="shared" si="21"/>
        <v>0</v>
      </c>
      <c r="O102" s="21">
        <f>SUM(O99:O101)</f>
        <v>0</v>
      </c>
      <c r="P102" s="29" t="e">
        <f>I102/B102*100</f>
        <v>#DIV/0!</v>
      </c>
    </row>
    <row r="103" spans="1:16" ht="15.75">
      <c r="A103" s="133" t="s">
        <v>110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5"/>
    </row>
    <row r="104" spans="1:16" ht="26.25">
      <c r="A104" s="46" t="s">
        <v>80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60"/>
    </row>
    <row r="105" spans="1:16" ht="15">
      <c r="A105" s="72" t="s">
        <v>111</v>
      </c>
      <c r="B105" s="10">
        <f aca="true" t="shared" si="22" ref="B105:B111">C105+D105+E105+F105+G105+H105</f>
        <v>5300</v>
      </c>
      <c r="C105" s="32"/>
      <c r="D105" s="32">
        <v>5300</v>
      </c>
      <c r="E105" s="32"/>
      <c r="F105" s="32"/>
      <c r="G105" s="32"/>
      <c r="H105" s="32"/>
      <c r="I105" s="10">
        <f aca="true" t="shared" si="23" ref="I105:I111">J105+K105+L105+M105+N105+O105</f>
        <v>0</v>
      </c>
      <c r="J105" s="58"/>
      <c r="K105" s="58"/>
      <c r="L105" s="58"/>
      <c r="M105" s="58"/>
      <c r="N105" s="58"/>
      <c r="O105" s="58"/>
      <c r="P105" s="63">
        <f aca="true" t="shared" si="24" ref="P105:P112">I105/B105*100</f>
        <v>0</v>
      </c>
    </row>
    <row r="106" spans="1:16" ht="15">
      <c r="A106" s="72" t="s">
        <v>112</v>
      </c>
      <c r="B106" s="10">
        <f t="shared" si="22"/>
        <v>1800</v>
      </c>
      <c r="C106" s="32"/>
      <c r="D106" s="32">
        <v>1800</v>
      </c>
      <c r="E106" s="32"/>
      <c r="F106" s="32"/>
      <c r="G106" s="32"/>
      <c r="H106" s="32"/>
      <c r="I106" s="10">
        <f t="shared" si="23"/>
        <v>0</v>
      </c>
      <c r="J106" s="58"/>
      <c r="K106" s="58"/>
      <c r="L106" s="58"/>
      <c r="M106" s="58"/>
      <c r="N106" s="58"/>
      <c r="O106" s="58"/>
      <c r="P106" s="63">
        <f t="shared" si="24"/>
        <v>0</v>
      </c>
    </row>
    <row r="107" spans="1:16" ht="15">
      <c r="A107" s="72" t="s">
        <v>113</v>
      </c>
      <c r="B107" s="10">
        <f t="shared" si="22"/>
        <v>1500</v>
      </c>
      <c r="C107" s="32"/>
      <c r="D107" s="32">
        <v>1500</v>
      </c>
      <c r="E107" s="32"/>
      <c r="F107" s="32"/>
      <c r="G107" s="32"/>
      <c r="H107" s="32"/>
      <c r="I107" s="10">
        <f t="shared" si="23"/>
        <v>0</v>
      </c>
      <c r="J107" s="58"/>
      <c r="K107" s="58"/>
      <c r="L107" s="58"/>
      <c r="M107" s="58"/>
      <c r="N107" s="58"/>
      <c r="O107" s="58"/>
      <c r="P107" s="63">
        <f t="shared" si="24"/>
        <v>0</v>
      </c>
    </row>
    <row r="108" spans="1:16" ht="15">
      <c r="A108" s="72" t="s">
        <v>114</v>
      </c>
      <c r="B108" s="10">
        <f t="shared" si="22"/>
        <v>2554.3</v>
      </c>
      <c r="C108" s="32"/>
      <c r="D108" s="32">
        <v>2554.3</v>
      </c>
      <c r="E108" s="32"/>
      <c r="F108" s="32"/>
      <c r="G108" s="32"/>
      <c r="H108" s="32"/>
      <c r="I108" s="10">
        <f t="shared" si="23"/>
        <v>0</v>
      </c>
      <c r="J108" s="58"/>
      <c r="K108" s="58"/>
      <c r="L108" s="58"/>
      <c r="M108" s="58"/>
      <c r="N108" s="58"/>
      <c r="O108" s="58"/>
      <c r="P108" s="63">
        <f t="shared" si="24"/>
        <v>0</v>
      </c>
    </row>
    <row r="109" spans="1:16" ht="25.5">
      <c r="A109" s="72" t="s">
        <v>115</v>
      </c>
      <c r="B109" s="10">
        <f t="shared" si="22"/>
        <v>3100</v>
      </c>
      <c r="C109" s="32"/>
      <c r="D109" s="32">
        <v>3100</v>
      </c>
      <c r="E109" s="32"/>
      <c r="F109" s="32"/>
      <c r="G109" s="32"/>
      <c r="H109" s="32"/>
      <c r="I109" s="10">
        <f t="shared" si="23"/>
        <v>0</v>
      </c>
      <c r="J109" s="58"/>
      <c r="K109" s="58"/>
      <c r="L109" s="58"/>
      <c r="M109" s="58"/>
      <c r="N109" s="58"/>
      <c r="O109" s="58"/>
      <c r="P109" s="63">
        <f t="shared" si="24"/>
        <v>0</v>
      </c>
    </row>
    <row r="110" spans="1:16" ht="25.5">
      <c r="A110" s="72" t="s">
        <v>116</v>
      </c>
      <c r="B110" s="10">
        <f t="shared" si="22"/>
        <v>600</v>
      </c>
      <c r="C110" s="32"/>
      <c r="D110" s="32">
        <v>600</v>
      </c>
      <c r="E110" s="32"/>
      <c r="F110" s="32"/>
      <c r="G110" s="32"/>
      <c r="H110" s="32"/>
      <c r="I110" s="10">
        <f t="shared" si="23"/>
        <v>0</v>
      </c>
      <c r="J110" s="58"/>
      <c r="K110" s="58"/>
      <c r="L110" s="58"/>
      <c r="M110" s="58"/>
      <c r="N110" s="58"/>
      <c r="O110" s="58"/>
      <c r="P110" s="63">
        <f t="shared" si="24"/>
        <v>0</v>
      </c>
    </row>
    <row r="111" spans="1:16" ht="26.25">
      <c r="A111" s="7" t="s">
        <v>45</v>
      </c>
      <c r="B111" s="10">
        <f t="shared" si="22"/>
        <v>5200</v>
      </c>
      <c r="C111" s="32"/>
      <c r="D111" s="32">
        <v>5200</v>
      </c>
      <c r="E111" s="32"/>
      <c r="F111" s="32"/>
      <c r="G111" s="32"/>
      <c r="H111" s="32"/>
      <c r="I111" s="10">
        <f t="shared" si="23"/>
        <v>0</v>
      </c>
      <c r="J111" s="58"/>
      <c r="K111" s="58"/>
      <c r="L111" s="58"/>
      <c r="M111" s="58"/>
      <c r="N111" s="58"/>
      <c r="O111" s="58"/>
      <c r="P111" s="63">
        <f t="shared" si="24"/>
        <v>0</v>
      </c>
    </row>
    <row r="112" spans="1:16" ht="15">
      <c r="A112" s="19" t="s">
        <v>81</v>
      </c>
      <c r="B112" s="21">
        <f>SUM(B104:B111)</f>
        <v>20054.3</v>
      </c>
      <c r="C112" s="21">
        <f aca="true" t="shared" si="25" ref="C112:O112">SUM(C104:C111)</f>
        <v>0</v>
      </c>
      <c r="D112" s="21">
        <f t="shared" si="25"/>
        <v>20054.3</v>
      </c>
      <c r="E112" s="21">
        <f t="shared" si="25"/>
        <v>0</v>
      </c>
      <c r="F112" s="21">
        <f t="shared" si="25"/>
        <v>0</v>
      </c>
      <c r="G112" s="21">
        <f t="shared" si="25"/>
        <v>0</v>
      </c>
      <c r="H112" s="21">
        <f t="shared" si="25"/>
        <v>0</v>
      </c>
      <c r="I112" s="21">
        <f t="shared" si="25"/>
        <v>0</v>
      </c>
      <c r="J112" s="21">
        <f t="shared" si="25"/>
        <v>0</v>
      </c>
      <c r="K112" s="21">
        <f t="shared" si="25"/>
        <v>0</v>
      </c>
      <c r="L112" s="21">
        <f t="shared" si="25"/>
        <v>0</v>
      </c>
      <c r="M112" s="21">
        <f t="shared" si="25"/>
        <v>0</v>
      </c>
      <c r="N112" s="21">
        <f t="shared" si="25"/>
        <v>0</v>
      </c>
      <c r="O112" s="21">
        <f t="shared" si="25"/>
        <v>0</v>
      </c>
      <c r="P112" s="29">
        <f t="shared" si="24"/>
        <v>0</v>
      </c>
    </row>
    <row r="113" spans="1:16" ht="15">
      <c r="A113" s="140" t="s">
        <v>117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2"/>
    </row>
    <row r="114" spans="1:16" ht="15">
      <c r="A114" s="15" t="s">
        <v>118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1"/>
    </row>
    <row r="115" spans="1:16" ht="52.5" customHeight="1">
      <c r="A115" s="71" t="s">
        <v>119</v>
      </c>
      <c r="B115" s="10">
        <f>C115+D115+E115+F115+G115+H115</f>
        <v>0</v>
      </c>
      <c r="C115" s="32"/>
      <c r="D115" s="32"/>
      <c r="E115" s="32"/>
      <c r="F115" s="32"/>
      <c r="G115" s="32"/>
      <c r="H115" s="32"/>
      <c r="I115" s="10">
        <f>J115+K115+L115+M115+N115+O115</f>
        <v>0</v>
      </c>
      <c r="J115" s="61"/>
      <c r="K115" s="65"/>
      <c r="L115" s="61"/>
      <c r="M115" s="61"/>
      <c r="N115" s="61"/>
      <c r="O115" s="61"/>
      <c r="P115" s="63" t="e">
        <f>I115/B115*100</f>
        <v>#DIV/0!</v>
      </c>
    </row>
    <row r="116" spans="1:16" ht="15">
      <c r="A116" s="19" t="s">
        <v>23</v>
      </c>
      <c r="B116" s="21">
        <f>B115</f>
        <v>0</v>
      </c>
      <c r="C116" s="21">
        <f>C115</f>
        <v>0</v>
      </c>
      <c r="D116" s="21">
        <f>D115</f>
        <v>0</v>
      </c>
      <c r="E116" s="21">
        <f aca="true" t="shared" si="26" ref="E116:O116">E115</f>
        <v>0</v>
      </c>
      <c r="F116" s="21">
        <f t="shared" si="26"/>
        <v>0</v>
      </c>
      <c r="G116" s="21">
        <f t="shared" si="26"/>
        <v>0</v>
      </c>
      <c r="H116" s="21">
        <f t="shared" si="26"/>
        <v>0</v>
      </c>
      <c r="I116" s="21">
        <f t="shared" si="26"/>
        <v>0</v>
      </c>
      <c r="J116" s="21">
        <f t="shared" si="26"/>
        <v>0</v>
      </c>
      <c r="K116" s="21">
        <f t="shared" si="26"/>
        <v>0</v>
      </c>
      <c r="L116" s="21">
        <f t="shared" si="26"/>
        <v>0</v>
      </c>
      <c r="M116" s="21">
        <f t="shared" si="26"/>
        <v>0</v>
      </c>
      <c r="N116" s="21">
        <f t="shared" si="26"/>
        <v>0</v>
      </c>
      <c r="O116" s="21">
        <f t="shared" si="26"/>
        <v>0</v>
      </c>
      <c r="P116" s="29"/>
    </row>
    <row r="117" spans="1:16" ht="15">
      <c r="A117" s="140" t="s">
        <v>120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2"/>
    </row>
    <row r="118" spans="1:16" ht="27" customHeight="1">
      <c r="A118" s="15" t="s">
        <v>121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1"/>
    </row>
    <row r="119" spans="1:16" ht="30">
      <c r="A119" s="80" t="s">
        <v>122</v>
      </c>
      <c r="B119" s="10">
        <f>C119+D119+E119+F119+G119+H119</f>
        <v>6700</v>
      </c>
      <c r="C119" s="32"/>
      <c r="D119" s="32">
        <v>2000</v>
      </c>
      <c r="E119" s="32"/>
      <c r="F119" s="32"/>
      <c r="G119" s="32"/>
      <c r="H119" s="32">
        <v>4700</v>
      </c>
      <c r="I119" s="10">
        <f>J119+K119+L119+M119+N119+O119</f>
        <v>0</v>
      </c>
      <c r="J119" s="58"/>
      <c r="K119" s="58"/>
      <c r="L119" s="58"/>
      <c r="M119" s="58"/>
      <c r="N119" s="58"/>
      <c r="O119" s="58"/>
      <c r="P119" s="63">
        <f>I119/B119*100</f>
        <v>0</v>
      </c>
    </row>
    <row r="120" spans="1:16" ht="15">
      <c r="A120" s="19" t="s">
        <v>78</v>
      </c>
      <c r="B120" s="21">
        <f>B119</f>
        <v>6700</v>
      </c>
      <c r="C120" s="21">
        <f aca="true" t="shared" si="27" ref="C120:O120">C119</f>
        <v>0</v>
      </c>
      <c r="D120" s="21">
        <f t="shared" si="27"/>
        <v>2000</v>
      </c>
      <c r="E120" s="21">
        <f t="shared" si="27"/>
        <v>0</v>
      </c>
      <c r="F120" s="21">
        <f t="shared" si="27"/>
        <v>0</v>
      </c>
      <c r="G120" s="21">
        <f t="shared" si="27"/>
        <v>0</v>
      </c>
      <c r="H120" s="21">
        <f t="shared" si="27"/>
        <v>4700</v>
      </c>
      <c r="I120" s="21">
        <f t="shared" si="27"/>
        <v>0</v>
      </c>
      <c r="J120" s="21">
        <f t="shared" si="27"/>
        <v>0</v>
      </c>
      <c r="K120" s="21">
        <f t="shared" si="27"/>
        <v>0</v>
      </c>
      <c r="L120" s="21">
        <f t="shared" si="27"/>
        <v>0</v>
      </c>
      <c r="M120" s="21">
        <f t="shared" si="27"/>
        <v>0</v>
      </c>
      <c r="N120" s="21">
        <f t="shared" si="27"/>
        <v>0</v>
      </c>
      <c r="O120" s="21">
        <f t="shared" si="27"/>
        <v>0</v>
      </c>
      <c r="P120" s="29">
        <f>I120/B120*100</f>
        <v>0</v>
      </c>
    </row>
    <row r="121" spans="1:16" ht="15">
      <c r="A121" s="140" t="s">
        <v>123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2"/>
    </row>
    <row r="122" spans="1:16" ht="25.5" customHeight="1">
      <c r="A122" s="15" t="s">
        <v>121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1"/>
    </row>
    <row r="123" spans="1:16" ht="60">
      <c r="A123" s="80" t="s">
        <v>124</v>
      </c>
      <c r="B123" s="10">
        <f>C123+D123+E123+F123+G123+H123</f>
        <v>0</v>
      </c>
      <c r="C123" s="58"/>
      <c r="D123" s="58"/>
      <c r="E123" s="58"/>
      <c r="F123" s="58"/>
      <c r="G123" s="58"/>
      <c r="H123" s="58"/>
      <c r="I123" s="10">
        <f>J123+K123+L123+M123+N123+O123</f>
        <v>0</v>
      </c>
      <c r="J123" s="58"/>
      <c r="K123" s="58"/>
      <c r="L123" s="58"/>
      <c r="M123" s="58"/>
      <c r="N123" s="58"/>
      <c r="O123" s="58"/>
      <c r="P123" s="63" t="e">
        <f>I123/B123*100</f>
        <v>#DIV/0!</v>
      </c>
    </row>
    <row r="124" spans="1:16" ht="15">
      <c r="A124" s="19" t="s">
        <v>79</v>
      </c>
      <c r="B124" s="21">
        <f aca="true" t="shared" si="28" ref="B124:O124">B123</f>
        <v>0</v>
      </c>
      <c r="C124" s="21">
        <f t="shared" si="28"/>
        <v>0</v>
      </c>
      <c r="D124" s="21">
        <f t="shared" si="28"/>
        <v>0</v>
      </c>
      <c r="E124" s="21">
        <f t="shared" si="28"/>
        <v>0</v>
      </c>
      <c r="F124" s="21">
        <f t="shared" si="28"/>
        <v>0</v>
      </c>
      <c r="G124" s="21">
        <f t="shared" si="28"/>
        <v>0</v>
      </c>
      <c r="H124" s="21">
        <f t="shared" si="28"/>
        <v>0</v>
      </c>
      <c r="I124" s="21">
        <f t="shared" si="28"/>
        <v>0</v>
      </c>
      <c r="J124" s="21">
        <f t="shared" si="28"/>
        <v>0</v>
      </c>
      <c r="K124" s="21">
        <f t="shared" si="28"/>
        <v>0</v>
      </c>
      <c r="L124" s="21">
        <f t="shared" si="28"/>
        <v>0</v>
      </c>
      <c r="M124" s="21">
        <f t="shared" si="28"/>
        <v>0</v>
      </c>
      <c r="N124" s="21">
        <f t="shared" si="28"/>
        <v>0</v>
      </c>
      <c r="O124" s="21">
        <f t="shared" si="28"/>
        <v>0</v>
      </c>
      <c r="P124" s="29" t="e">
        <f>I124/B124*100</f>
        <v>#DIV/0!</v>
      </c>
    </row>
    <row r="125" spans="1:16" ht="63">
      <c r="A125" s="18" t="s">
        <v>130</v>
      </c>
      <c r="B125" s="30">
        <f>B38+B49+B59+B68+B72+B76+B82+B91+B96+B102+B112+B116+B120+B124</f>
        <v>462987.80000000005</v>
      </c>
      <c r="C125" s="30">
        <f>C38+C49+C59+C68+C72+C76+C82+C91+C96+C102+C112+C116+C120+C124</f>
        <v>405473.30000000005</v>
      </c>
      <c r="D125" s="30">
        <f aca="true" t="shared" si="29" ref="D125:O125">D38+D49+D59+D68+D72+D76+D82+D91+D96+D102+D112+D116+D120+D124</f>
        <v>52294.5</v>
      </c>
      <c r="E125" s="30">
        <f t="shared" si="29"/>
        <v>0</v>
      </c>
      <c r="F125" s="30">
        <f t="shared" si="29"/>
        <v>0</v>
      </c>
      <c r="G125" s="30">
        <f t="shared" si="29"/>
        <v>520</v>
      </c>
      <c r="H125" s="30">
        <f t="shared" si="29"/>
        <v>4700</v>
      </c>
      <c r="I125" s="30">
        <f t="shared" si="29"/>
        <v>0</v>
      </c>
      <c r="J125" s="30">
        <f t="shared" si="29"/>
        <v>0</v>
      </c>
      <c r="K125" s="30">
        <f t="shared" si="29"/>
        <v>0</v>
      </c>
      <c r="L125" s="30">
        <f t="shared" si="29"/>
        <v>0</v>
      </c>
      <c r="M125" s="30">
        <f t="shared" si="29"/>
        <v>0</v>
      </c>
      <c r="N125" s="30">
        <f t="shared" si="29"/>
        <v>0</v>
      </c>
      <c r="O125" s="30">
        <f t="shared" si="29"/>
        <v>0</v>
      </c>
      <c r="P125" s="31">
        <f>I125/B125*100</f>
        <v>0</v>
      </c>
    </row>
    <row r="126" spans="1:16" ht="18.75">
      <c r="A126" s="40"/>
      <c r="B126" s="3"/>
      <c r="C126" s="57"/>
      <c r="D126" s="5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8.75">
      <c r="A127" s="40" t="s">
        <v>35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144" t="s">
        <v>126</v>
      </c>
      <c r="L127" s="144"/>
      <c r="M127" s="144"/>
      <c r="N127" s="144"/>
      <c r="O127" s="39"/>
      <c r="P127" s="39"/>
    </row>
    <row r="128" spans="1:16" ht="15.75">
      <c r="A128" s="4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>
      <c r="A129" s="4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ht="15.75">
      <c r="A130" s="41" t="s">
        <v>128</v>
      </c>
    </row>
    <row r="131" ht="15.75">
      <c r="A131" s="41" t="s">
        <v>34</v>
      </c>
    </row>
  </sheetData>
  <sheetProtection/>
  <mergeCells count="44">
    <mergeCell ref="A121:P121"/>
    <mergeCell ref="A50:P50"/>
    <mergeCell ref="A60:P60"/>
    <mergeCell ref="A69:P69"/>
    <mergeCell ref="A73:P73"/>
    <mergeCell ref="A77:P77"/>
    <mergeCell ref="A83:P83"/>
    <mergeCell ref="A97:P97"/>
    <mergeCell ref="N1:P1"/>
    <mergeCell ref="N2:P2"/>
    <mergeCell ref="A5:P5"/>
    <mergeCell ref="A6:P6"/>
    <mergeCell ref="D8:J8"/>
    <mergeCell ref="D9:J9"/>
    <mergeCell ref="D10:J10"/>
    <mergeCell ref="D11:J11"/>
    <mergeCell ref="D13:M13"/>
    <mergeCell ref="D14:M14"/>
    <mergeCell ref="A22:A27"/>
    <mergeCell ref="B22:H22"/>
    <mergeCell ref="I22:O22"/>
    <mergeCell ref="J25:M25"/>
    <mergeCell ref="N25:O26"/>
    <mergeCell ref="C26:D26"/>
    <mergeCell ref="P22:P23"/>
    <mergeCell ref="B23:H23"/>
    <mergeCell ref="I23:O23"/>
    <mergeCell ref="B24:B27"/>
    <mergeCell ref="C24:H24"/>
    <mergeCell ref="I24:I27"/>
    <mergeCell ref="J24:O24"/>
    <mergeCell ref="P24:P27"/>
    <mergeCell ref="C25:F25"/>
    <mergeCell ref="G25:H26"/>
    <mergeCell ref="K127:N127"/>
    <mergeCell ref="E26:F26"/>
    <mergeCell ref="J26:K26"/>
    <mergeCell ref="L26:M26"/>
    <mergeCell ref="A29:P29"/>
    <mergeCell ref="A39:P39"/>
    <mergeCell ref="A92:P92"/>
    <mergeCell ref="A103:P103"/>
    <mergeCell ref="A113:P113"/>
    <mergeCell ref="A117:P11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1"/>
  <sheetViews>
    <sheetView zoomScale="84" zoomScaleNormal="84" zoomScalePageLayoutView="0" workbookViewId="0" topLeftCell="A59">
      <selection activeCell="G38" sqref="G38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10.00390625" style="0" bestFit="1" customWidth="1"/>
    <col min="7" max="7" width="10.57421875" style="0" customWidth="1"/>
    <col min="9" max="9" width="11.00390625" style="0" customWidth="1"/>
    <col min="16" max="16" width="18.7109375" style="0" customWidth="1"/>
    <col min="17" max="18" width="14.57421875" style="0" customWidth="1"/>
  </cols>
  <sheetData>
    <row r="1" spans="14:16" ht="15.75">
      <c r="N1" s="145" t="s">
        <v>36</v>
      </c>
      <c r="O1" s="145"/>
      <c r="P1" s="145"/>
    </row>
    <row r="2" spans="14:16" ht="60" customHeight="1">
      <c r="N2" s="128" t="s">
        <v>86</v>
      </c>
      <c r="O2" s="128"/>
      <c r="P2" s="128"/>
    </row>
    <row r="3" spans="14:16" ht="15.75">
      <c r="N3" s="23" t="s">
        <v>82</v>
      </c>
      <c r="O3" s="23"/>
      <c r="P3" s="23"/>
    </row>
    <row r="4" spans="14:16" ht="15.75">
      <c r="N4" s="23"/>
      <c r="O4" s="23"/>
      <c r="P4" s="23"/>
    </row>
    <row r="5" spans="1:16" ht="18.75">
      <c r="A5" s="129" t="s">
        <v>24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38.25" customHeight="1">
      <c r="A6" s="130" t="s">
        <v>132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ht="18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8.75">
      <c r="A8" s="79" t="s">
        <v>25</v>
      </c>
      <c r="B8" s="79">
        <v>10</v>
      </c>
      <c r="C8" s="79"/>
      <c r="D8" s="131" t="s">
        <v>26</v>
      </c>
      <c r="E8" s="131"/>
      <c r="F8" s="131"/>
      <c r="G8" s="131"/>
      <c r="H8" s="131"/>
      <c r="I8" s="131"/>
      <c r="J8" s="131"/>
      <c r="K8" s="79"/>
      <c r="L8" s="79"/>
      <c r="M8" s="79"/>
      <c r="N8" s="79"/>
      <c r="O8" s="79"/>
      <c r="P8" s="79"/>
    </row>
    <row r="9" spans="1:16" ht="18.75">
      <c r="A9" s="79"/>
      <c r="B9" s="79" t="s">
        <v>27</v>
      </c>
      <c r="C9" s="79"/>
      <c r="D9" s="132" t="s">
        <v>28</v>
      </c>
      <c r="E9" s="132"/>
      <c r="F9" s="132"/>
      <c r="G9" s="132"/>
      <c r="H9" s="132"/>
      <c r="I9" s="132"/>
      <c r="J9" s="132"/>
      <c r="K9" s="79"/>
      <c r="L9" s="79"/>
      <c r="M9" s="79"/>
      <c r="N9" s="79"/>
      <c r="O9" s="79"/>
      <c r="P9" s="79"/>
    </row>
    <row r="10" spans="1:16" ht="18.75">
      <c r="A10" s="79" t="s">
        <v>29</v>
      </c>
      <c r="B10" s="79"/>
      <c r="C10" s="79"/>
      <c r="D10" s="131" t="s">
        <v>26</v>
      </c>
      <c r="E10" s="131"/>
      <c r="F10" s="131"/>
      <c r="G10" s="131"/>
      <c r="H10" s="131"/>
      <c r="I10" s="131"/>
      <c r="J10" s="131"/>
      <c r="K10" s="79"/>
      <c r="L10" s="79"/>
      <c r="M10" s="79"/>
      <c r="N10" s="79"/>
      <c r="O10" s="79"/>
      <c r="P10" s="79"/>
    </row>
    <row r="11" spans="4:10" ht="15">
      <c r="D11" s="136" t="s">
        <v>30</v>
      </c>
      <c r="E11" s="136"/>
      <c r="F11" s="136"/>
      <c r="G11" s="136"/>
      <c r="H11" s="136"/>
      <c r="I11" s="136"/>
      <c r="J11" s="136"/>
    </row>
    <row r="12" spans="1:13" ht="18.75">
      <c r="A12" s="78" t="s">
        <v>31</v>
      </c>
      <c r="B12" s="27">
        <v>611010</v>
      </c>
      <c r="D12" s="82" t="s">
        <v>87</v>
      </c>
      <c r="E12" s="82"/>
      <c r="F12" s="82"/>
      <c r="G12" s="82"/>
      <c r="H12" s="82"/>
      <c r="I12" s="82"/>
      <c r="J12" s="82"/>
      <c r="K12" s="82"/>
      <c r="L12" s="82"/>
      <c r="M12" s="82"/>
    </row>
    <row r="13" spans="1:13" ht="15.75">
      <c r="A13" s="22"/>
      <c r="B13" s="27">
        <v>611020</v>
      </c>
      <c r="D13" s="137" t="s">
        <v>85</v>
      </c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3" ht="15">
      <c r="A14" s="22"/>
      <c r="B14" s="27">
        <v>611030</v>
      </c>
      <c r="D14" s="136" t="s">
        <v>32</v>
      </c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2" ht="15">
      <c r="A15" s="22"/>
      <c r="B15" s="27">
        <v>611070</v>
      </c>
    </row>
    <row r="16" spans="1:2" ht="15">
      <c r="A16" s="22"/>
      <c r="B16" s="27">
        <v>611090</v>
      </c>
    </row>
    <row r="17" spans="1:2" ht="15">
      <c r="A17" s="22"/>
      <c r="B17" s="27">
        <v>611150</v>
      </c>
    </row>
    <row r="18" spans="1:2" ht="15">
      <c r="A18" s="22"/>
      <c r="B18" s="27">
        <v>611160</v>
      </c>
    </row>
    <row r="19" spans="1:2" ht="15">
      <c r="A19" s="22"/>
      <c r="B19" s="28">
        <v>617363</v>
      </c>
    </row>
    <row r="20" ht="15">
      <c r="B20" s="26" t="s">
        <v>33</v>
      </c>
    </row>
    <row r="22" spans="1:16" ht="22.5" customHeight="1">
      <c r="A22" s="139" t="s">
        <v>0</v>
      </c>
      <c r="B22" s="139" t="s">
        <v>1</v>
      </c>
      <c r="C22" s="139"/>
      <c r="D22" s="139"/>
      <c r="E22" s="139"/>
      <c r="F22" s="139"/>
      <c r="G22" s="139"/>
      <c r="H22" s="139"/>
      <c r="I22" s="139" t="s">
        <v>2</v>
      </c>
      <c r="J22" s="139"/>
      <c r="K22" s="139"/>
      <c r="L22" s="139"/>
      <c r="M22" s="139"/>
      <c r="N22" s="139"/>
      <c r="O22" s="139"/>
      <c r="P22" s="139" t="s">
        <v>3</v>
      </c>
    </row>
    <row r="23" spans="1:16" ht="24.75" customHeight="1">
      <c r="A23" s="139"/>
      <c r="B23" s="139" t="s">
        <v>127</v>
      </c>
      <c r="C23" s="139"/>
      <c r="D23" s="139"/>
      <c r="E23" s="139"/>
      <c r="F23" s="139"/>
      <c r="G23" s="139"/>
      <c r="H23" s="139"/>
      <c r="I23" s="139" t="s">
        <v>127</v>
      </c>
      <c r="J23" s="139"/>
      <c r="K23" s="139"/>
      <c r="L23" s="139"/>
      <c r="M23" s="139"/>
      <c r="N23" s="139"/>
      <c r="O23" s="139"/>
      <c r="P23" s="139"/>
    </row>
    <row r="24" spans="1:16" ht="15.75" customHeight="1">
      <c r="A24" s="139"/>
      <c r="B24" s="143" t="s">
        <v>4</v>
      </c>
      <c r="C24" s="139" t="s">
        <v>5</v>
      </c>
      <c r="D24" s="139"/>
      <c r="E24" s="139"/>
      <c r="F24" s="139"/>
      <c r="G24" s="139"/>
      <c r="H24" s="139"/>
      <c r="I24" s="139" t="s">
        <v>4</v>
      </c>
      <c r="J24" s="139" t="s">
        <v>5</v>
      </c>
      <c r="K24" s="139"/>
      <c r="L24" s="139"/>
      <c r="M24" s="139"/>
      <c r="N24" s="139"/>
      <c r="O24" s="139"/>
      <c r="P24" s="139"/>
    </row>
    <row r="25" spans="1:16" ht="22.5" customHeight="1">
      <c r="A25" s="139"/>
      <c r="B25" s="143"/>
      <c r="C25" s="139" t="s">
        <v>10</v>
      </c>
      <c r="D25" s="139"/>
      <c r="E25" s="139"/>
      <c r="F25" s="139"/>
      <c r="G25" s="139" t="s">
        <v>11</v>
      </c>
      <c r="H25" s="139"/>
      <c r="I25" s="139"/>
      <c r="J25" s="139" t="s">
        <v>10</v>
      </c>
      <c r="K25" s="139"/>
      <c r="L25" s="139"/>
      <c r="M25" s="139"/>
      <c r="N25" s="139" t="s">
        <v>11</v>
      </c>
      <c r="O25" s="139"/>
      <c r="P25" s="139"/>
    </row>
    <row r="26" spans="1:16" ht="15">
      <c r="A26" s="139"/>
      <c r="B26" s="143"/>
      <c r="C26" s="139" t="s">
        <v>6</v>
      </c>
      <c r="D26" s="139"/>
      <c r="E26" s="139" t="s">
        <v>7</v>
      </c>
      <c r="F26" s="139"/>
      <c r="G26" s="139"/>
      <c r="H26" s="139"/>
      <c r="I26" s="139"/>
      <c r="J26" s="139" t="s">
        <v>6</v>
      </c>
      <c r="K26" s="139"/>
      <c r="L26" s="139" t="s">
        <v>7</v>
      </c>
      <c r="M26" s="139"/>
      <c r="N26" s="139"/>
      <c r="O26" s="139"/>
      <c r="P26" s="139"/>
    </row>
    <row r="27" spans="1:16" ht="45.75" customHeight="1">
      <c r="A27" s="139"/>
      <c r="B27" s="143"/>
      <c r="C27" s="77" t="s">
        <v>8</v>
      </c>
      <c r="D27" s="77" t="s">
        <v>9</v>
      </c>
      <c r="E27" s="77" t="s">
        <v>8</v>
      </c>
      <c r="F27" s="77" t="s">
        <v>9</v>
      </c>
      <c r="G27" s="77" t="s">
        <v>8</v>
      </c>
      <c r="H27" s="77" t="s">
        <v>9</v>
      </c>
      <c r="I27" s="139"/>
      <c r="J27" s="77" t="s">
        <v>8</v>
      </c>
      <c r="K27" s="77" t="s">
        <v>9</v>
      </c>
      <c r="L27" s="77" t="s">
        <v>8</v>
      </c>
      <c r="M27" s="77" t="s">
        <v>9</v>
      </c>
      <c r="N27" s="77" t="s">
        <v>8</v>
      </c>
      <c r="O27" s="77" t="s">
        <v>9</v>
      </c>
      <c r="P27" s="139"/>
    </row>
    <row r="28" spans="1:16" ht="15">
      <c r="A28" s="2">
        <v>1</v>
      </c>
      <c r="B28" s="2">
        <v>2</v>
      </c>
      <c r="C28" s="2">
        <v>3</v>
      </c>
      <c r="D28" s="2">
        <v>4</v>
      </c>
      <c r="E28" s="2">
        <v>5</v>
      </c>
      <c r="F28" s="2">
        <v>6</v>
      </c>
      <c r="G28" s="2">
        <v>7</v>
      </c>
      <c r="H28" s="2">
        <v>8</v>
      </c>
      <c r="I28" s="2">
        <v>9</v>
      </c>
      <c r="J28" s="2">
        <v>10</v>
      </c>
      <c r="K28" s="2">
        <v>11</v>
      </c>
      <c r="L28" s="2">
        <v>12</v>
      </c>
      <c r="M28" s="2">
        <v>13</v>
      </c>
      <c r="N28" s="2">
        <v>14</v>
      </c>
      <c r="O28" s="2">
        <v>15</v>
      </c>
      <c r="P28" s="2">
        <v>16</v>
      </c>
    </row>
    <row r="29" spans="1:16" ht="15">
      <c r="A29" s="146" t="s">
        <v>37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</row>
    <row r="30" spans="1:16" ht="17.25" customHeight="1">
      <c r="A30" s="12" t="s">
        <v>38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4"/>
    </row>
    <row r="31" spans="1:16" ht="30.75" customHeight="1">
      <c r="A31" s="5" t="s">
        <v>39</v>
      </c>
      <c r="B31" s="8">
        <f aca="true" t="shared" si="0" ref="B31:B38">C31+D31+E31+F31+G31+H31</f>
        <v>906506</v>
      </c>
      <c r="C31" s="8">
        <f>'додаток 2022'!C39+'додаток 2023'!C41+'додаток 2024'!C31</f>
        <v>905306</v>
      </c>
      <c r="D31" s="8">
        <f>'додаток 2022'!D39+'додаток 2023'!D41+'додаток 2024'!D31</f>
        <v>0</v>
      </c>
      <c r="E31" s="8">
        <f>'додаток 2022'!E39+'додаток 2023'!E41+'додаток 2024'!E31</f>
        <v>0</v>
      </c>
      <c r="F31" s="8">
        <f>'додаток 2022'!F39+'додаток 2023'!F41+'додаток 2024'!F31</f>
        <v>0</v>
      </c>
      <c r="G31" s="8">
        <f>'додаток 2022'!G39+'додаток 2023'!G41+'додаток 2024'!G31</f>
        <v>1200</v>
      </c>
      <c r="H31" s="8">
        <f>'додаток 2022'!H39+'додаток 2023'!H41+'додаток 2024'!H31</f>
        <v>0</v>
      </c>
      <c r="I31" s="8">
        <f aca="true" t="shared" si="1" ref="I31:I37">J31+K31+L31+M31+N31+O31</f>
        <v>540343.5</v>
      </c>
      <c r="J31" s="8">
        <f>'додаток 2022'!J39+'додаток 2023'!J41+'додаток 2024'!J31</f>
        <v>539786.7</v>
      </c>
      <c r="K31" s="8">
        <f>'додаток 2022'!K39+'додаток 2023'!K41+'додаток 2024'!K31</f>
        <v>0</v>
      </c>
      <c r="L31" s="8">
        <f>'додаток 2022'!L39+'додаток 2023'!L41+'додаток 2024'!L31</f>
        <v>0</v>
      </c>
      <c r="M31" s="8">
        <f>'додаток 2022'!M39+'додаток 2023'!M41+'додаток 2024'!M31</f>
        <v>0</v>
      </c>
      <c r="N31" s="8">
        <f>'додаток 2022'!N39+'додаток 2023'!N41+'додаток 2024'!N31</f>
        <v>556.8</v>
      </c>
      <c r="O31" s="8">
        <f>'додаток 2022'!O39+'додаток 2023'!O41+'додаток 2024'!O31</f>
        <v>0</v>
      </c>
      <c r="P31" s="63">
        <f>I31/B31*100</f>
        <v>59.60727231810932</v>
      </c>
    </row>
    <row r="32" spans="1:16" ht="30.75" customHeight="1">
      <c r="A32" s="5" t="s">
        <v>40</v>
      </c>
      <c r="B32" s="8">
        <f t="shared" si="0"/>
        <v>89626.9</v>
      </c>
      <c r="C32" s="8">
        <f>'додаток 2022'!C40+'додаток 2023'!C42+'додаток 2024'!C32</f>
        <v>29903.1</v>
      </c>
      <c r="D32" s="8">
        <f>'додаток 2022'!D40+'додаток 2023'!D42+'додаток 2024'!D32</f>
        <v>59723.8</v>
      </c>
      <c r="E32" s="8">
        <f>'додаток 2022'!E40+'додаток 2023'!E42+'додаток 2024'!E32</f>
        <v>0</v>
      </c>
      <c r="F32" s="8">
        <f>'додаток 2022'!F40+'додаток 2023'!F42+'додаток 2024'!F32</f>
        <v>0</v>
      </c>
      <c r="G32" s="8">
        <f>'додаток 2022'!G40+'додаток 2023'!G42+'додаток 2024'!G32</f>
        <v>0</v>
      </c>
      <c r="H32" s="8">
        <f>'додаток 2022'!H40+'додаток 2023'!H42+'додаток 2024'!H32</f>
        <v>0</v>
      </c>
      <c r="I32" s="8">
        <f t="shared" si="1"/>
        <v>39865.4</v>
      </c>
      <c r="J32" s="8">
        <f>'додаток 2022'!J40+'додаток 2023'!J42+'додаток 2024'!J32</f>
        <v>16608.100000000002</v>
      </c>
      <c r="K32" s="8">
        <f>'додаток 2022'!K40+'додаток 2023'!K42+'додаток 2024'!K32</f>
        <v>23257.3</v>
      </c>
      <c r="L32" s="8">
        <f>'додаток 2022'!L40+'додаток 2023'!L42+'додаток 2024'!L32</f>
        <v>0</v>
      </c>
      <c r="M32" s="8">
        <f>'додаток 2022'!M40+'додаток 2023'!M42+'додаток 2024'!M32</f>
        <v>0</v>
      </c>
      <c r="N32" s="8">
        <f>'додаток 2022'!N40+'додаток 2023'!N42+'додаток 2024'!N32</f>
        <v>0</v>
      </c>
      <c r="O32" s="8">
        <f>'додаток 2022'!O40+'додаток 2023'!O42+'додаток 2024'!O32</f>
        <v>0</v>
      </c>
      <c r="P32" s="63">
        <f aca="true" t="shared" si="2" ref="P32:P37">I32/B32*100</f>
        <v>44.47928021609584</v>
      </c>
    </row>
    <row r="33" spans="1:16" ht="30.75" customHeight="1">
      <c r="A33" s="5" t="s">
        <v>41</v>
      </c>
      <c r="B33" s="8">
        <f t="shared" si="0"/>
        <v>175183.3</v>
      </c>
      <c r="C33" s="8">
        <f>'додаток 2022'!C41+'додаток 2023'!C43+'додаток 2024'!C33</f>
        <v>165523.3</v>
      </c>
      <c r="D33" s="8">
        <f>'додаток 2022'!D41+'додаток 2023'!D43+'додаток 2024'!D33</f>
        <v>9300</v>
      </c>
      <c r="E33" s="8">
        <f>'додаток 2022'!E41+'додаток 2023'!E43+'додаток 2024'!E33</f>
        <v>0</v>
      </c>
      <c r="F33" s="8">
        <f>'додаток 2022'!F41+'додаток 2023'!F43+'додаток 2024'!F33</f>
        <v>0</v>
      </c>
      <c r="G33" s="8">
        <f>'додаток 2022'!G41+'додаток 2023'!G43+'додаток 2024'!G33</f>
        <v>360</v>
      </c>
      <c r="H33" s="8">
        <f>'додаток 2022'!H41+'додаток 2023'!H43+'додаток 2024'!H33</f>
        <v>0</v>
      </c>
      <c r="I33" s="8">
        <f t="shared" si="1"/>
        <v>97892.29999999996</v>
      </c>
      <c r="J33" s="8">
        <f>'додаток 2022'!J41+'додаток 2023'!J43+'додаток 2024'!J33</f>
        <v>91473.29999999996</v>
      </c>
      <c r="K33" s="8">
        <f>'додаток 2022'!K41+'додаток 2023'!K43+'додаток 2024'!K33</f>
        <v>6418.999999999999</v>
      </c>
      <c r="L33" s="8">
        <f>'додаток 2022'!L41+'додаток 2023'!L43+'додаток 2024'!L33</f>
        <v>0</v>
      </c>
      <c r="M33" s="8">
        <f>'додаток 2022'!M41+'додаток 2023'!M43+'додаток 2024'!M33</f>
        <v>0</v>
      </c>
      <c r="N33" s="8">
        <f>'додаток 2022'!N41+'додаток 2023'!N43+'додаток 2024'!N33</f>
        <v>0</v>
      </c>
      <c r="O33" s="8">
        <f>'додаток 2022'!O41+'додаток 2023'!O43+'додаток 2024'!O33</f>
        <v>0</v>
      </c>
      <c r="P33" s="63">
        <f t="shared" si="2"/>
        <v>55.87992691084137</v>
      </c>
    </row>
    <row r="34" spans="1:16" ht="24.75" customHeight="1" hidden="1">
      <c r="A34" s="4" t="s">
        <v>42</v>
      </c>
      <c r="B34" s="8">
        <f t="shared" si="0"/>
        <v>0</v>
      </c>
      <c r="C34" s="8"/>
      <c r="D34" s="8"/>
      <c r="E34" s="8"/>
      <c r="F34" s="8"/>
      <c r="G34" s="8"/>
      <c r="H34" s="8"/>
      <c r="I34" s="8">
        <f t="shared" si="1"/>
        <v>0</v>
      </c>
      <c r="J34" s="8"/>
      <c r="K34" s="8"/>
      <c r="L34" s="8"/>
      <c r="M34" s="8"/>
      <c r="N34" s="8"/>
      <c r="O34" s="8"/>
      <c r="P34" s="63" t="e">
        <f t="shared" si="2"/>
        <v>#DIV/0!</v>
      </c>
    </row>
    <row r="35" spans="1:16" ht="30.75" customHeight="1" hidden="1">
      <c r="A35" s="5" t="s">
        <v>43</v>
      </c>
      <c r="B35" s="8">
        <f t="shared" si="0"/>
        <v>0</v>
      </c>
      <c r="C35" s="8"/>
      <c r="D35" s="8"/>
      <c r="E35" s="8"/>
      <c r="F35" s="8"/>
      <c r="G35" s="8"/>
      <c r="H35" s="8"/>
      <c r="I35" s="8">
        <f t="shared" si="1"/>
        <v>0</v>
      </c>
      <c r="J35" s="8"/>
      <c r="K35" s="8"/>
      <c r="L35" s="8"/>
      <c r="M35" s="8"/>
      <c r="N35" s="8"/>
      <c r="O35" s="8"/>
      <c r="P35" s="63" t="e">
        <f t="shared" si="2"/>
        <v>#DIV/0!</v>
      </c>
    </row>
    <row r="36" spans="1:16" ht="30.75" customHeight="1" hidden="1">
      <c r="A36" s="5" t="s">
        <v>44</v>
      </c>
      <c r="B36" s="8">
        <f>C36+D36+E36+F36+G36+H36</f>
        <v>0</v>
      </c>
      <c r="C36" s="8"/>
      <c r="D36" s="8"/>
      <c r="E36" s="8"/>
      <c r="F36" s="8"/>
      <c r="G36" s="8"/>
      <c r="H36" s="8"/>
      <c r="I36" s="8">
        <f t="shared" si="1"/>
        <v>0</v>
      </c>
      <c r="J36" s="8"/>
      <c r="K36" s="8"/>
      <c r="L36" s="8"/>
      <c r="M36" s="8"/>
      <c r="N36" s="8"/>
      <c r="O36" s="8"/>
      <c r="P36" s="63" t="e">
        <f t="shared" si="2"/>
        <v>#DIV/0!</v>
      </c>
    </row>
    <row r="37" spans="1:16" ht="30.75" customHeight="1" hidden="1">
      <c r="A37" s="5" t="s">
        <v>45</v>
      </c>
      <c r="B37" s="8">
        <f>C37+D37+E37+F37+G37+H37</f>
        <v>0</v>
      </c>
      <c r="C37" s="8"/>
      <c r="D37" s="8"/>
      <c r="E37" s="8"/>
      <c r="F37" s="8"/>
      <c r="G37" s="8"/>
      <c r="H37" s="8"/>
      <c r="I37" s="8">
        <f t="shared" si="1"/>
        <v>0</v>
      </c>
      <c r="J37" s="8"/>
      <c r="K37" s="8"/>
      <c r="L37" s="8"/>
      <c r="M37" s="8"/>
      <c r="N37" s="8"/>
      <c r="O37" s="8"/>
      <c r="P37" s="63" t="e">
        <f t="shared" si="2"/>
        <v>#DIV/0!</v>
      </c>
    </row>
    <row r="38" spans="1:18" ht="15">
      <c r="A38" s="19" t="s">
        <v>12</v>
      </c>
      <c r="B38" s="21">
        <f t="shared" si="0"/>
        <v>1171316.2</v>
      </c>
      <c r="C38" s="21">
        <f aca="true" t="shared" si="3" ref="C38:O38">SUM(C30:C37)</f>
        <v>1100732.4</v>
      </c>
      <c r="D38" s="21">
        <f t="shared" si="3"/>
        <v>69023.8</v>
      </c>
      <c r="E38" s="21">
        <f t="shared" si="3"/>
        <v>0</v>
      </c>
      <c r="F38" s="21">
        <f t="shared" si="3"/>
        <v>0</v>
      </c>
      <c r="G38" s="21">
        <f t="shared" si="3"/>
        <v>1560</v>
      </c>
      <c r="H38" s="21">
        <f t="shared" si="3"/>
        <v>0</v>
      </c>
      <c r="I38" s="21">
        <f t="shared" si="3"/>
        <v>678101.2</v>
      </c>
      <c r="J38" s="21">
        <f t="shared" si="3"/>
        <v>647868.0999999999</v>
      </c>
      <c r="K38" s="21">
        <f t="shared" si="3"/>
        <v>29676.3</v>
      </c>
      <c r="L38" s="21">
        <f t="shared" si="3"/>
        <v>0</v>
      </c>
      <c r="M38" s="21">
        <f t="shared" si="3"/>
        <v>0</v>
      </c>
      <c r="N38" s="21">
        <f t="shared" si="3"/>
        <v>556.8</v>
      </c>
      <c r="O38" s="21">
        <f t="shared" si="3"/>
        <v>0</v>
      </c>
      <c r="P38" s="29">
        <f>I38/B38*100</f>
        <v>57.8922412240179</v>
      </c>
      <c r="Q38" s="62"/>
      <c r="R38" s="62"/>
    </row>
    <row r="39" spans="1:16" ht="15.75">
      <c r="A39" s="138" t="s">
        <v>46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1:16" ht="21" customHeight="1">
      <c r="A40" s="12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30.75" customHeight="1">
      <c r="A41" s="52" t="s">
        <v>48</v>
      </c>
      <c r="B41" s="36">
        <f aca="true" t="shared" si="4" ref="B41:B49">C41+D41+E41+F41+G41+H41</f>
        <v>1360231.9</v>
      </c>
      <c r="C41" s="8">
        <f>'додаток 2022'!C49+'додаток 2023'!C51+'додаток 2024'!C41</f>
        <v>324894.6</v>
      </c>
      <c r="D41" s="8">
        <f>'додаток 2022'!D49+'додаток 2023'!D51+'додаток 2024'!D41</f>
        <v>6996</v>
      </c>
      <c r="E41" s="8">
        <f>'додаток 2022'!E49+'додаток 2023'!E51+'додаток 2024'!E41</f>
        <v>0</v>
      </c>
      <c r="F41" s="8">
        <f>'додаток 2022'!F49+'додаток 2023'!F51+'додаток 2024'!F41</f>
        <v>0</v>
      </c>
      <c r="G41" s="8">
        <f>'додаток 2022'!G49+'додаток 2023'!G51+'додаток 2024'!G41</f>
        <v>1028341.3</v>
      </c>
      <c r="H41" s="8">
        <f>'додаток 2022'!H49+'додаток 2023'!H51+'додаток 2024'!H41</f>
        <v>0</v>
      </c>
      <c r="I41" s="64">
        <f aca="true" t="shared" si="5" ref="I41:I46">J41+K41+L41+M41+N41+O41</f>
        <v>1228966.1</v>
      </c>
      <c r="J41" s="8">
        <f>'додаток 2022'!J49+'додаток 2023'!J51+'додаток 2024'!J41</f>
        <v>306731</v>
      </c>
      <c r="K41" s="8">
        <f>'додаток 2022'!K49+'додаток 2023'!K51+'додаток 2024'!K41</f>
        <v>6567</v>
      </c>
      <c r="L41" s="8">
        <f>'додаток 2022'!L49+'додаток 2023'!L51+'додаток 2024'!L41</f>
        <v>0</v>
      </c>
      <c r="M41" s="8">
        <f>'додаток 2022'!M49+'додаток 2023'!M51+'додаток 2024'!M41</f>
        <v>0</v>
      </c>
      <c r="N41" s="8">
        <f>'додаток 2022'!N49+'додаток 2023'!N51+'додаток 2024'!N41</f>
        <v>915668.1</v>
      </c>
      <c r="O41" s="8">
        <f>'додаток 2022'!O49+'додаток 2023'!O51+'додаток 2024'!O41</f>
        <v>0</v>
      </c>
      <c r="P41" s="69">
        <f aca="true" t="shared" si="6" ref="P41:P48">I41/B41*100</f>
        <v>90.34974845098105</v>
      </c>
    </row>
    <row r="42" spans="1:17" ht="41.25" customHeight="1">
      <c r="A42" s="52" t="s">
        <v>49</v>
      </c>
      <c r="B42" s="36">
        <f t="shared" si="4"/>
        <v>6000</v>
      </c>
      <c r="C42" s="8">
        <f>'додаток 2022'!C50+'додаток 2023'!C52+'додаток 2024'!C42</f>
        <v>0</v>
      </c>
      <c r="D42" s="8">
        <f>'додаток 2022'!D50+'додаток 2023'!D52+'додаток 2024'!D42</f>
        <v>0</v>
      </c>
      <c r="E42" s="8">
        <f>'додаток 2022'!E50+'додаток 2023'!E52+'додаток 2024'!E42</f>
        <v>0</v>
      </c>
      <c r="F42" s="8">
        <f>'додаток 2022'!F50+'додаток 2023'!F52+'додаток 2024'!F42</f>
        <v>0</v>
      </c>
      <c r="G42" s="8">
        <f>'додаток 2022'!G50+'додаток 2023'!G52+'додаток 2024'!G42</f>
        <v>6000</v>
      </c>
      <c r="H42" s="8">
        <f>'додаток 2022'!H50+'додаток 2023'!H52+'додаток 2024'!H42</f>
        <v>0</v>
      </c>
      <c r="I42" s="64">
        <f t="shared" si="5"/>
        <v>3621.8999999999996</v>
      </c>
      <c r="J42" s="8">
        <f>'додаток 2022'!J50+'додаток 2023'!J52+'додаток 2024'!J42</f>
        <v>0</v>
      </c>
      <c r="K42" s="8">
        <f>'додаток 2022'!K50+'додаток 2023'!K52+'додаток 2024'!K42</f>
        <v>0</v>
      </c>
      <c r="L42" s="8">
        <f>'додаток 2022'!L50+'додаток 2023'!L52+'додаток 2024'!L42</f>
        <v>0</v>
      </c>
      <c r="M42" s="8">
        <f>'додаток 2022'!M50+'додаток 2023'!M52+'додаток 2024'!M42</f>
        <v>0</v>
      </c>
      <c r="N42" s="8">
        <f>'додаток 2022'!N50+'додаток 2023'!N52+'додаток 2024'!N42</f>
        <v>3621.8999999999996</v>
      </c>
      <c r="O42" s="8">
        <f>'додаток 2022'!O50+'додаток 2023'!O52+'додаток 2024'!O42</f>
        <v>0</v>
      </c>
      <c r="P42" s="69">
        <f t="shared" si="6"/>
        <v>60.36499999999999</v>
      </c>
      <c r="Q42" s="62"/>
    </row>
    <row r="43" spans="1:16" ht="52.5" customHeight="1">
      <c r="A43" s="52" t="s">
        <v>95</v>
      </c>
      <c r="B43" s="36">
        <f t="shared" si="4"/>
        <v>87345.5</v>
      </c>
      <c r="C43" s="8">
        <f>'додаток 2022'!C51+'додаток 2023'!C53+'додаток 2024'!C43</f>
        <v>23771.699999999997</v>
      </c>
      <c r="D43" s="8">
        <f>'додаток 2022'!D51+'додаток 2023'!D53+'додаток 2024'!D43</f>
        <v>63573.8</v>
      </c>
      <c r="E43" s="8">
        <f>'додаток 2022'!E51+'додаток 2023'!E53+'додаток 2024'!E43</f>
        <v>0</v>
      </c>
      <c r="F43" s="8">
        <f>'додаток 2022'!F51+'додаток 2023'!F53+'додаток 2024'!F43</f>
        <v>0</v>
      </c>
      <c r="G43" s="8">
        <f>'додаток 2022'!G51+'додаток 2023'!G53+'додаток 2024'!G43</f>
        <v>0</v>
      </c>
      <c r="H43" s="8">
        <f>'додаток 2022'!H51+'додаток 2023'!H53+'додаток 2024'!H43</f>
        <v>0</v>
      </c>
      <c r="I43" s="64">
        <f t="shared" si="5"/>
        <v>69585.6</v>
      </c>
      <c r="J43" s="8">
        <f>'додаток 2022'!J51+'додаток 2023'!J53+'додаток 2024'!J43</f>
        <v>11774.6</v>
      </c>
      <c r="K43" s="8">
        <f>'додаток 2022'!K51+'додаток 2023'!K53+'додаток 2024'!K43</f>
        <v>57811</v>
      </c>
      <c r="L43" s="8">
        <f>'додаток 2022'!L51+'додаток 2023'!L53+'додаток 2024'!L43</f>
        <v>0</v>
      </c>
      <c r="M43" s="8">
        <f>'додаток 2022'!M51+'додаток 2023'!M53+'додаток 2024'!M43</f>
        <v>0</v>
      </c>
      <c r="N43" s="8">
        <f>'додаток 2022'!N51+'додаток 2023'!N53+'додаток 2024'!N43</f>
        <v>0</v>
      </c>
      <c r="O43" s="8">
        <f>'додаток 2022'!O51+'додаток 2023'!O53+'додаток 2024'!O43</f>
        <v>0</v>
      </c>
      <c r="P43" s="69">
        <f t="shared" si="6"/>
        <v>79.66706928233282</v>
      </c>
    </row>
    <row r="44" spans="1:16" ht="27.75" customHeight="1">
      <c r="A44" s="37" t="s">
        <v>50</v>
      </c>
      <c r="B44" s="36">
        <f t="shared" si="4"/>
        <v>219821.4</v>
      </c>
      <c r="C44" s="8">
        <f>'додаток 2022'!C52+'додаток 2023'!C54+'додаток 2024'!C44</f>
        <v>149521.4</v>
      </c>
      <c r="D44" s="8">
        <f>'додаток 2022'!D52+'додаток 2023'!D54+'додаток 2024'!D44</f>
        <v>57500</v>
      </c>
      <c r="E44" s="8">
        <f>'додаток 2022'!E52+'додаток 2023'!E54+'додаток 2024'!E44</f>
        <v>0</v>
      </c>
      <c r="F44" s="8">
        <f>'додаток 2022'!F52+'додаток 2023'!F54+'додаток 2024'!F44</f>
        <v>0</v>
      </c>
      <c r="G44" s="8">
        <f>'додаток 2022'!G52+'додаток 2023'!G54+'додаток 2024'!G44</f>
        <v>12800</v>
      </c>
      <c r="H44" s="8">
        <f>'додаток 2022'!H52+'додаток 2023'!H54+'додаток 2024'!H44</f>
        <v>0</v>
      </c>
      <c r="I44" s="64">
        <f t="shared" si="5"/>
        <v>192183.09999999998</v>
      </c>
      <c r="J44" s="8">
        <f>'додаток 2022'!J52+'додаток 2023'!J54+'додаток 2024'!J44</f>
        <v>142879.59999999998</v>
      </c>
      <c r="K44" s="8">
        <f>'додаток 2022'!K52+'додаток 2023'!K54+'додаток 2024'!K44</f>
        <v>49303.5</v>
      </c>
      <c r="L44" s="8">
        <f>'додаток 2022'!L52+'додаток 2023'!L54+'додаток 2024'!L44</f>
        <v>0</v>
      </c>
      <c r="M44" s="8">
        <f>'додаток 2022'!M52+'додаток 2023'!M54+'додаток 2024'!M44</f>
        <v>0</v>
      </c>
      <c r="N44" s="8">
        <f>'додаток 2022'!N52+'додаток 2023'!N54+'додаток 2024'!N44</f>
        <v>0</v>
      </c>
      <c r="O44" s="8">
        <f>'додаток 2022'!O52+'додаток 2023'!O54+'додаток 2024'!O44</f>
        <v>0</v>
      </c>
      <c r="P44" s="69">
        <f t="shared" si="6"/>
        <v>87.426929316254</v>
      </c>
    </row>
    <row r="45" spans="1:17" ht="20.25" customHeight="1" hidden="1">
      <c r="A45" s="53" t="s">
        <v>51</v>
      </c>
      <c r="B45" s="36">
        <f t="shared" si="4"/>
        <v>0</v>
      </c>
      <c r="C45" s="36"/>
      <c r="D45" s="67"/>
      <c r="E45" s="67"/>
      <c r="F45" s="67"/>
      <c r="G45" s="67"/>
      <c r="H45" s="67"/>
      <c r="I45" s="64">
        <f t="shared" si="5"/>
        <v>0</v>
      </c>
      <c r="J45" s="64"/>
      <c r="K45" s="68"/>
      <c r="L45" s="68"/>
      <c r="M45" s="68"/>
      <c r="N45" s="68"/>
      <c r="O45" s="68"/>
      <c r="P45" s="69" t="e">
        <f t="shared" si="6"/>
        <v>#DIV/0!</v>
      </c>
      <c r="Q45" s="62"/>
    </row>
    <row r="46" spans="1:16" ht="30.75" customHeight="1" hidden="1">
      <c r="A46" s="52" t="s">
        <v>52</v>
      </c>
      <c r="B46" s="36">
        <f t="shared" si="4"/>
        <v>0</v>
      </c>
      <c r="C46" s="36"/>
      <c r="D46" s="36"/>
      <c r="E46" s="36"/>
      <c r="F46" s="36"/>
      <c r="G46" s="36"/>
      <c r="H46" s="36"/>
      <c r="I46" s="64">
        <f t="shared" si="5"/>
        <v>0</v>
      </c>
      <c r="J46" s="64"/>
      <c r="K46" s="68"/>
      <c r="L46" s="68"/>
      <c r="M46" s="64"/>
      <c r="N46" s="68"/>
      <c r="O46" s="68"/>
      <c r="P46" s="69" t="e">
        <f t="shared" si="6"/>
        <v>#DIV/0!</v>
      </c>
    </row>
    <row r="47" spans="1:16" ht="21.75" customHeight="1" hidden="1">
      <c r="A47" s="54" t="s">
        <v>53</v>
      </c>
      <c r="B47" s="36">
        <f t="shared" si="4"/>
        <v>0</v>
      </c>
      <c r="C47" s="36"/>
      <c r="D47" s="36"/>
      <c r="E47" s="36"/>
      <c r="F47" s="36"/>
      <c r="G47" s="36"/>
      <c r="H47" s="36"/>
      <c r="I47" s="64">
        <f>J47+K47+L47+M47+N47+O47</f>
        <v>0</v>
      </c>
      <c r="J47" s="68"/>
      <c r="K47" s="68"/>
      <c r="L47" s="68"/>
      <c r="M47" s="68"/>
      <c r="N47" s="68"/>
      <c r="O47" s="68"/>
      <c r="P47" s="69" t="e">
        <f t="shared" si="6"/>
        <v>#DIV/0!</v>
      </c>
    </row>
    <row r="48" spans="1:16" ht="30.75" customHeight="1" hidden="1">
      <c r="A48" s="37" t="s">
        <v>54</v>
      </c>
      <c r="B48" s="36">
        <f t="shared" si="4"/>
        <v>0</v>
      </c>
      <c r="C48" s="36"/>
      <c r="D48" s="36"/>
      <c r="E48" s="67"/>
      <c r="F48" s="67"/>
      <c r="G48" s="67"/>
      <c r="H48" s="67"/>
      <c r="I48" s="64">
        <f>J48+K48+L48+M48+N48+O48</f>
        <v>0</v>
      </c>
      <c r="J48" s="68"/>
      <c r="K48" s="64"/>
      <c r="L48" s="68"/>
      <c r="M48" s="68"/>
      <c r="N48" s="68"/>
      <c r="O48" s="68"/>
      <c r="P48" s="69" t="e">
        <f t="shared" si="6"/>
        <v>#DIV/0!</v>
      </c>
    </row>
    <row r="49" spans="1:16" ht="20.25" customHeight="1">
      <c r="A49" s="19" t="s">
        <v>13</v>
      </c>
      <c r="B49" s="21">
        <f t="shared" si="4"/>
        <v>1673398.8</v>
      </c>
      <c r="C49" s="21">
        <f aca="true" t="shared" si="7" ref="C49:O49">SUM(C41:C48)</f>
        <v>498187.69999999995</v>
      </c>
      <c r="D49" s="20">
        <f t="shared" si="7"/>
        <v>128069.8</v>
      </c>
      <c r="E49" s="21">
        <f t="shared" si="7"/>
        <v>0</v>
      </c>
      <c r="F49" s="21">
        <f t="shared" si="7"/>
        <v>0</v>
      </c>
      <c r="G49" s="21">
        <f t="shared" si="7"/>
        <v>1047141.3</v>
      </c>
      <c r="H49" s="20">
        <f t="shared" si="7"/>
        <v>0</v>
      </c>
      <c r="I49" s="20">
        <f t="shared" si="7"/>
        <v>1494356.7000000002</v>
      </c>
      <c r="J49" s="20">
        <f t="shared" si="7"/>
        <v>461385.19999999995</v>
      </c>
      <c r="K49" s="20">
        <f t="shared" si="7"/>
        <v>113681.5</v>
      </c>
      <c r="L49" s="20">
        <f t="shared" si="7"/>
        <v>0</v>
      </c>
      <c r="M49" s="20">
        <f t="shared" si="7"/>
        <v>0</v>
      </c>
      <c r="N49" s="20">
        <f t="shared" si="7"/>
        <v>919290</v>
      </c>
      <c r="O49" s="20">
        <f t="shared" si="7"/>
        <v>0</v>
      </c>
      <c r="P49" s="29">
        <f>I49/B49*100</f>
        <v>89.30069150282647</v>
      </c>
    </row>
    <row r="50" spans="1:16" ht="15.75">
      <c r="A50" s="138" t="s">
        <v>89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1:16" ht="26.25">
      <c r="A51" s="48" t="s">
        <v>55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1:16" ht="27.75" customHeight="1">
      <c r="A52" s="7" t="s">
        <v>96</v>
      </c>
      <c r="B52" s="8">
        <f aca="true" t="shared" si="8" ref="B52:B58">C52+D52+E52+F52+G52+H52</f>
        <v>60458.2</v>
      </c>
      <c r="C52" s="8">
        <f>'додаток 2022'!C60+'додаток 2023'!C62+'додаток 2024'!C52</f>
        <v>24833.7</v>
      </c>
      <c r="D52" s="8">
        <f>'додаток 2022'!D60+'додаток 2023'!D62+'додаток 2024'!D52</f>
        <v>0</v>
      </c>
      <c r="E52" s="8">
        <f>'додаток 2022'!E60+'додаток 2023'!E62+'додаток 2024'!E52</f>
        <v>0</v>
      </c>
      <c r="F52" s="8">
        <f>'додаток 2022'!F60+'додаток 2023'!F62+'додаток 2024'!F52</f>
        <v>0</v>
      </c>
      <c r="G52" s="8">
        <f>'додаток 2022'!G60+'додаток 2023'!G62+'додаток 2024'!G52</f>
        <v>35624.5</v>
      </c>
      <c r="H52" s="8">
        <f>'додаток 2022'!H60+'додаток 2023'!H62+'додаток 2024'!H52</f>
        <v>0</v>
      </c>
      <c r="I52" s="8">
        <f aca="true" t="shared" si="9" ref="I52:I58">J52+K52+L52+M52+N52+O52</f>
        <v>56540.4</v>
      </c>
      <c r="J52" s="8">
        <f>'додаток 2022'!J60+'додаток 2023'!J62+'додаток 2024'!J52</f>
        <v>23917.9</v>
      </c>
      <c r="K52" s="8">
        <f>'додаток 2022'!K60+'додаток 2023'!K62+'додаток 2024'!K52</f>
        <v>0</v>
      </c>
      <c r="L52" s="8">
        <f>'додаток 2022'!L60+'додаток 2023'!L62+'додаток 2024'!L52</f>
        <v>0</v>
      </c>
      <c r="M52" s="8">
        <f>'додаток 2022'!M60+'додаток 2023'!M62+'додаток 2024'!M52</f>
        <v>0</v>
      </c>
      <c r="N52" s="8">
        <f>'додаток 2022'!N60+'додаток 2023'!N62+'додаток 2024'!N52</f>
        <v>32622.5</v>
      </c>
      <c r="O52" s="8">
        <f>'додаток 2022'!O60+'додаток 2023'!O62+'додаток 2024'!O52</f>
        <v>0</v>
      </c>
      <c r="P52" s="63">
        <f aca="true" t="shared" si="10" ref="P52:P58">I52/B52*100</f>
        <v>93.51982030559958</v>
      </c>
    </row>
    <row r="53" spans="1:16" ht="26.25">
      <c r="A53" s="7" t="s">
        <v>94</v>
      </c>
      <c r="B53" s="8">
        <f t="shared" si="8"/>
        <v>4433.6</v>
      </c>
      <c r="C53" s="8">
        <f>'додаток 2022'!C61+'додаток 2023'!C63+'додаток 2024'!C53</f>
        <v>4433.6</v>
      </c>
      <c r="D53" s="8">
        <f>'додаток 2022'!D61+'додаток 2023'!D63+'додаток 2024'!D53</f>
        <v>0</v>
      </c>
      <c r="E53" s="8">
        <f>'додаток 2022'!E61+'додаток 2023'!E63+'додаток 2024'!E53</f>
        <v>0</v>
      </c>
      <c r="F53" s="8">
        <f>'додаток 2022'!F61+'додаток 2023'!F63+'додаток 2024'!F53</f>
        <v>0</v>
      </c>
      <c r="G53" s="8">
        <f>'додаток 2022'!G61+'додаток 2023'!G63+'додаток 2024'!G53</f>
        <v>0</v>
      </c>
      <c r="H53" s="8">
        <f>'додаток 2022'!H61+'додаток 2023'!H63+'додаток 2024'!H53</f>
        <v>0</v>
      </c>
      <c r="I53" s="8">
        <f t="shared" si="9"/>
        <v>2557.3999999999996</v>
      </c>
      <c r="J53" s="8">
        <f>'додаток 2022'!J61+'додаток 2023'!J63+'додаток 2024'!J53</f>
        <v>2557.3999999999996</v>
      </c>
      <c r="K53" s="8">
        <f>'додаток 2022'!K61+'додаток 2023'!K63+'додаток 2024'!K53</f>
        <v>0</v>
      </c>
      <c r="L53" s="8">
        <f>'додаток 2022'!L61+'додаток 2023'!L63+'додаток 2024'!L53</f>
        <v>0</v>
      </c>
      <c r="M53" s="8">
        <f>'додаток 2022'!M61+'додаток 2023'!M63+'додаток 2024'!M53</f>
        <v>0</v>
      </c>
      <c r="N53" s="8">
        <f>'додаток 2022'!N61+'додаток 2023'!N63+'додаток 2024'!N53</f>
        <v>0</v>
      </c>
      <c r="O53" s="8">
        <f>'додаток 2022'!O61+'додаток 2023'!O63+'додаток 2024'!O53</f>
        <v>0</v>
      </c>
      <c r="P53" s="63">
        <f t="shared" si="10"/>
        <v>57.682244677011894</v>
      </c>
    </row>
    <row r="54" spans="1:16" ht="26.25">
      <c r="A54" s="7" t="s">
        <v>97</v>
      </c>
      <c r="B54" s="8">
        <f t="shared" si="8"/>
        <v>7746.8</v>
      </c>
      <c r="C54" s="8">
        <f>'додаток 2022'!C62+'додаток 2023'!C64+'додаток 2024'!C54</f>
        <v>6506.8</v>
      </c>
      <c r="D54" s="8">
        <f>'додаток 2022'!D62+'додаток 2023'!D64+'додаток 2024'!D54</f>
        <v>1040</v>
      </c>
      <c r="E54" s="8">
        <f>'додаток 2022'!E62+'додаток 2023'!E64+'додаток 2024'!E54</f>
        <v>0</v>
      </c>
      <c r="F54" s="8">
        <f>'додаток 2022'!F62+'додаток 2023'!F64+'додаток 2024'!F54</f>
        <v>0</v>
      </c>
      <c r="G54" s="8">
        <f>'додаток 2022'!G62+'додаток 2023'!G64+'додаток 2024'!G54</f>
        <v>200</v>
      </c>
      <c r="H54" s="8">
        <f>'додаток 2022'!H62+'додаток 2023'!H64+'додаток 2024'!H54</f>
        <v>0</v>
      </c>
      <c r="I54" s="8">
        <f t="shared" si="9"/>
        <v>6624</v>
      </c>
      <c r="J54" s="8">
        <f>'додаток 2022'!J62+'додаток 2023'!J64+'додаток 2024'!J54</f>
        <v>5781.1</v>
      </c>
      <c r="K54" s="8">
        <f>'додаток 2022'!K62+'додаток 2023'!K64+'додаток 2024'!K54</f>
        <v>842.9</v>
      </c>
      <c r="L54" s="8">
        <f>'додаток 2022'!L62+'додаток 2023'!L64+'додаток 2024'!L54</f>
        <v>0</v>
      </c>
      <c r="M54" s="8">
        <f>'додаток 2022'!M62+'додаток 2023'!M64+'додаток 2024'!M54</f>
        <v>0</v>
      </c>
      <c r="N54" s="8">
        <f>'додаток 2022'!N62+'додаток 2023'!N64+'додаток 2024'!N54</f>
        <v>0</v>
      </c>
      <c r="O54" s="8">
        <f>'додаток 2022'!O62+'додаток 2023'!O64+'додаток 2024'!O54</f>
        <v>0</v>
      </c>
      <c r="P54" s="63">
        <f t="shared" si="10"/>
        <v>85.50627355811432</v>
      </c>
    </row>
    <row r="55" spans="1:16" ht="39">
      <c r="A55" s="48" t="s">
        <v>90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81"/>
    </row>
    <row r="56" spans="1:16" ht="26.25">
      <c r="A56" s="7" t="s">
        <v>91</v>
      </c>
      <c r="B56" s="32">
        <f t="shared" si="8"/>
        <v>22998.899999999998</v>
      </c>
      <c r="C56" s="8">
        <f>'додаток 2022'!C64+'додаток 2023'!C66+'додаток 2024'!C56</f>
        <v>20509.6</v>
      </c>
      <c r="D56" s="8">
        <f>'додаток 2022'!D64+'додаток 2023'!D66+'додаток 2024'!D56</f>
        <v>0</v>
      </c>
      <c r="E56" s="8">
        <f>'додаток 2022'!E64+'додаток 2023'!E66+'додаток 2024'!E56</f>
        <v>0</v>
      </c>
      <c r="F56" s="8">
        <f>'додаток 2022'!F64+'додаток 2023'!F66+'додаток 2024'!F56</f>
        <v>0</v>
      </c>
      <c r="G56" s="8">
        <f>'додаток 2022'!G64+'додаток 2023'!G66+'додаток 2024'!G56</f>
        <v>2489.3</v>
      </c>
      <c r="H56" s="8">
        <f>'додаток 2022'!H64+'додаток 2023'!H66+'додаток 2024'!H56</f>
        <v>0</v>
      </c>
      <c r="I56" s="8">
        <f t="shared" si="9"/>
        <v>22156.300000000003</v>
      </c>
      <c r="J56" s="8">
        <f>'додаток 2022'!J64+'додаток 2023'!J66+'додаток 2024'!J56</f>
        <v>19758.100000000002</v>
      </c>
      <c r="K56" s="8">
        <f>'додаток 2022'!K64+'додаток 2023'!K66+'додаток 2024'!K56</f>
        <v>0</v>
      </c>
      <c r="L56" s="8">
        <f>'додаток 2022'!L64+'додаток 2023'!L66+'додаток 2024'!L56</f>
        <v>0</v>
      </c>
      <c r="M56" s="8">
        <f>'додаток 2022'!M64+'додаток 2023'!M66+'додаток 2024'!M56</f>
        <v>0</v>
      </c>
      <c r="N56" s="8">
        <f>'додаток 2022'!N64+'додаток 2023'!N66+'додаток 2024'!N56</f>
        <v>2398.2</v>
      </c>
      <c r="O56" s="8">
        <f>'додаток 2022'!O64+'додаток 2023'!O66+'додаток 2024'!O56</f>
        <v>0</v>
      </c>
      <c r="P56" s="63">
        <f t="shared" si="10"/>
        <v>96.33634652092059</v>
      </c>
    </row>
    <row r="57" spans="1:16" ht="26.25">
      <c r="A57" s="7" t="s">
        <v>92</v>
      </c>
      <c r="B57" s="32">
        <f t="shared" si="8"/>
        <v>842.8</v>
      </c>
      <c r="C57" s="8">
        <f>'додаток 2022'!C65+'додаток 2023'!C67+'додаток 2024'!C57</f>
        <v>842.8</v>
      </c>
      <c r="D57" s="8">
        <f>'додаток 2022'!D65+'додаток 2023'!D67+'додаток 2024'!D57</f>
        <v>0</v>
      </c>
      <c r="E57" s="8">
        <f>'додаток 2022'!E65+'додаток 2023'!E67+'додаток 2024'!E57</f>
        <v>0</v>
      </c>
      <c r="F57" s="8">
        <f>'додаток 2022'!F65+'додаток 2023'!F67+'додаток 2024'!F57</f>
        <v>0</v>
      </c>
      <c r="G57" s="8">
        <f>'додаток 2022'!G65+'додаток 2023'!G67+'додаток 2024'!G57</f>
        <v>0</v>
      </c>
      <c r="H57" s="8">
        <f>'додаток 2022'!H65+'додаток 2023'!H67+'додаток 2024'!H57</f>
        <v>0</v>
      </c>
      <c r="I57" s="8">
        <f t="shared" si="9"/>
        <v>462.09999999999997</v>
      </c>
      <c r="J57" s="8">
        <f>'додаток 2022'!J65+'додаток 2023'!J67+'додаток 2024'!J57</f>
        <v>462.09999999999997</v>
      </c>
      <c r="K57" s="8">
        <f>'додаток 2022'!K65+'додаток 2023'!K67+'додаток 2024'!K57</f>
        <v>0</v>
      </c>
      <c r="L57" s="8">
        <f>'додаток 2022'!L65+'додаток 2023'!L67+'додаток 2024'!L57</f>
        <v>0</v>
      </c>
      <c r="M57" s="8">
        <f>'додаток 2022'!M65+'додаток 2023'!M67+'додаток 2024'!M57</f>
        <v>0</v>
      </c>
      <c r="N57" s="8">
        <f>'додаток 2022'!N65+'додаток 2023'!N67+'додаток 2024'!N57</f>
        <v>0</v>
      </c>
      <c r="O57" s="8">
        <f>'додаток 2022'!O65+'додаток 2023'!O67+'додаток 2024'!O57</f>
        <v>0</v>
      </c>
      <c r="P57" s="63">
        <f t="shared" si="10"/>
        <v>54.82914095870907</v>
      </c>
    </row>
    <row r="58" spans="1:16" ht="26.25">
      <c r="A58" s="7" t="s">
        <v>93</v>
      </c>
      <c r="B58" s="8">
        <f t="shared" si="8"/>
        <v>3597</v>
      </c>
      <c r="C58" s="8">
        <f>'додаток 2022'!C66+'додаток 2023'!C68+'додаток 2024'!C58</f>
        <v>3422</v>
      </c>
      <c r="D58" s="8">
        <f>'додаток 2022'!D66+'додаток 2023'!D68+'додаток 2024'!D58</f>
        <v>175</v>
      </c>
      <c r="E58" s="8">
        <f>'додаток 2022'!E66+'додаток 2023'!E68+'додаток 2024'!E58</f>
        <v>0</v>
      </c>
      <c r="F58" s="8">
        <f>'додаток 2022'!F66+'додаток 2023'!F68+'додаток 2024'!F58</f>
        <v>0</v>
      </c>
      <c r="G58" s="8">
        <f>'додаток 2022'!G66+'додаток 2023'!G68+'додаток 2024'!G58</f>
        <v>0</v>
      </c>
      <c r="H58" s="8">
        <f>'додаток 2022'!H66+'додаток 2023'!H68+'додаток 2024'!H58</f>
        <v>0</v>
      </c>
      <c r="I58" s="8">
        <f t="shared" si="9"/>
        <v>2757.799999999999</v>
      </c>
      <c r="J58" s="8">
        <f>'додаток 2022'!J66+'додаток 2023'!J68+'додаток 2024'!J58</f>
        <v>2591.699999999999</v>
      </c>
      <c r="K58" s="8">
        <f>'додаток 2022'!K66+'додаток 2023'!K68+'додаток 2024'!K58</f>
        <v>166.10000000000002</v>
      </c>
      <c r="L58" s="8">
        <f>'додаток 2022'!L66+'додаток 2023'!L68+'додаток 2024'!L58</f>
        <v>0</v>
      </c>
      <c r="M58" s="8">
        <f>'додаток 2022'!M66+'додаток 2023'!M68+'додаток 2024'!M58</f>
        <v>0</v>
      </c>
      <c r="N58" s="8">
        <f>'додаток 2022'!N66+'додаток 2023'!N68+'додаток 2024'!N58</f>
        <v>0</v>
      </c>
      <c r="O58" s="8">
        <f>'додаток 2022'!O66+'додаток 2023'!O68+'додаток 2024'!O58</f>
        <v>0</v>
      </c>
      <c r="P58" s="63">
        <f t="shared" si="10"/>
        <v>76.66944676118985</v>
      </c>
    </row>
    <row r="59" spans="1:16" ht="15">
      <c r="A59" s="19" t="s">
        <v>14</v>
      </c>
      <c r="B59" s="21">
        <f>SUM(B52:B58)</f>
        <v>100077.29999999999</v>
      </c>
      <c r="C59" s="21">
        <f aca="true" t="shared" si="11" ref="C59:O59">SUM(C52:C58)</f>
        <v>60548.50000000001</v>
      </c>
      <c r="D59" s="21">
        <f t="shared" si="11"/>
        <v>1215</v>
      </c>
      <c r="E59" s="21">
        <f t="shared" si="11"/>
        <v>0</v>
      </c>
      <c r="F59" s="21">
        <f t="shared" si="11"/>
        <v>0</v>
      </c>
      <c r="G59" s="21">
        <f t="shared" si="11"/>
        <v>38313.8</v>
      </c>
      <c r="H59" s="21">
        <f t="shared" si="11"/>
        <v>0</v>
      </c>
      <c r="I59" s="21">
        <f t="shared" si="11"/>
        <v>91098.00000000001</v>
      </c>
      <c r="J59" s="21">
        <f t="shared" si="11"/>
        <v>55068.299999999996</v>
      </c>
      <c r="K59" s="21">
        <f t="shared" si="11"/>
        <v>1009</v>
      </c>
      <c r="L59" s="21">
        <f t="shared" si="11"/>
        <v>0</v>
      </c>
      <c r="M59" s="21">
        <f t="shared" si="11"/>
        <v>0</v>
      </c>
      <c r="N59" s="21">
        <f t="shared" si="11"/>
        <v>35020.7</v>
      </c>
      <c r="O59" s="21">
        <f t="shared" si="11"/>
        <v>0</v>
      </c>
      <c r="P59" s="29">
        <f>I59/B59*100</f>
        <v>91.02763563765211</v>
      </c>
    </row>
    <row r="60" spans="1:16" ht="15.75">
      <c r="A60" s="138" t="s">
        <v>98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</row>
    <row r="61" spans="1:16" ht="15">
      <c r="A61" s="12" t="s">
        <v>56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26.25">
      <c r="A62" s="7" t="s">
        <v>57</v>
      </c>
      <c r="B62" s="32">
        <f aca="true" t="shared" si="12" ref="B62:B67">C62+D62+E62+F62+G62+H62</f>
        <v>74518.2</v>
      </c>
      <c r="C62" s="8">
        <f>'додаток 2022'!C70+'додаток 2023'!C72+'додаток 2024'!C62</f>
        <v>74518.2</v>
      </c>
      <c r="D62" s="8">
        <f>'додаток 2022'!D70+'додаток 2023'!D72+'додаток 2024'!D62</f>
        <v>0</v>
      </c>
      <c r="E62" s="8">
        <f>'додаток 2022'!E70+'додаток 2023'!E72+'додаток 2024'!E62</f>
        <v>0</v>
      </c>
      <c r="F62" s="8">
        <f>'додаток 2022'!F70+'додаток 2023'!F72+'додаток 2024'!F62</f>
        <v>0</v>
      </c>
      <c r="G62" s="8">
        <f>'додаток 2022'!G70+'додаток 2023'!G72+'додаток 2024'!G62</f>
        <v>0</v>
      </c>
      <c r="H62" s="8">
        <f>'додаток 2022'!H70+'додаток 2023'!H72+'додаток 2024'!H62</f>
        <v>0</v>
      </c>
      <c r="I62" s="32">
        <f aca="true" t="shared" si="13" ref="I62:I67">J62+K62+L62+M62+N62+O62</f>
        <v>70210.8</v>
      </c>
      <c r="J62" s="8">
        <f>'додаток 2022'!J70+'додаток 2023'!J72+'додаток 2024'!J62</f>
        <v>70210.8</v>
      </c>
      <c r="K62" s="8">
        <f>'додаток 2022'!K70+'додаток 2023'!K72+'додаток 2024'!K62</f>
        <v>0</v>
      </c>
      <c r="L62" s="8">
        <f>'додаток 2022'!L70+'додаток 2023'!L72+'додаток 2024'!L62</f>
        <v>0</v>
      </c>
      <c r="M62" s="8">
        <f>'додаток 2022'!M70+'додаток 2023'!M72+'додаток 2024'!M62</f>
        <v>0</v>
      </c>
      <c r="N62" s="8">
        <f>'додаток 2022'!N70+'додаток 2023'!N72+'додаток 2024'!N62</f>
        <v>0</v>
      </c>
      <c r="O62" s="8">
        <f>'додаток 2022'!O70+'додаток 2023'!O72+'додаток 2024'!O62</f>
        <v>0</v>
      </c>
      <c r="P62" s="63">
        <f aca="true" t="shared" si="14" ref="P62:P67">I62/B62*100</f>
        <v>94.21966714171842</v>
      </c>
    </row>
    <row r="63" spans="1:16" ht="26.25">
      <c r="A63" s="7" t="s">
        <v>58</v>
      </c>
      <c r="B63" s="32">
        <f t="shared" si="12"/>
        <v>14000.3</v>
      </c>
      <c r="C63" s="8">
        <f>'додаток 2022'!C71+'додаток 2023'!C73+'додаток 2024'!C63</f>
        <v>13270.3</v>
      </c>
      <c r="D63" s="8">
        <f>'додаток 2022'!D71+'додаток 2023'!D73+'додаток 2024'!D63</f>
        <v>730</v>
      </c>
      <c r="E63" s="8">
        <f>'додаток 2022'!E71+'додаток 2023'!E73+'додаток 2024'!E63</f>
        <v>0</v>
      </c>
      <c r="F63" s="8">
        <f>'додаток 2022'!F71+'додаток 2023'!F73+'додаток 2024'!F63</f>
        <v>0</v>
      </c>
      <c r="G63" s="8">
        <f>'додаток 2022'!G71+'додаток 2023'!G73+'додаток 2024'!G63</f>
        <v>0</v>
      </c>
      <c r="H63" s="8">
        <f>'додаток 2022'!H71+'додаток 2023'!H73+'додаток 2024'!H63</f>
        <v>0</v>
      </c>
      <c r="I63" s="32">
        <f t="shared" si="13"/>
        <v>12972.399999999998</v>
      </c>
      <c r="J63" s="8">
        <f>'додаток 2022'!J71+'додаток 2023'!J73+'додаток 2024'!J63</f>
        <v>12375.899999999998</v>
      </c>
      <c r="K63" s="8">
        <f>'додаток 2022'!K71+'додаток 2023'!K73+'додаток 2024'!K63</f>
        <v>596.5</v>
      </c>
      <c r="L63" s="8">
        <f>'додаток 2022'!L71+'додаток 2023'!L73+'додаток 2024'!L63</f>
        <v>0</v>
      </c>
      <c r="M63" s="8">
        <f>'додаток 2022'!M71+'додаток 2023'!M73+'додаток 2024'!M63</f>
        <v>0</v>
      </c>
      <c r="N63" s="8">
        <f>'додаток 2022'!N71+'додаток 2023'!N73+'додаток 2024'!N63</f>
        <v>0</v>
      </c>
      <c r="O63" s="8">
        <f>'додаток 2022'!O71+'додаток 2023'!O73+'додаток 2024'!O63</f>
        <v>0</v>
      </c>
      <c r="P63" s="63">
        <f t="shared" si="14"/>
        <v>92.65801447111846</v>
      </c>
    </row>
    <row r="64" spans="1:16" ht="15" hidden="1">
      <c r="A64" s="45" t="s">
        <v>59</v>
      </c>
      <c r="B64" s="32">
        <f t="shared" si="12"/>
        <v>0</v>
      </c>
      <c r="C64" s="32"/>
      <c r="D64" s="32"/>
      <c r="E64" s="32"/>
      <c r="F64" s="32"/>
      <c r="G64" s="32"/>
      <c r="H64" s="32"/>
      <c r="I64" s="32">
        <f t="shared" si="13"/>
        <v>0</v>
      </c>
      <c r="J64" s="32"/>
      <c r="K64" s="32"/>
      <c r="L64" s="32"/>
      <c r="M64" s="32"/>
      <c r="N64" s="32"/>
      <c r="O64" s="32"/>
      <c r="P64" s="63" t="e">
        <f t="shared" si="14"/>
        <v>#DIV/0!</v>
      </c>
    </row>
    <row r="65" spans="1:16" ht="26.25" hidden="1">
      <c r="A65" s="7" t="s">
        <v>60</v>
      </c>
      <c r="B65" s="32">
        <f t="shared" si="12"/>
        <v>0</v>
      </c>
      <c r="C65" s="33"/>
      <c r="D65" s="32"/>
      <c r="E65" s="32"/>
      <c r="F65" s="32"/>
      <c r="G65" s="32"/>
      <c r="H65" s="32"/>
      <c r="I65" s="32">
        <f t="shared" si="13"/>
        <v>0</v>
      </c>
      <c r="J65" s="32"/>
      <c r="K65" s="32"/>
      <c r="L65" s="32"/>
      <c r="M65" s="32"/>
      <c r="N65" s="32"/>
      <c r="O65" s="32"/>
      <c r="P65" s="63" t="e">
        <f t="shared" si="14"/>
        <v>#DIV/0!</v>
      </c>
    </row>
    <row r="66" spans="1:16" ht="15" hidden="1">
      <c r="A66" s="4" t="s">
        <v>61</v>
      </c>
      <c r="B66" s="32">
        <f t="shared" si="12"/>
        <v>0</v>
      </c>
      <c r="C66" s="32"/>
      <c r="D66" s="32"/>
      <c r="E66" s="32"/>
      <c r="F66" s="32"/>
      <c r="G66" s="32"/>
      <c r="H66" s="32"/>
      <c r="I66" s="32">
        <f t="shared" si="13"/>
        <v>0</v>
      </c>
      <c r="J66" s="32"/>
      <c r="K66" s="32"/>
      <c r="L66" s="32"/>
      <c r="M66" s="32"/>
      <c r="N66" s="32"/>
      <c r="O66" s="32"/>
      <c r="P66" s="63" t="e">
        <f t="shared" si="14"/>
        <v>#DIV/0!</v>
      </c>
    </row>
    <row r="67" spans="1:16" ht="26.25" hidden="1">
      <c r="A67" s="5" t="s">
        <v>62</v>
      </c>
      <c r="B67" s="32">
        <f t="shared" si="12"/>
        <v>0</v>
      </c>
      <c r="C67" s="33"/>
      <c r="D67" s="32"/>
      <c r="E67" s="32"/>
      <c r="F67" s="32"/>
      <c r="G67" s="32"/>
      <c r="H67" s="32"/>
      <c r="I67" s="32">
        <f t="shared" si="13"/>
        <v>0</v>
      </c>
      <c r="J67" s="32"/>
      <c r="K67" s="32"/>
      <c r="L67" s="32"/>
      <c r="M67" s="32"/>
      <c r="N67" s="32"/>
      <c r="O67" s="32"/>
      <c r="P67" s="63" t="e">
        <f t="shared" si="14"/>
        <v>#DIV/0!</v>
      </c>
    </row>
    <row r="68" spans="1:16" ht="15">
      <c r="A68" s="19" t="s">
        <v>16</v>
      </c>
      <c r="B68" s="21">
        <f aca="true" t="shared" si="15" ref="B68:O68">SUM(B62:B67)</f>
        <v>88518.5</v>
      </c>
      <c r="C68" s="21">
        <f t="shared" si="15"/>
        <v>87788.5</v>
      </c>
      <c r="D68" s="21">
        <f t="shared" si="15"/>
        <v>730</v>
      </c>
      <c r="E68" s="21">
        <f t="shared" si="15"/>
        <v>0</v>
      </c>
      <c r="F68" s="21">
        <f t="shared" si="15"/>
        <v>0</v>
      </c>
      <c r="G68" s="21">
        <f t="shared" si="15"/>
        <v>0</v>
      </c>
      <c r="H68" s="21">
        <f t="shared" si="15"/>
        <v>0</v>
      </c>
      <c r="I68" s="21">
        <f t="shared" si="15"/>
        <v>83183.2</v>
      </c>
      <c r="J68" s="21">
        <f t="shared" si="15"/>
        <v>82586.7</v>
      </c>
      <c r="K68" s="21">
        <f t="shared" si="15"/>
        <v>596.5</v>
      </c>
      <c r="L68" s="21">
        <f t="shared" si="15"/>
        <v>0</v>
      </c>
      <c r="M68" s="21">
        <f t="shared" si="15"/>
        <v>0</v>
      </c>
      <c r="N68" s="21">
        <f t="shared" si="15"/>
        <v>0</v>
      </c>
      <c r="O68" s="21">
        <f t="shared" si="15"/>
        <v>0</v>
      </c>
      <c r="P68" s="29">
        <f>I68/B68*100</f>
        <v>93.97267237922016</v>
      </c>
    </row>
    <row r="69" spans="1:16" ht="15.75">
      <c r="A69" s="138" t="s">
        <v>99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</row>
    <row r="70" spans="1:16" ht="30" customHeight="1">
      <c r="A70" s="12" t="s">
        <v>63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64.5">
      <c r="A71" s="5" t="s">
        <v>64</v>
      </c>
      <c r="B71" s="36">
        <f>C71+D71+E71+F71+G71+H71</f>
        <v>9942.099999999999</v>
      </c>
      <c r="C71" s="8">
        <f>'додаток 2022'!C79+'додаток 2023'!C81+'додаток 2024'!C71</f>
        <v>9842.099999999999</v>
      </c>
      <c r="D71" s="8">
        <f>'додаток 2022'!D79+'додаток 2023'!D81+'додаток 2024'!D71</f>
        <v>100</v>
      </c>
      <c r="E71" s="8">
        <f>'додаток 2022'!E79+'додаток 2023'!E81+'додаток 2024'!E71</f>
        <v>0</v>
      </c>
      <c r="F71" s="8">
        <f>'додаток 2022'!F79+'додаток 2023'!F81+'додаток 2024'!F71</f>
        <v>0</v>
      </c>
      <c r="G71" s="8">
        <f>'додаток 2022'!G79+'додаток 2023'!G81+'додаток 2024'!G71</f>
        <v>0</v>
      </c>
      <c r="H71" s="8">
        <f>'додаток 2022'!H79+'додаток 2023'!H81+'додаток 2024'!H71</f>
        <v>0</v>
      </c>
      <c r="I71" s="36">
        <f>J71+K71+L71+M71+N71+O71</f>
        <v>9501.599999999999</v>
      </c>
      <c r="J71" s="8">
        <f>'додаток 2022'!J79+'додаток 2023'!J81+'додаток 2024'!J71</f>
        <v>9470.3</v>
      </c>
      <c r="K71" s="8">
        <f>'додаток 2022'!K79+'додаток 2023'!K81+'додаток 2024'!K71</f>
        <v>31.3</v>
      </c>
      <c r="L71" s="8">
        <f>'додаток 2022'!L79+'додаток 2023'!L81+'додаток 2024'!L71</f>
        <v>0</v>
      </c>
      <c r="M71" s="8">
        <f>'додаток 2022'!M79+'додаток 2023'!M81+'додаток 2024'!M71</f>
        <v>0</v>
      </c>
      <c r="N71" s="8">
        <f>'додаток 2022'!N79+'додаток 2023'!N81+'додаток 2024'!N71</f>
        <v>0</v>
      </c>
      <c r="O71" s="8">
        <f>'додаток 2022'!O79+'додаток 2023'!O81+'додаток 2024'!O71</f>
        <v>0</v>
      </c>
      <c r="P71" s="63">
        <f>I71/B71*100</f>
        <v>95.56934651632955</v>
      </c>
    </row>
    <row r="72" spans="1:16" ht="15">
      <c r="A72" s="19" t="s">
        <v>17</v>
      </c>
      <c r="B72" s="21">
        <f aca="true" t="shared" si="16" ref="B72:O72">SUM(B71:B71)</f>
        <v>9942.099999999999</v>
      </c>
      <c r="C72" s="21">
        <f t="shared" si="16"/>
        <v>9842.099999999999</v>
      </c>
      <c r="D72" s="21">
        <f t="shared" si="16"/>
        <v>100</v>
      </c>
      <c r="E72" s="21">
        <f t="shared" si="16"/>
        <v>0</v>
      </c>
      <c r="F72" s="21">
        <f t="shared" si="16"/>
        <v>0</v>
      </c>
      <c r="G72" s="21">
        <f t="shared" si="16"/>
        <v>0</v>
      </c>
      <c r="H72" s="21">
        <f t="shared" si="16"/>
        <v>0</v>
      </c>
      <c r="I72" s="21">
        <f t="shared" si="16"/>
        <v>9501.599999999999</v>
      </c>
      <c r="J72" s="21">
        <f t="shared" si="16"/>
        <v>9470.3</v>
      </c>
      <c r="K72" s="21">
        <f t="shared" si="16"/>
        <v>31.3</v>
      </c>
      <c r="L72" s="21">
        <f t="shared" si="16"/>
        <v>0</v>
      </c>
      <c r="M72" s="21">
        <f t="shared" si="16"/>
        <v>0</v>
      </c>
      <c r="N72" s="21">
        <f t="shared" si="16"/>
        <v>0</v>
      </c>
      <c r="O72" s="21">
        <f t="shared" si="16"/>
        <v>0</v>
      </c>
      <c r="P72" s="29">
        <f>I72/B72*100</f>
        <v>95.56934651632955</v>
      </c>
    </row>
    <row r="73" spans="1:16" ht="15.75">
      <c r="A73" s="138" t="s">
        <v>100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</row>
    <row r="74" spans="1:16" ht="26.25">
      <c r="A74" s="12" t="s">
        <v>65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51.75">
      <c r="A75" s="5" t="s">
        <v>66</v>
      </c>
      <c r="B75" s="10">
        <f>C75+D75+E75+F75+G75+H75</f>
        <v>1728.3</v>
      </c>
      <c r="C75" s="8">
        <f>'додаток 2022'!C83+'додаток 2023'!C85+'додаток 2024'!C75</f>
        <v>1728.3</v>
      </c>
      <c r="D75" s="8">
        <f>'додаток 2022'!D83+'додаток 2023'!D85+'додаток 2024'!D75</f>
        <v>0</v>
      </c>
      <c r="E75" s="8">
        <f>'додаток 2022'!E83+'додаток 2023'!E85+'додаток 2024'!E75</f>
        <v>0</v>
      </c>
      <c r="F75" s="8">
        <f>'додаток 2022'!F83+'додаток 2023'!F85+'додаток 2024'!F75</f>
        <v>0</v>
      </c>
      <c r="G75" s="8">
        <f>'додаток 2022'!G83+'додаток 2023'!G85+'додаток 2024'!G75</f>
        <v>0</v>
      </c>
      <c r="H75" s="8">
        <f>'додаток 2022'!H83+'додаток 2023'!H85+'додаток 2024'!H75</f>
        <v>0</v>
      </c>
      <c r="I75" s="10">
        <f>J75+K75+L75+M75+N75+O75</f>
        <v>1471.7</v>
      </c>
      <c r="J75" s="8">
        <f>'додаток 2022'!J83+'додаток 2023'!J85+'додаток 2024'!J75</f>
        <v>1471.7</v>
      </c>
      <c r="K75" s="8">
        <f>'додаток 2022'!K83+'додаток 2023'!K85+'додаток 2024'!K75</f>
        <v>0</v>
      </c>
      <c r="L75" s="8">
        <f>'додаток 2022'!L83+'додаток 2023'!L85+'додаток 2024'!L75</f>
        <v>0</v>
      </c>
      <c r="M75" s="8">
        <f>'додаток 2022'!M83+'додаток 2023'!M85+'додаток 2024'!M75</f>
        <v>0</v>
      </c>
      <c r="N75" s="8">
        <f>'додаток 2022'!N83+'додаток 2023'!N85+'додаток 2024'!N75</f>
        <v>0</v>
      </c>
      <c r="O75" s="8">
        <f>'додаток 2022'!O83+'додаток 2023'!O85+'додаток 2024'!O75</f>
        <v>0</v>
      </c>
      <c r="P75" s="63">
        <f>I75/B75*100</f>
        <v>85.15304056008796</v>
      </c>
    </row>
    <row r="76" spans="1:16" ht="15">
      <c r="A76" s="19" t="s">
        <v>18</v>
      </c>
      <c r="B76" s="21">
        <f aca="true" t="shared" si="17" ref="B76:O76">SUM(B75:B75)</f>
        <v>1728.3</v>
      </c>
      <c r="C76" s="21">
        <f t="shared" si="17"/>
        <v>1728.3</v>
      </c>
      <c r="D76" s="21">
        <f t="shared" si="17"/>
        <v>0</v>
      </c>
      <c r="E76" s="21">
        <f t="shared" si="17"/>
        <v>0</v>
      </c>
      <c r="F76" s="21">
        <f t="shared" si="17"/>
        <v>0</v>
      </c>
      <c r="G76" s="21">
        <f t="shared" si="17"/>
        <v>0</v>
      </c>
      <c r="H76" s="21">
        <f t="shared" si="17"/>
        <v>0</v>
      </c>
      <c r="I76" s="21">
        <f t="shared" si="17"/>
        <v>1471.7</v>
      </c>
      <c r="J76" s="21">
        <f t="shared" si="17"/>
        <v>1471.7</v>
      </c>
      <c r="K76" s="21">
        <f t="shared" si="17"/>
        <v>0</v>
      </c>
      <c r="L76" s="21">
        <f t="shared" si="17"/>
        <v>0</v>
      </c>
      <c r="M76" s="21">
        <f t="shared" si="17"/>
        <v>0</v>
      </c>
      <c r="N76" s="21">
        <f t="shared" si="17"/>
        <v>0</v>
      </c>
      <c r="O76" s="21">
        <f t="shared" si="17"/>
        <v>0</v>
      </c>
      <c r="P76" s="29">
        <f>I76/B76*100</f>
        <v>85.15304056008796</v>
      </c>
    </row>
    <row r="77" spans="1:16" ht="15.75">
      <c r="A77" s="138" t="s">
        <v>101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</row>
    <row r="78" spans="1:16" ht="51.75" customHeight="1">
      <c r="A78" s="15" t="s">
        <v>67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26.25">
      <c r="A79" s="5" t="s">
        <v>68</v>
      </c>
      <c r="B79" s="34">
        <f>C79+D79+E79+F79+G79+H79</f>
        <v>210</v>
      </c>
      <c r="C79" s="8">
        <f>'додаток 2022'!C87+'додаток 2023'!C89+'додаток 2024'!C79</f>
        <v>210</v>
      </c>
      <c r="D79" s="8">
        <f>'додаток 2022'!D87+'додаток 2023'!D89+'додаток 2024'!D79</f>
        <v>0</v>
      </c>
      <c r="E79" s="8">
        <f>'додаток 2022'!E87+'додаток 2023'!E89+'додаток 2024'!E79</f>
        <v>0</v>
      </c>
      <c r="F79" s="8">
        <f>'додаток 2022'!F87+'додаток 2023'!F89+'додаток 2024'!F79</f>
        <v>0</v>
      </c>
      <c r="G79" s="8">
        <f>'додаток 2022'!G87+'додаток 2023'!G89+'додаток 2024'!G79</f>
        <v>0</v>
      </c>
      <c r="H79" s="8">
        <f>'додаток 2022'!H87+'додаток 2023'!H89+'додаток 2024'!H79</f>
        <v>0</v>
      </c>
      <c r="I79" s="36">
        <f>J79+K79+L79+M79+N79+O79</f>
        <v>175</v>
      </c>
      <c r="J79" s="8">
        <f>'додаток 2022'!J87+'додаток 2023'!J89+'додаток 2024'!J79</f>
        <v>175</v>
      </c>
      <c r="K79" s="8">
        <f>'додаток 2022'!K87+'додаток 2023'!K89+'додаток 2024'!K79</f>
        <v>0</v>
      </c>
      <c r="L79" s="8">
        <f>'додаток 2022'!L87+'додаток 2023'!L89+'додаток 2024'!L79</f>
        <v>0</v>
      </c>
      <c r="M79" s="8">
        <f>'додаток 2022'!M87+'додаток 2023'!M89+'додаток 2024'!M79</f>
        <v>0</v>
      </c>
      <c r="N79" s="8">
        <f>'додаток 2022'!N87+'додаток 2023'!N89+'додаток 2024'!N79</f>
        <v>0</v>
      </c>
      <c r="O79" s="8">
        <f>'додаток 2022'!O87+'додаток 2023'!O89+'додаток 2024'!O79</f>
        <v>0</v>
      </c>
      <c r="P79" s="63">
        <f>I79/B79*100</f>
        <v>83.33333333333334</v>
      </c>
    </row>
    <row r="80" spans="1:16" ht="23.25" customHeight="1">
      <c r="A80" s="38" t="s">
        <v>15</v>
      </c>
      <c r="B80" s="34">
        <f>C80+D80+E80+F80+G80+H80</f>
        <v>49.5</v>
      </c>
      <c r="C80" s="8">
        <f>'додаток 2022'!C88+'додаток 2023'!C90+'додаток 2024'!C80</f>
        <v>49.5</v>
      </c>
      <c r="D80" s="8">
        <f>'додаток 2022'!D88+'додаток 2023'!D90+'додаток 2024'!D80</f>
        <v>0</v>
      </c>
      <c r="E80" s="8">
        <f>'додаток 2022'!E88+'додаток 2023'!E90+'додаток 2024'!E80</f>
        <v>0</v>
      </c>
      <c r="F80" s="8">
        <f>'додаток 2022'!F88+'додаток 2023'!F90+'додаток 2024'!F80</f>
        <v>0</v>
      </c>
      <c r="G80" s="8">
        <f>'додаток 2022'!G88+'додаток 2023'!G90+'додаток 2024'!G80</f>
        <v>0</v>
      </c>
      <c r="H80" s="8">
        <f>'додаток 2022'!H88+'додаток 2023'!H90+'додаток 2024'!H80</f>
        <v>0</v>
      </c>
      <c r="I80" s="34">
        <f>J80+K80+L80+M80+N80+O80</f>
        <v>24</v>
      </c>
      <c r="J80" s="8">
        <f>'додаток 2022'!J88+'додаток 2023'!J90+'додаток 2024'!J80</f>
        <v>24</v>
      </c>
      <c r="K80" s="8">
        <f>'додаток 2022'!K88+'додаток 2023'!K90+'додаток 2024'!K80</f>
        <v>0</v>
      </c>
      <c r="L80" s="8">
        <f>'додаток 2022'!L88+'додаток 2023'!L90+'додаток 2024'!L80</f>
        <v>0</v>
      </c>
      <c r="M80" s="8">
        <f>'додаток 2022'!M88+'додаток 2023'!M90+'додаток 2024'!M80</f>
        <v>0</v>
      </c>
      <c r="N80" s="8">
        <f>'додаток 2022'!N88+'додаток 2023'!N90+'додаток 2024'!N80</f>
        <v>0</v>
      </c>
      <c r="O80" s="8">
        <f>'додаток 2022'!O88+'додаток 2023'!O90+'додаток 2024'!O80</f>
        <v>0</v>
      </c>
      <c r="P80" s="63">
        <f>I80/B80*100</f>
        <v>48.484848484848484</v>
      </c>
    </row>
    <row r="81" spans="1:16" ht="23.25" customHeight="1">
      <c r="A81" s="38" t="s">
        <v>102</v>
      </c>
      <c r="B81" s="34">
        <f>C81+D81+E81+F81+G81+H81</f>
        <v>2000</v>
      </c>
      <c r="C81" s="8">
        <f>'додаток 2022'!C89+'додаток 2023'!C91+'додаток 2024'!C81</f>
        <v>2000</v>
      </c>
      <c r="D81" s="8">
        <f>'додаток 2022'!D89+'додаток 2023'!D91+'додаток 2024'!D81</f>
        <v>0</v>
      </c>
      <c r="E81" s="8">
        <f>'додаток 2022'!E89+'додаток 2023'!E91+'додаток 2024'!E81</f>
        <v>0</v>
      </c>
      <c r="F81" s="8">
        <f>'додаток 2022'!F89+'додаток 2023'!F91+'додаток 2024'!F81</f>
        <v>0</v>
      </c>
      <c r="G81" s="8">
        <f>'додаток 2022'!G89+'додаток 2023'!G91+'додаток 2024'!G81</f>
        <v>0</v>
      </c>
      <c r="H81" s="8">
        <f>'додаток 2022'!H89+'додаток 2023'!H91+'додаток 2024'!H81</f>
        <v>0</v>
      </c>
      <c r="I81" s="34">
        <f>J81+K81+L81+M81+N81+O81</f>
        <v>0</v>
      </c>
      <c r="J81" s="8">
        <f>'додаток 2022'!J89+'додаток 2023'!J91+'додаток 2024'!J81</f>
        <v>0</v>
      </c>
      <c r="K81" s="8">
        <f>'додаток 2022'!K89+'додаток 2023'!K91+'додаток 2024'!K81</f>
        <v>0</v>
      </c>
      <c r="L81" s="8">
        <f>'додаток 2022'!L89+'додаток 2023'!L91+'додаток 2024'!L81</f>
        <v>0</v>
      </c>
      <c r="M81" s="8">
        <f>'додаток 2022'!M89+'додаток 2023'!M91+'додаток 2024'!M81</f>
        <v>0</v>
      </c>
      <c r="N81" s="8">
        <f>'додаток 2022'!N89+'додаток 2023'!N91+'додаток 2024'!N81</f>
        <v>0</v>
      </c>
      <c r="O81" s="8">
        <f>'додаток 2022'!O89+'додаток 2023'!O91+'додаток 2024'!O81</f>
        <v>0</v>
      </c>
      <c r="P81" s="63">
        <f>I81/B81*100</f>
        <v>0</v>
      </c>
    </row>
    <row r="82" spans="1:16" ht="15">
      <c r="A82" s="19" t="s">
        <v>19</v>
      </c>
      <c r="B82" s="21">
        <f>SUM(B78:B81)</f>
        <v>2259.5</v>
      </c>
      <c r="C82" s="21">
        <f>SUM(C78:C81)</f>
        <v>2259.5</v>
      </c>
      <c r="D82" s="21">
        <f aca="true" t="shared" si="18" ref="D82:O82">SUM(D78:D81)</f>
        <v>0</v>
      </c>
      <c r="E82" s="21">
        <f t="shared" si="18"/>
        <v>0</v>
      </c>
      <c r="F82" s="21">
        <f t="shared" si="18"/>
        <v>0</v>
      </c>
      <c r="G82" s="21">
        <f t="shared" si="18"/>
        <v>0</v>
      </c>
      <c r="H82" s="21">
        <f t="shared" si="18"/>
        <v>0</v>
      </c>
      <c r="I82" s="21">
        <f t="shared" si="18"/>
        <v>199</v>
      </c>
      <c r="J82" s="21">
        <f t="shared" si="18"/>
        <v>199</v>
      </c>
      <c r="K82" s="21">
        <f t="shared" si="18"/>
        <v>0</v>
      </c>
      <c r="L82" s="21">
        <f t="shared" si="18"/>
        <v>0</v>
      </c>
      <c r="M82" s="21">
        <f t="shared" si="18"/>
        <v>0</v>
      </c>
      <c r="N82" s="21">
        <f t="shared" si="18"/>
        <v>0</v>
      </c>
      <c r="O82" s="21">
        <f t="shared" si="18"/>
        <v>0</v>
      </c>
      <c r="P82" s="29">
        <f>I82/B82*100</f>
        <v>8.80725824297411</v>
      </c>
    </row>
    <row r="83" spans="1:16" ht="15.75">
      <c r="A83" s="138" t="s">
        <v>103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</row>
    <row r="84" spans="1:16" ht="26.25">
      <c r="A84" s="12" t="s">
        <v>69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26.25">
      <c r="A85" s="5" t="s">
        <v>70</v>
      </c>
      <c r="B85" s="10">
        <f>C85+D85+E85+F85+G85+H85</f>
        <v>7724.3</v>
      </c>
      <c r="C85" s="8">
        <f>'додаток 2022'!C93+'додаток 2023'!C95+'додаток 2024'!C85</f>
        <v>7724.3</v>
      </c>
      <c r="D85" s="8">
        <f>'додаток 2022'!D93+'додаток 2023'!D95+'додаток 2024'!D85</f>
        <v>0</v>
      </c>
      <c r="E85" s="8">
        <f>'додаток 2022'!E93+'додаток 2023'!E95+'додаток 2024'!E85</f>
        <v>0</v>
      </c>
      <c r="F85" s="8">
        <f>'додаток 2022'!F93+'додаток 2023'!F95+'додаток 2024'!F85</f>
        <v>0</v>
      </c>
      <c r="G85" s="8">
        <f>'додаток 2022'!G93+'додаток 2023'!G95+'додаток 2024'!G85</f>
        <v>0</v>
      </c>
      <c r="H85" s="8">
        <f>'додаток 2022'!H93+'додаток 2023'!H95+'додаток 2024'!H85</f>
        <v>0</v>
      </c>
      <c r="I85" s="10">
        <f>J85+K85+L85+M85+N85+O85</f>
        <v>7202.2</v>
      </c>
      <c r="J85" s="8">
        <f>'додаток 2022'!J93+'додаток 2023'!J95+'додаток 2024'!J85</f>
        <v>7202.2</v>
      </c>
      <c r="K85" s="8">
        <f>'додаток 2022'!K93+'додаток 2023'!K95+'додаток 2024'!K85</f>
        <v>0</v>
      </c>
      <c r="L85" s="8">
        <f>'додаток 2022'!L93+'додаток 2023'!L95+'додаток 2024'!L85</f>
        <v>0</v>
      </c>
      <c r="M85" s="8">
        <f>'додаток 2022'!M93+'додаток 2023'!M95+'додаток 2024'!M85</f>
        <v>0</v>
      </c>
      <c r="N85" s="8">
        <f>'додаток 2022'!N93+'додаток 2023'!N95+'додаток 2024'!N85</f>
        <v>0</v>
      </c>
      <c r="O85" s="8">
        <f>'додаток 2022'!O93+'додаток 2023'!O95+'додаток 2024'!O85</f>
        <v>0</v>
      </c>
      <c r="P85" s="63">
        <f>I85/B85*100</f>
        <v>93.24081146511658</v>
      </c>
    </row>
    <row r="86" spans="1:16" ht="30.75" customHeight="1">
      <c r="A86" s="7" t="s">
        <v>71</v>
      </c>
      <c r="B86" s="10">
        <f>C86+D86+E86+F86+G86+H86</f>
        <v>3875.2</v>
      </c>
      <c r="C86" s="8">
        <f>'додаток 2022'!C94+'додаток 2023'!C96+'додаток 2024'!C86</f>
        <v>3225.2</v>
      </c>
      <c r="D86" s="8">
        <f>'додаток 2022'!D94+'додаток 2023'!D96+'додаток 2024'!D86</f>
        <v>650</v>
      </c>
      <c r="E86" s="8">
        <f>'додаток 2022'!E94+'додаток 2023'!E96+'додаток 2024'!E86</f>
        <v>0</v>
      </c>
      <c r="F86" s="8">
        <f>'додаток 2022'!F94+'додаток 2023'!F96+'додаток 2024'!F86</f>
        <v>0</v>
      </c>
      <c r="G86" s="8">
        <f>'додаток 2022'!G94+'додаток 2023'!G96+'додаток 2024'!G86</f>
        <v>0</v>
      </c>
      <c r="H86" s="8">
        <f>'додаток 2022'!H94+'додаток 2023'!H96+'додаток 2024'!H86</f>
        <v>0</v>
      </c>
      <c r="I86" s="10">
        <f>J86+K86+L86+M86+N86+O86</f>
        <v>2863.7000000000003</v>
      </c>
      <c r="J86" s="8">
        <f>'додаток 2022'!J94+'додаток 2023'!J96+'додаток 2024'!J86</f>
        <v>2364.3</v>
      </c>
      <c r="K86" s="8">
        <f>'додаток 2022'!K94+'додаток 2023'!K96+'додаток 2024'!K86</f>
        <v>499.4</v>
      </c>
      <c r="L86" s="8">
        <f>'додаток 2022'!L94+'додаток 2023'!L96+'додаток 2024'!L86</f>
        <v>0</v>
      </c>
      <c r="M86" s="8">
        <f>'додаток 2022'!M94+'додаток 2023'!M96+'додаток 2024'!M86</f>
        <v>0</v>
      </c>
      <c r="N86" s="8">
        <f>'додаток 2022'!N94+'додаток 2023'!N96+'додаток 2024'!N86</f>
        <v>0</v>
      </c>
      <c r="O86" s="8">
        <f>'додаток 2022'!O94+'додаток 2023'!O96+'додаток 2024'!O86</f>
        <v>0</v>
      </c>
      <c r="P86" s="63">
        <f>I86/B86*100</f>
        <v>73.89812138728324</v>
      </c>
    </row>
    <row r="87" spans="1:16" ht="15">
      <c r="A87" s="12" t="s">
        <v>72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26.25">
      <c r="A88" s="44" t="s">
        <v>73</v>
      </c>
      <c r="B88" s="10">
        <f>C88+D88+E88+F88+G88+H88</f>
        <v>4854.700000000001</v>
      </c>
      <c r="C88" s="8">
        <f>'додаток 2022'!C96+'додаток 2023'!C98+'додаток 2024'!C88</f>
        <v>4854.700000000001</v>
      </c>
      <c r="D88" s="8">
        <f>'додаток 2022'!D96+'додаток 2023'!D98+'додаток 2024'!D88</f>
        <v>0</v>
      </c>
      <c r="E88" s="8">
        <f>'додаток 2022'!E96+'додаток 2023'!E98+'додаток 2024'!E88</f>
        <v>0</v>
      </c>
      <c r="F88" s="8">
        <f>'додаток 2022'!F96+'додаток 2023'!F98+'додаток 2024'!F88</f>
        <v>0</v>
      </c>
      <c r="G88" s="8">
        <f>'додаток 2022'!G96+'додаток 2023'!G98+'додаток 2024'!G88</f>
        <v>0</v>
      </c>
      <c r="H88" s="8">
        <f>'додаток 2022'!H96+'додаток 2023'!H98+'додаток 2024'!H88</f>
        <v>0</v>
      </c>
      <c r="I88" s="10">
        <f>J88+K88+L88+M88+N88+O88</f>
        <v>4380.700000000001</v>
      </c>
      <c r="J88" s="8">
        <f>'додаток 2022'!J96+'додаток 2023'!J98+'додаток 2024'!J88</f>
        <v>4380.700000000001</v>
      </c>
      <c r="K88" s="8">
        <f>'додаток 2022'!K96+'додаток 2023'!K98+'додаток 2024'!K88</f>
        <v>0</v>
      </c>
      <c r="L88" s="8">
        <f>'додаток 2022'!L96+'додаток 2023'!L98+'додаток 2024'!L88</f>
        <v>0</v>
      </c>
      <c r="M88" s="8">
        <f>'додаток 2022'!M96+'додаток 2023'!M98+'додаток 2024'!M88</f>
        <v>0</v>
      </c>
      <c r="N88" s="8">
        <f>'додаток 2022'!N96+'додаток 2023'!N98+'додаток 2024'!N88</f>
        <v>0</v>
      </c>
      <c r="O88" s="8">
        <f>'додаток 2022'!O96+'додаток 2023'!O98+'додаток 2024'!O88</f>
        <v>0</v>
      </c>
      <c r="P88" s="63">
        <f>I88/B88*100</f>
        <v>90.23626588666653</v>
      </c>
    </row>
    <row r="89" spans="1:16" ht="26.25">
      <c r="A89" s="12" t="s">
        <v>83</v>
      </c>
      <c r="B89" s="9"/>
      <c r="C89" s="1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81"/>
    </row>
    <row r="90" spans="1:16" ht="26.25">
      <c r="A90" s="44" t="s">
        <v>104</v>
      </c>
      <c r="B90" s="10">
        <f>C90+D90+E90+F90+G90+H90</f>
        <v>6363.299999999999</v>
      </c>
      <c r="C90" s="8">
        <f>'додаток 2022'!C98+'додаток 2023'!C100+'додаток 2024'!C90</f>
        <v>6170.9</v>
      </c>
      <c r="D90" s="8">
        <f>'додаток 2022'!D98+'додаток 2023'!D100+'додаток 2024'!D90</f>
        <v>192.4</v>
      </c>
      <c r="E90" s="8">
        <f>'додаток 2022'!E98+'додаток 2023'!E100+'додаток 2024'!E90</f>
        <v>0</v>
      </c>
      <c r="F90" s="8">
        <f>'додаток 2022'!F98+'додаток 2023'!F100+'додаток 2024'!F90</f>
        <v>0</v>
      </c>
      <c r="G90" s="8">
        <f>'додаток 2022'!G98+'додаток 2023'!G100+'додаток 2024'!G90</f>
        <v>0</v>
      </c>
      <c r="H90" s="8">
        <f>'додаток 2022'!H98+'додаток 2023'!H100+'додаток 2024'!H90</f>
        <v>0</v>
      </c>
      <c r="I90" s="10">
        <f>J90+K90+L90+M90+N90+O90</f>
        <v>5950.5</v>
      </c>
      <c r="J90" s="8">
        <f>'додаток 2022'!J98+'додаток 2023'!J100+'додаток 2024'!J90</f>
        <v>5803.6</v>
      </c>
      <c r="K90" s="8">
        <f>'додаток 2022'!K98+'додаток 2023'!K100+'додаток 2024'!K90</f>
        <v>146.9</v>
      </c>
      <c r="L90" s="8">
        <f>'додаток 2022'!L98+'додаток 2023'!L100+'додаток 2024'!L90</f>
        <v>0</v>
      </c>
      <c r="M90" s="8">
        <f>'додаток 2022'!M98+'додаток 2023'!M100+'додаток 2024'!M90</f>
        <v>0</v>
      </c>
      <c r="N90" s="8">
        <f>'додаток 2022'!N98+'додаток 2023'!N100+'додаток 2024'!N90</f>
        <v>0</v>
      </c>
      <c r="O90" s="8">
        <f>'додаток 2022'!O98+'додаток 2023'!O100+'додаток 2024'!O90</f>
        <v>0</v>
      </c>
      <c r="P90" s="63">
        <f>I90/B90*100</f>
        <v>93.51279996228374</v>
      </c>
    </row>
    <row r="91" spans="1:16" ht="15">
      <c r="A91" s="19" t="s">
        <v>20</v>
      </c>
      <c r="B91" s="20">
        <f>SUM(B84:B90)</f>
        <v>22817.5</v>
      </c>
      <c r="C91" s="20">
        <f aca="true" t="shared" si="19" ref="C91:O91">SUM(C84:C90)</f>
        <v>21975.1</v>
      </c>
      <c r="D91" s="20">
        <f t="shared" si="19"/>
        <v>842.4</v>
      </c>
      <c r="E91" s="20">
        <f t="shared" si="19"/>
        <v>0</v>
      </c>
      <c r="F91" s="20">
        <f t="shared" si="19"/>
        <v>0</v>
      </c>
      <c r="G91" s="20">
        <f t="shared" si="19"/>
        <v>0</v>
      </c>
      <c r="H91" s="20">
        <f t="shared" si="19"/>
        <v>0</v>
      </c>
      <c r="I91" s="20">
        <f t="shared" si="19"/>
        <v>20397.1</v>
      </c>
      <c r="J91" s="20">
        <f t="shared" si="19"/>
        <v>19750.800000000003</v>
      </c>
      <c r="K91" s="20">
        <f t="shared" si="19"/>
        <v>646.3</v>
      </c>
      <c r="L91" s="20">
        <f t="shared" si="19"/>
        <v>0</v>
      </c>
      <c r="M91" s="20">
        <f t="shared" si="19"/>
        <v>0</v>
      </c>
      <c r="N91" s="20">
        <f t="shared" si="19"/>
        <v>0</v>
      </c>
      <c r="O91" s="20">
        <f t="shared" si="19"/>
        <v>0</v>
      </c>
      <c r="P91" s="29">
        <f>I91/B91*100</f>
        <v>89.39235236112633</v>
      </c>
    </row>
    <row r="92" spans="1:16" ht="15.75">
      <c r="A92" s="138" t="s">
        <v>105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</row>
    <row r="93" spans="1:16" ht="64.5">
      <c r="A93" s="16" t="s">
        <v>106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25.5">
      <c r="A94" s="6" t="s">
        <v>107</v>
      </c>
      <c r="B94" s="10">
        <f>C94+D94+E94+F94+G94+H94</f>
        <v>2525.2</v>
      </c>
      <c r="C94" s="8">
        <f>'додаток 2022'!C102+'додаток 2023'!C104+'додаток 2024'!C94</f>
        <v>2525.2</v>
      </c>
      <c r="D94" s="8">
        <f>'додаток 2022'!D102+'додаток 2023'!D104+'додаток 2024'!D94</f>
        <v>0</v>
      </c>
      <c r="E94" s="8">
        <f>'додаток 2022'!E102+'додаток 2023'!E104+'додаток 2024'!E94</f>
        <v>0</v>
      </c>
      <c r="F94" s="8">
        <f>'додаток 2022'!F102+'додаток 2023'!F104+'додаток 2024'!F94</f>
        <v>0</v>
      </c>
      <c r="G94" s="8">
        <f>'додаток 2022'!G102+'додаток 2023'!G104+'додаток 2024'!G94</f>
        <v>0</v>
      </c>
      <c r="H94" s="8">
        <f>'додаток 2022'!H102+'додаток 2023'!H104+'додаток 2024'!H94</f>
        <v>0</v>
      </c>
      <c r="I94" s="10">
        <f>J94+K94+L94+M94+N94+O94</f>
        <v>565.9</v>
      </c>
      <c r="J94" s="8">
        <f>'додаток 2022'!J102+'додаток 2023'!J104+'додаток 2024'!J94</f>
        <v>565.9</v>
      </c>
      <c r="K94" s="8">
        <f>'додаток 2022'!K102+'додаток 2023'!K104+'додаток 2024'!K94</f>
        <v>0</v>
      </c>
      <c r="L94" s="8">
        <f>'додаток 2022'!L102+'додаток 2023'!L104+'додаток 2024'!L94</f>
        <v>0</v>
      </c>
      <c r="M94" s="8">
        <f>'додаток 2022'!M102+'додаток 2023'!M104+'додаток 2024'!M94</f>
        <v>0</v>
      </c>
      <c r="N94" s="8">
        <f>'додаток 2022'!N102+'додаток 2023'!N104+'додаток 2024'!N94</f>
        <v>0</v>
      </c>
      <c r="O94" s="8">
        <f>'додаток 2022'!O102+'додаток 2023'!O104+'додаток 2024'!O94</f>
        <v>0</v>
      </c>
      <c r="P94" s="63">
        <f>I94/B94*100</f>
        <v>22.41010613020751</v>
      </c>
    </row>
    <row r="95" spans="1:16" ht="38.25">
      <c r="A95" s="17" t="s">
        <v>108</v>
      </c>
      <c r="B95" s="10">
        <f>C95+D95+E95+F95+G95+H95</f>
        <v>1885.6999999999998</v>
      </c>
      <c r="C95" s="8">
        <f>'додаток 2022'!C103+'додаток 2023'!C105+'додаток 2024'!C95</f>
        <v>1885.6999999999998</v>
      </c>
      <c r="D95" s="8">
        <f>'додаток 2022'!D103+'додаток 2023'!D105+'додаток 2024'!D95</f>
        <v>0</v>
      </c>
      <c r="E95" s="8">
        <f>'додаток 2022'!E103+'додаток 2023'!E105+'додаток 2024'!E95</f>
        <v>0</v>
      </c>
      <c r="F95" s="8">
        <f>'додаток 2022'!F103+'додаток 2023'!F105+'додаток 2024'!F95</f>
        <v>0</v>
      </c>
      <c r="G95" s="8">
        <f>'додаток 2022'!G103+'додаток 2023'!G105+'додаток 2024'!G95</f>
        <v>0</v>
      </c>
      <c r="H95" s="8">
        <f>'додаток 2022'!H103+'додаток 2023'!H105+'додаток 2024'!H95</f>
        <v>0</v>
      </c>
      <c r="I95" s="10">
        <f>J95+K95+L95+M95+N95+O95</f>
        <v>436.9</v>
      </c>
      <c r="J95" s="8">
        <f>'додаток 2022'!J103+'додаток 2023'!J105+'додаток 2024'!J95</f>
        <v>436.9</v>
      </c>
      <c r="K95" s="8">
        <f>'додаток 2022'!K103+'додаток 2023'!K105+'додаток 2024'!K95</f>
        <v>0</v>
      </c>
      <c r="L95" s="8">
        <f>'додаток 2022'!L103+'додаток 2023'!L105+'додаток 2024'!L95</f>
        <v>0</v>
      </c>
      <c r="M95" s="8">
        <f>'додаток 2022'!M103+'додаток 2023'!M105+'додаток 2024'!M95</f>
        <v>0</v>
      </c>
      <c r="N95" s="8">
        <f>'додаток 2022'!N103+'додаток 2023'!N105+'додаток 2024'!N95</f>
        <v>0</v>
      </c>
      <c r="O95" s="8">
        <f>'додаток 2022'!O103+'додаток 2023'!O105+'додаток 2024'!O95</f>
        <v>0</v>
      </c>
      <c r="P95" s="63">
        <f>I95/B95*100</f>
        <v>23.169114917537257</v>
      </c>
    </row>
    <row r="96" spans="1:16" ht="15">
      <c r="A96" s="19" t="s">
        <v>21</v>
      </c>
      <c r="B96" s="21">
        <f>SUM(B94:B95)</f>
        <v>4410.9</v>
      </c>
      <c r="C96" s="21">
        <f aca="true" t="shared" si="20" ref="C96:O96">SUM(C94:C95)</f>
        <v>4410.9</v>
      </c>
      <c r="D96" s="21">
        <f t="shared" si="20"/>
        <v>0</v>
      </c>
      <c r="E96" s="21">
        <f t="shared" si="20"/>
        <v>0</v>
      </c>
      <c r="F96" s="21">
        <f t="shared" si="20"/>
        <v>0</v>
      </c>
      <c r="G96" s="21">
        <f t="shared" si="20"/>
        <v>0</v>
      </c>
      <c r="H96" s="21">
        <f t="shared" si="20"/>
        <v>0</v>
      </c>
      <c r="I96" s="21">
        <f t="shared" si="20"/>
        <v>1002.8</v>
      </c>
      <c r="J96" s="21">
        <f t="shared" si="20"/>
        <v>1002.8</v>
      </c>
      <c r="K96" s="21">
        <f t="shared" si="20"/>
        <v>0</v>
      </c>
      <c r="L96" s="21">
        <f t="shared" si="20"/>
        <v>0</v>
      </c>
      <c r="M96" s="21">
        <f t="shared" si="20"/>
        <v>0</v>
      </c>
      <c r="N96" s="21">
        <f t="shared" si="20"/>
        <v>0</v>
      </c>
      <c r="O96" s="21">
        <f t="shared" si="20"/>
        <v>0</v>
      </c>
      <c r="P96" s="29">
        <f>I96/B96*100</f>
        <v>22.73458931283865</v>
      </c>
    </row>
    <row r="97" spans="1:16" ht="15.75">
      <c r="A97" s="138" t="s">
        <v>109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</row>
    <row r="98" spans="1:16" ht="30.75" customHeight="1">
      <c r="A98" s="12" t="s">
        <v>74</v>
      </c>
      <c r="B98" s="9"/>
      <c r="C98" s="1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4"/>
    </row>
    <row r="99" spans="1:16" ht="26.25">
      <c r="A99" s="7" t="s">
        <v>75</v>
      </c>
      <c r="B99" s="34">
        <f>C99+D99+E99+F99+G99+H99</f>
        <v>3988</v>
      </c>
      <c r="C99" s="8">
        <f>'додаток 2022'!C107+'додаток 2023'!C109+'додаток 2024'!C99</f>
        <v>561.6</v>
      </c>
      <c r="D99" s="8">
        <f>'додаток 2022'!D107+'додаток 2023'!D109+'додаток 2024'!D99</f>
        <v>0</v>
      </c>
      <c r="E99" s="8">
        <f>'додаток 2022'!E107+'додаток 2023'!E109+'додаток 2024'!E99</f>
        <v>0</v>
      </c>
      <c r="F99" s="8">
        <f>'додаток 2022'!F107+'додаток 2023'!F109+'додаток 2024'!F99</f>
        <v>0</v>
      </c>
      <c r="G99" s="8">
        <f>'додаток 2022'!G107+'додаток 2023'!G109+'додаток 2024'!G99</f>
        <v>3426.4</v>
      </c>
      <c r="H99" s="8">
        <f>'додаток 2022'!H107+'додаток 2023'!H109+'додаток 2024'!H99</f>
        <v>0</v>
      </c>
      <c r="I99" s="34">
        <f>J99+K99+L99+M99+N99+O99</f>
        <v>3510.4999999999995</v>
      </c>
      <c r="J99" s="8">
        <f>'додаток 2022'!J107+'додаток 2023'!J109+'додаток 2024'!J99</f>
        <v>390.1</v>
      </c>
      <c r="K99" s="8">
        <f>'додаток 2022'!K107+'додаток 2023'!K109+'додаток 2024'!K99</f>
        <v>0</v>
      </c>
      <c r="L99" s="8">
        <f>'додаток 2022'!L107+'додаток 2023'!L109+'додаток 2024'!L99</f>
        <v>0</v>
      </c>
      <c r="M99" s="8">
        <f>'додаток 2022'!M107+'додаток 2023'!M109+'додаток 2024'!M99</f>
        <v>0</v>
      </c>
      <c r="N99" s="8">
        <f>'додаток 2022'!N107+'додаток 2023'!N109+'додаток 2024'!N99</f>
        <v>3120.3999999999996</v>
      </c>
      <c r="O99" s="8">
        <f>'додаток 2022'!O107+'додаток 2023'!O109+'додаток 2024'!O99</f>
        <v>0</v>
      </c>
      <c r="P99" s="69">
        <f>I99/B99*100</f>
        <v>88.02657973921764</v>
      </c>
    </row>
    <row r="100" spans="1:16" ht="15">
      <c r="A100" s="45" t="s">
        <v>76</v>
      </c>
      <c r="B100" s="34">
        <f>C100+D100+E100+F100+G100+H100</f>
        <v>540.6</v>
      </c>
      <c r="C100" s="8">
        <f>'додаток 2022'!C108+'додаток 2023'!C110+'додаток 2024'!C100</f>
        <v>323</v>
      </c>
      <c r="D100" s="8">
        <f>'додаток 2022'!D108+'додаток 2023'!D110+'додаток 2024'!D100</f>
        <v>217.6</v>
      </c>
      <c r="E100" s="8">
        <f>'додаток 2022'!E108+'додаток 2023'!E110+'додаток 2024'!E100</f>
        <v>0</v>
      </c>
      <c r="F100" s="8">
        <f>'додаток 2022'!F108+'додаток 2023'!F110+'додаток 2024'!F100</f>
        <v>0</v>
      </c>
      <c r="G100" s="8">
        <f>'додаток 2022'!G108+'додаток 2023'!G110+'додаток 2024'!G100</f>
        <v>0</v>
      </c>
      <c r="H100" s="8">
        <f>'додаток 2022'!H108+'додаток 2023'!H110+'додаток 2024'!H100</f>
        <v>0</v>
      </c>
      <c r="I100" s="34">
        <f>J100+K100+L100+M100+N100+O100</f>
        <v>447.6</v>
      </c>
      <c r="J100" s="8">
        <f>'додаток 2022'!J108+'додаток 2023'!J110+'додаток 2024'!J100</f>
        <v>240.6</v>
      </c>
      <c r="K100" s="8">
        <f>'додаток 2022'!K108+'додаток 2023'!K110+'додаток 2024'!K100</f>
        <v>207</v>
      </c>
      <c r="L100" s="8">
        <f>'додаток 2022'!L108+'додаток 2023'!L110+'додаток 2024'!L100</f>
        <v>0</v>
      </c>
      <c r="M100" s="8">
        <f>'додаток 2022'!M108+'додаток 2023'!M110+'додаток 2024'!M100</f>
        <v>0</v>
      </c>
      <c r="N100" s="8">
        <f>'додаток 2022'!N108+'додаток 2023'!N110+'додаток 2024'!N100</f>
        <v>0</v>
      </c>
      <c r="O100" s="8">
        <f>'додаток 2022'!O108+'додаток 2023'!O110+'додаток 2024'!O100</f>
        <v>0</v>
      </c>
      <c r="P100" s="69">
        <f>I100/B100*100</f>
        <v>82.7968923418424</v>
      </c>
    </row>
    <row r="101" spans="1:16" ht="26.25">
      <c r="A101" s="7" t="s">
        <v>77</v>
      </c>
      <c r="B101" s="34">
        <f>C101+D101+E101+F101+G101+H101</f>
        <v>123.3</v>
      </c>
      <c r="C101" s="8">
        <f>'додаток 2022'!C109+'додаток 2023'!C111+'додаток 2024'!C101</f>
        <v>0</v>
      </c>
      <c r="D101" s="8">
        <f>'додаток 2022'!D109+'додаток 2023'!D111+'додаток 2024'!D101</f>
        <v>123.3</v>
      </c>
      <c r="E101" s="8">
        <f>'додаток 2022'!E109+'додаток 2023'!E111+'додаток 2024'!E101</f>
        <v>0</v>
      </c>
      <c r="F101" s="8">
        <f>'додаток 2022'!F109+'додаток 2023'!F111+'додаток 2024'!F101</f>
        <v>0</v>
      </c>
      <c r="G101" s="8">
        <f>'додаток 2022'!G109+'додаток 2023'!G111+'додаток 2024'!G101</f>
        <v>0</v>
      </c>
      <c r="H101" s="8">
        <f>'додаток 2022'!H109+'додаток 2023'!H111+'додаток 2024'!H101</f>
        <v>0</v>
      </c>
      <c r="I101" s="34">
        <f>J101+K101+L101+M101+N101+O101</f>
        <v>102.4</v>
      </c>
      <c r="J101" s="8">
        <f>'додаток 2022'!J109+'додаток 2023'!J111+'додаток 2024'!J101</f>
        <v>0</v>
      </c>
      <c r="K101" s="8">
        <f>'додаток 2022'!K109+'додаток 2023'!K111+'додаток 2024'!K101</f>
        <v>102.4</v>
      </c>
      <c r="L101" s="8">
        <f>'додаток 2022'!L109+'додаток 2023'!L111+'додаток 2024'!L101</f>
        <v>0</v>
      </c>
      <c r="M101" s="8">
        <f>'додаток 2022'!M109+'додаток 2023'!M111+'додаток 2024'!M101</f>
        <v>0</v>
      </c>
      <c r="N101" s="8">
        <f>'додаток 2022'!N109+'додаток 2023'!N111+'додаток 2024'!N101</f>
        <v>0</v>
      </c>
      <c r="O101" s="8">
        <f>'додаток 2022'!O109+'додаток 2023'!O111+'додаток 2024'!O101</f>
        <v>0</v>
      </c>
      <c r="P101" s="69">
        <f>I101/B101*100</f>
        <v>83.04947283049474</v>
      </c>
    </row>
    <row r="102" spans="1:16" ht="15">
      <c r="A102" s="19" t="s">
        <v>22</v>
      </c>
      <c r="B102" s="21">
        <f>SUM(B99:B101)</f>
        <v>4651.900000000001</v>
      </c>
      <c r="C102" s="21">
        <f aca="true" t="shared" si="21" ref="C102:N102">SUM(C99:C101)</f>
        <v>884.6</v>
      </c>
      <c r="D102" s="21">
        <f t="shared" si="21"/>
        <v>340.9</v>
      </c>
      <c r="E102" s="21">
        <f t="shared" si="21"/>
        <v>0</v>
      </c>
      <c r="F102" s="21">
        <f t="shared" si="21"/>
        <v>0</v>
      </c>
      <c r="G102" s="21">
        <f t="shared" si="21"/>
        <v>3426.4</v>
      </c>
      <c r="H102" s="21">
        <f t="shared" si="21"/>
        <v>0</v>
      </c>
      <c r="I102" s="21">
        <f t="shared" si="21"/>
        <v>4060.4999999999995</v>
      </c>
      <c r="J102" s="21">
        <f t="shared" si="21"/>
        <v>630.7</v>
      </c>
      <c r="K102" s="21">
        <f t="shared" si="21"/>
        <v>309.4</v>
      </c>
      <c r="L102" s="21">
        <f t="shared" si="21"/>
        <v>0</v>
      </c>
      <c r="M102" s="21">
        <f t="shared" si="21"/>
        <v>0</v>
      </c>
      <c r="N102" s="21">
        <f t="shared" si="21"/>
        <v>3120.3999999999996</v>
      </c>
      <c r="O102" s="21">
        <f>SUM(O99:O101)</f>
        <v>0</v>
      </c>
      <c r="P102" s="29">
        <f>I102/B102*100</f>
        <v>87.28691502396867</v>
      </c>
    </row>
    <row r="103" spans="1:16" ht="15.75">
      <c r="A103" s="133" t="s">
        <v>110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5"/>
    </row>
    <row r="104" spans="1:16" ht="26.25">
      <c r="A104" s="46" t="s">
        <v>80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60"/>
    </row>
    <row r="105" spans="1:16" ht="15">
      <c r="A105" s="72" t="s">
        <v>111</v>
      </c>
      <c r="B105" s="10">
        <f aca="true" t="shared" si="22" ref="B105:B111">C105+D105+E105+F105+G105+H105</f>
        <v>130339</v>
      </c>
      <c r="C105" s="8">
        <f>'додаток 2022'!C113+'додаток 2023'!C115+'додаток 2024'!C105</f>
        <v>0</v>
      </c>
      <c r="D105" s="8">
        <f>'додаток 2022'!D113+'додаток 2023'!D115+'додаток 2024'!D105</f>
        <v>117600</v>
      </c>
      <c r="E105" s="8">
        <f>'додаток 2022'!E113+'додаток 2023'!E115+'додаток 2024'!E105</f>
        <v>0</v>
      </c>
      <c r="F105" s="8">
        <f>'додаток 2022'!F113+'додаток 2023'!F115+'додаток 2024'!F105</f>
        <v>0</v>
      </c>
      <c r="G105" s="8">
        <f>'додаток 2022'!G113+'додаток 2023'!G115+'додаток 2024'!G105</f>
        <v>0</v>
      </c>
      <c r="H105" s="8">
        <f>'додаток 2022'!H113+'додаток 2023'!H115+'додаток 2024'!H105</f>
        <v>12739</v>
      </c>
      <c r="I105" s="10">
        <f aca="true" t="shared" si="23" ref="I105:I111">J105+K105+L105+M105+N105+O105</f>
        <v>98091.6</v>
      </c>
      <c r="J105" s="8">
        <f>'додаток 2022'!J113+'додаток 2023'!J115+'додаток 2024'!J105</f>
        <v>0</v>
      </c>
      <c r="K105" s="8">
        <f>'додаток 2022'!K113+'додаток 2023'!K115+'додаток 2024'!K105</f>
        <v>85371.5</v>
      </c>
      <c r="L105" s="8">
        <f>'додаток 2022'!L113+'додаток 2023'!L115+'додаток 2024'!L105</f>
        <v>0</v>
      </c>
      <c r="M105" s="8">
        <f>'додаток 2022'!M113+'додаток 2023'!M115+'додаток 2024'!M105</f>
        <v>0</v>
      </c>
      <c r="N105" s="8">
        <f>'додаток 2022'!N113+'додаток 2023'!N115+'додаток 2024'!N105</f>
        <v>0</v>
      </c>
      <c r="O105" s="8">
        <f>'додаток 2022'!O113+'додаток 2023'!O115+'додаток 2024'!O105</f>
        <v>12720.1</v>
      </c>
      <c r="P105" s="63">
        <f aca="true" t="shared" si="24" ref="P105:P112">I105/B105*100</f>
        <v>75.25882506387191</v>
      </c>
    </row>
    <row r="106" spans="1:16" ht="15">
      <c r="A106" s="72" t="s">
        <v>112</v>
      </c>
      <c r="B106" s="10">
        <f t="shared" si="22"/>
        <v>2200</v>
      </c>
      <c r="C106" s="8">
        <f>'додаток 2022'!C114+'додаток 2023'!C116+'додаток 2024'!C106</f>
        <v>0</v>
      </c>
      <c r="D106" s="8">
        <f>'додаток 2022'!D114+'додаток 2023'!D116+'додаток 2024'!D106</f>
        <v>2200</v>
      </c>
      <c r="E106" s="8">
        <f>'додаток 2022'!E114+'додаток 2023'!E116+'додаток 2024'!E106</f>
        <v>0</v>
      </c>
      <c r="F106" s="8">
        <f>'додаток 2022'!F114+'додаток 2023'!F116+'додаток 2024'!F106</f>
        <v>0</v>
      </c>
      <c r="G106" s="8">
        <f>'додаток 2022'!G114+'додаток 2023'!G116+'додаток 2024'!G106</f>
        <v>0</v>
      </c>
      <c r="H106" s="8">
        <f>'додаток 2022'!H114+'додаток 2023'!H116+'додаток 2024'!H106</f>
        <v>0</v>
      </c>
      <c r="I106" s="10">
        <f t="shared" si="23"/>
        <v>200</v>
      </c>
      <c r="J106" s="8">
        <f>'додаток 2022'!J114+'додаток 2023'!J116+'додаток 2024'!J106</f>
        <v>0</v>
      </c>
      <c r="K106" s="8">
        <f>'додаток 2022'!K114+'додаток 2023'!K116+'додаток 2024'!K106</f>
        <v>200</v>
      </c>
      <c r="L106" s="8">
        <f>'додаток 2022'!L114+'додаток 2023'!L116+'додаток 2024'!L106</f>
        <v>0</v>
      </c>
      <c r="M106" s="8">
        <f>'додаток 2022'!M114+'додаток 2023'!M116+'додаток 2024'!M106</f>
        <v>0</v>
      </c>
      <c r="N106" s="8">
        <f>'додаток 2022'!N114+'додаток 2023'!N116+'додаток 2024'!N106</f>
        <v>0</v>
      </c>
      <c r="O106" s="8">
        <f>'додаток 2022'!O114+'додаток 2023'!O116+'додаток 2024'!O106</f>
        <v>0</v>
      </c>
      <c r="P106" s="63">
        <f t="shared" si="24"/>
        <v>9.090909090909092</v>
      </c>
    </row>
    <row r="107" spans="1:16" ht="15">
      <c r="A107" s="72" t="s">
        <v>113</v>
      </c>
      <c r="B107" s="10">
        <f t="shared" si="22"/>
        <v>1700</v>
      </c>
      <c r="C107" s="8">
        <f>'додаток 2022'!C115+'додаток 2023'!C117+'додаток 2024'!C107</f>
        <v>0</v>
      </c>
      <c r="D107" s="8">
        <f>'додаток 2022'!D115+'додаток 2023'!D117+'додаток 2024'!D107</f>
        <v>1700</v>
      </c>
      <c r="E107" s="8">
        <f>'додаток 2022'!E115+'додаток 2023'!E117+'додаток 2024'!E107</f>
        <v>0</v>
      </c>
      <c r="F107" s="8">
        <f>'додаток 2022'!F115+'додаток 2023'!F117+'додаток 2024'!F107</f>
        <v>0</v>
      </c>
      <c r="G107" s="8">
        <f>'додаток 2022'!G115+'додаток 2023'!G117+'додаток 2024'!G107</f>
        <v>0</v>
      </c>
      <c r="H107" s="8">
        <f>'додаток 2022'!H115+'додаток 2023'!H117+'додаток 2024'!H107</f>
        <v>0</v>
      </c>
      <c r="I107" s="10">
        <f t="shared" si="23"/>
        <v>0</v>
      </c>
      <c r="J107" s="8">
        <f>'додаток 2022'!J115+'додаток 2023'!J117+'додаток 2024'!J107</f>
        <v>0</v>
      </c>
      <c r="K107" s="8">
        <f>'додаток 2022'!K115+'додаток 2023'!K117+'додаток 2024'!K107</f>
        <v>0</v>
      </c>
      <c r="L107" s="8">
        <f>'додаток 2022'!L115+'додаток 2023'!L117+'додаток 2024'!L107</f>
        <v>0</v>
      </c>
      <c r="M107" s="8">
        <f>'додаток 2022'!M115+'додаток 2023'!M117+'додаток 2024'!M107</f>
        <v>0</v>
      </c>
      <c r="N107" s="8">
        <f>'додаток 2022'!N115+'додаток 2023'!N117+'додаток 2024'!N107</f>
        <v>0</v>
      </c>
      <c r="O107" s="8">
        <f>'додаток 2022'!O115+'додаток 2023'!O117+'додаток 2024'!O107</f>
        <v>0</v>
      </c>
      <c r="P107" s="63">
        <f t="shared" si="24"/>
        <v>0</v>
      </c>
    </row>
    <row r="108" spans="1:16" ht="15">
      <c r="A108" s="72" t="s">
        <v>114</v>
      </c>
      <c r="B108" s="10">
        <f t="shared" si="22"/>
        <v>2554.3</v>
      </c>
      <c r="C108" s="8">
        <f>'додаток 2022'!C116+'додаток 2023'!C118+'додаток 2024'!C108</f>
        <v>0</v>
      </c>
      <c r="D108" s="8">
        <f>'додаток 2022'!D116+'додаток 2023'!D118+'додаток 2024'!D108</f>
        <v>2554.3</v>
      </c>
      <c r="E108" s="8">
        <f>'додаток 2022'!E116+'додаток 2023'!E118+'додаток 2024'!E108</f>
        <v>0</v>
      </c>
      <c r="F108" s="8">
        <f>'додаток 2022'!F116+'додаток 2023'!F118+'додаток 2024'!F108</f>
        <v>0</v>
      </c>
      <c r="G108" s="8">
        <f>'додаток 2022'!G116+'додаток 2023'!G118+'додаток 2024'!G108</f>
        <v>0</v>
      </c>
      <c r="H108" s="8">
        <f>'додаток 2022'!H116+'додаток 2023'!H118+'додаток 2024'!H108</f>
        <v>0</v>
      </c>
      <c r="I108" s="10">
        <f t="shared" si="23"/>
        <v>0</v>
      </c>
      <c r="J108" s="8">
        <f>'додаток 2022'!J116+'додаток 2023'!J118+'додаток 2024'!J108</f>
        <v>0</v>
      </c>
      <c r="K108" s="8">
        <f>'додаток 2022'!K116+'додаток 2023'!K118+'додаток 2024'!K108</f>
        <v>0</v>
      </c>
      <c r="L108" s="8">
        <f>'додаток 2022'!L116+'додаток 2023'!L118+'додаток 2024'!L108</f>
        <v>0</v>
      </c>
      <c r="M108" s="8">
        <f>'додаток 2022'!M116+'додаток 2023'!M118+'додаток 2024'!M108</f>
        <v>0</v>
      </c>
      <c r="N108" s="8">
        <f>'додаток 2022'!N116+'додаток 2023'!N118+'додаток 2024'!N108</f>
        <v>0</v>
      </c>
      <c r="O108" s="8">
        <f>'додаток 2022'!O116+'додаток 2023'!O118+'додаток 2024'!O108</f>
        <v>0</v>
      </c>
      <c r="P108" s="63">
        <f t="shared" si="24"/>
        <v>0</v>
      </c>
    </row>
    <row r="109" spans="1:16" ht="25.5">
      <c r="A109" s="72" t="s">
        <v>115</v>
      </c>
      <c r="B109" s="10">
        <f t="shared" si="22"/>
        <v>3100</v>
      </c>
      <c r="C109" s="8">
        <f>'додаток 2022'!C117+'додаток 2023'!C119+'додаток 2024'!C109</f>
        <v>0</v>
      </c>
      <c r="D109" s="8">
        <f>'додаток 2022'!D117+'додаток 2023'!D119+'додаток 2024'!D109</f>
        <v>3100</v>
      </c>
      <c r="E109" s="8">
        <f>'додаток 2022'!E117+'додаток 2023'!E119+'додаток 2024'!E109</f>
        <v>0</v>
      </c>
      <c r="F109" s="8">
        <f>'додаток 2022'!F117+'додаток 2023'!F119+'додаток 2024'!F109</f>
        <v>0</v>
      </c>
      <c r="G109" s="8">
        <f>'додаток 2022'!G117+'додаток 2023'!G119+'додаток 2024'!G109</f>
        <v>0</v>
      </c>
      <c r="H109" s="8">
        <f>'додаток 2022'!H117+'додаток 2023'!H119+'додаток 2024'!H109</f>
        <v>0</v>
      </c>
      <c r="I109" s="10">
        <f t="shared" si="23"/>
        <v>0</v>
      </c>
      <c r="J109" s="8">
        <f>'додаток 2022'!J117+'додаток 2023'!J119+'додаток 2024'!J109</f>
        <v>0</v>
      </c>
      <c r="K109" s="8">
        <f>'додаток 2022'!K117+'додаток 2023'!K119+'додаток 2024'!K109</f>
        <v>0</v>
      </c>
      <c r="L109" s="8">
        <f>'додаток 2022'!L117+'додаток 2023'!L119+'додаток 2024'!L109</f>
        <v>0</v>
      </c>
      <c r="M109" s="8">
        <f>'додаток 2022'!M117+'додаток 2023'!M119+'додаток 2024'!M109</f>
        <v>0</v>
      </c>
      <c r="N109" s="8">
        <f>'додаток 2022'!N117+'додаток 2023'!N119+'додаток 2024'!N109</f>
        <v>0</v>
      </c>
      <c r="O109" s="8">
        <f>'додаток 2022'!O117+'додаток 2023'!O119+'додаток 2024'!O109</f>
        <v>0</v>
      </c>
      <c r="P109" s="63">
        <f t="shared" si="24"/>
        <v>0</v>
      </c>
    </row>
    <row r="110" spans="1:16" ht="42" customHeight="1">
      <c r="A110" s="72" t="s">
        <v>116</v>
      </c>
      <c r="B110" s="10">
        <f t="shared" si="22"/>
        <v>600</v>
      </c>
      <c r="C110" s="8">
        <f>'додаток 2022'!C118+'додаток 2023'!C120+'додаток 2024'!C110</f>
        <v>0</v>
      </c>
      <c r="D110" s="8">
        <f>'додаток 2022'!D118+'додаток 2023'!D120+'додаток 2024'!D110</f>
        <v>600</v>
      </c>
      <c r="E110" s="8">
        <f>'додаток 2022'!E118+'додаток 2023'!E120+'додаток 2024'!E110</f>
        <v>0</v>
      </c>
      <c r="F110" s="8">
        <f>'додаток 2022'!F118+'додаток 2023'!F120+'додаток 2024'!F110</f>
        <v>0</v>
      </c>
      <c r="G110" s="8">
        <f>'додаток 2022'!G118+'додаток 2023'!G120+'додаток 2024'!G110</f>
        <v>0</v>
      </c>
      <c r="H110" s="8">
        <f>'додаток 2022'!H118+'додаток 2023'!H120+'додаток 2024'!H110</f>
        <v>0</v>
      </c>
      <c r="I110" s="10">
        <f t="shared" si="23"/>
        <v>0</v>
      </c>
      <c r="J110" s="8">
        <f>'додаток 2022'!J118+'додаток 2023'!J120+'додаток 2024'!J110</f>
        <v>0</v>
      </c>
      <c r="K110" s="8">
        <f>'додаток 2022'!K118+'додаток 2023'!K120+'додаток 2024'!K110</f>
        <v>0</v>
      </c>
      <c r="L110" s="8">
        <f>'додаток 2022'!L118+'додаток 2023'!L120+'додаток 2024'!L110</f>
        <v>0</v>
      </c>
      <c r="M110" s="8">
        <f>'додаток 2022'!M118+'додаток 2023'!M120+'додаток 2024'!M110</f>
        <v>0</v>
      </c>
      <c r="N110" s="8">
        <f>'додаток 2022'!N118+'додаток 2023'!N120+'додаток 2024'!N110</f>
        <v>0</v>
      </c>
      <c r="O110" s="8">
        <f>'додаток 2022'!O118+'додаток 2023'!O120+'додаток 2024'!O110</f>
        <v>0</v>
      </c>
      <c r="P110" s="63">
        <f t="shared" si="24"/>
        <v>0</v>
      </c>
    </row>
    <row r="111" spans="1:16" ht="26.25">
      <c r="A111" s="7" t="s">
        <v>45</v>
      </c>
      <c r="B111" s="10">
        <f t="shared" si="22"/>
        <v>5200</v>
      </c>
      <c r="C111" s="8">
        <f>'додаток 2022'!C119+'додаток 2023'!C121+'додаток 2024'!C111</f>
        <v>0</v>
      </c>
      <c r="D111" s="8">
        <f>'додаток 2022'!D119+'додаток 2023'!D121+'додаток 2024'!D111</f>
        <v>5200</v>
      </c>
      <c r="E111" s="8">
        <f>'додаток 2022'!E119+'додаток 2023'!E121+'додаток 2024'!E111</f>
        <v>0</v>
      </c>
      <c r="F111" s="8">
        <f>'додаток 2022'!F119+'додаток 2023'!F121+'додаток 2024'!F111</f>
        <v>0</v>
      </c>
      <c r="G111" s="8">
        <f>'додаток 2022'!G119+'додаток 2023'!G121+'додаток 2024'!G111</f>
        <v>0</v>
      </c>
      <c r="H111" s="8">
        <f>'додаток 2022'!H119+'додаток 2023'!H121+'додаток 2024'!H111</f>
        <v>0</v>
      </c>
      <c r="I111" s="10">
        <f t="shared" si="23"/>
        <v>0</v>
      </c>
      <c r="J111" s="8">
        <f>'додаток 2022'!J119+'додаток 2023'!J121+'додаток 2024'!J111</f>
        <v>0</v>
      </c>
      <c r="K111" s="8">
        <f>'додаток 2022'!K119+'додаток 2023'!K121+'додаток 2024'!K111</f>
        <v>0</v>
      </c>
      <c r="L111" s="8">
        <f>'додаток 2022'!L119+'додаток 2023'!L121+'додаток 2024'!L111</f>
        <v>0</v>
      </c>
      <c r="M111" s="8">
        <f>'додаток 2022'!M119+'додаток 2023'!M121+'додаток 2024'!M111</f>
        <v>0</v>
      </c>
      <c r="N111" s="8">
        <f>'додаток 2022'!N119+'додаток 2023'!N121+'додаток 2024'!N111</f>
        <v>0</v>
      </c>
      <c r="O111" s="8">
        <f>'додаток 2022'!O119+'додаток 2023'!O121+'додаток 2024'!O111</f>
        <v>0</v>
      </c>
      <c r="P111" s="63">
        <f t="shared" si="24"/>
        <v>0</v>
      </c>
    </row>
    <row r="112" spans="1:16" ht="15">
      <c r="A112" s="19" t="s">
        <v>81</v>
      </c>
      <c r="B112" s="21">
        <f>SUM(B104:B111)</f>
        <v>145693.3</v>
      </c>
      <c r="C112" s="21">
        <f aca="true" t="shared" si="25" ref="C112:O112">SUM(C104:C111)</f>
        <v>0</v>
      </c>
      <c r="D112" s="21">
        <f t="shared" si="25"/>
        <v>132954.3</v>
      </c>
      <c r="E112" s="21">
        <f t="shared" si="25"/>
        <v>0</v>
      </c>
      <c r="F112" s="21">
        <f t="shared" si="25"/>
        <v>0</v>
      </c>
      <c r="G112" s="21">
        <f t="shared" si="25"/>
        <v>0</v>
      </c>
      <c r="H112" s="21">
        <f t="shared" si="25"/>
        <v>12739</v>
      </c>
      <c r="I112" s="21">
        <f t="shared" si="25"/>
        <v>98291.6</v>
      </c>
      <c r="J112" s="21">
        <f t="shared" si="25"/>
        <v>0</v>
      </c>
      <c r="K112" s="21">
        <f t="shared" si="25"/>
        <v>85571.5</v>
      </c>
      <c r="L112" s="21">
        <f t="shared" si="25"/>
        <v>0</v>
      </c>
      <c r="M112" s="21">
        <f t="shared" si="25"/>
        <v>0</v>
      </c>
      <c r="N112" s="21">
        <f t="shared" si="25"/>
        <v>0</v>
      </c>
      <c r="O112" s="21">
        <f t="shared" si="25"/>
        <v>12720.1</v>
      </c>
      <c r="P112" s="29">
        <f t="shared" si="24"/>
        <v>67.46473585264388</v>
      </c>
    </row>
    <row r="113" spans="1:16" ht="15">
      <c r="A113" s="140" t="s">
        <v>117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2"/>
    </row>
    <row r="114" spans="1:16" ht="15">
      <c r="A114" s="15" t="s">
        <v>118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1"/>
    </row>
    <row r="115" spans="1:16" ht="52.5" customHeight="1">
      <c r="A115" s="71" t="s">
        <v>119</v>
      </c>
      <c r="B115" s="10">
        <f>C115+D115+E115+F115+G115+H115</f>
        <v>0</v>
      </c>
      <c r="C115" s="8">
        <f>'додаток 2022'!C123+'додаток 2023'!C126+'додаток 2024'!C115</f>
        <v>0</v>
      </c>
      <c r="D115" s="8">
        <f>'додаток 2022'!D123+'додаток 2023'!D126+'додаток 2024'!D115</f>
        <v>0</v>
      </c>
      <c r="E115" s="8">
        <f>'додаток 2022'!E123+'додаток 2023'!E126+'додаток 2024'!E115</f>
        <v>0</v>
      </c>
      <c r="F115" s="8">
        <f>'додаток 2022'!F123+'додаток 2023'!F126+'додаток 2024'!F115</f>
        <v>0</v>
      </c>
      <c r="G115" s="8">
        <f>'додаток 2022'!G123+'додаток 2023'!G126+'додаток 2024'!G115</f>
        <v>0</v>
      </c>
      <c r="H115" s="8">
        <f>'додаток 2022'!H123+'додаток 2023'!H126+'додаток 2024'!H115</f>
        <v>0</v>
      </c>
      <c r="I115" s="10">
        <f>J115+K115+L115+M115+N115+O115</f>
        <v>0</v>
      </c>
      <c r="J115" s="8">
        <f>'додаток 2022'!J123+'додаток 2023'!J126+'додаток 2024'!J115</f>
        <v>0</v>
      </c>
      <c r="K115" s="8">
        <f>'додаток 2022'!K123+'додаток 2023'!K126+'додаток 2024'!K115</f>
        <v>0</v>
      </c>
      <c r="L115" s="8">
        <f>'додаток 2022'!L123+'додаток 2023'!L126+'додаток 2024'!L115</f>
        <v>0</v>
      </c>
      <c r="M115" s="8">
        <f>'додаток 2022'!M123+'додаток 2023'!M126+'додаток 2024'!M115</f>
        <v>0</v>
      </c>
      <c r="N115" s="8">
        <f>'додаток 2022'!N123+'додаток 2023'!N126+'додаток 2024'!N115</f>
        <v>0</v>
      </c>
      <c r="O115" s="8">
        <f>'додаток 2022'!O123+'додаток 2023'!O126+'додаток 2024'!O115</f>
        <v>0</v>
      </c>
      <c r="P115" s="63" t="e">
        <f>I115/B115*100</f>
        <v>#DIV/0!</v>
      </c>
    </row>
    <row r="116" spans="1:16" ht="15">
      <c r="A116" s="19" t="s">
        <v>23</v>
      </c>
      <c r="B116" s="21">
        <f>B115</f>
        <v>0</v>
      </c>
      <c r="C116" s="21">
        <f>C115</f>
        <v>0</v>
      </c>
      <c r="D116" s="21">
        <f>D115</f>
        <v>0</v>
      </c>
      <c r="E116" s="21">
        <f aca="true" t="shared" si="26" ref="E116:O116">E115</f>
        <v>0</v>
      </c>
      <c r="F116" s="21">
        <f t="shared" si="26"/>
        <v>0</v>
      </c>
      <c r="G116" s="21">
        <f t="shared" si="26"/>
        <v>0</v>
      </c>
      <c r="H116" s="21">
        <f t="shared" si="26"/>
        <v>0</v>
      </c>
      <c r="I116" s="21">
        <f t="shared" si="26"/>
        <v>0</v>
      </c>
      <c r="J116" s="21">
        <f t="shared" si="26"/>
        <v>0</v>
      </c>
      <c r="K116" s="21">
        <f t="shared" si="26"/>
        <v>0</v>
      </c>
      <c r="L116" s="21">
        <f t="shared" si="26"/>
        <v>0</v>
      </c>
      <c r="M116" s="21">
        <f t="shared" si="26"/>
        <v>0</v>
      </c>
      <c r="N116" s="21">
        <f t="shared" si="26"/>
        <v>0</v>
      </c>
      <c r="O116" s="21">
        <f t="shared" si="26"/>
        <v>0</v>
      </c>
      <c r="P116" s="29"/>
    </row>
    <row r="117" spans="1:16" ht="15">
      <c r="A117" s="140" t="s">
        <v>120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2"/>
    </row>
    <row r="118" spans="1:16" ht="27" customHeight="1">
      <c r="A118" s="15" t="s">
        <v>121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1"/>
    </row>
    <row r="119" spans="1:16" ht="30">
      <c r="A119" s="80" t="s">
        <v>122</v>
      </c>
      <c r="B119" s="10">
        <f>C119+D119+E119+F119+G119+H119</f>
        <v>20100</v>
      </c>
      <c r="C119" s="8">
        <f>'додаток 2022'!C132+'додаток 2023'!C135+'додаток 2024'!C119</f>
        <v>0</v>
      </c>
      <c r="D119" s="8">
        <f>'додаток 2022'!D132+'додаток 2023'!D135+'додаток 2024'!D119</f>
        <v>6000</v>
      </c>
      <c r="E119" s="8">
        <f>'додаток 2022'!E132+'додаток 2023'!E135+'додаток 2024'!E119</f>
        <v>0</v>
      </c>
      <c r="F119" s="8">
        <f>'додаток 2022'!F132+'додаток 2023'!F135+'додаток 2024'!F119</f>
        <v>0</v>
      </c>
      <c r="G119" s="8">
        <f>'додаток 2022'!G132+'додаток 2023'!G135+'додаток 2024'!G119</f>
        <v>0</v>
      </c>
      <c r="H119" s="8">
        <f>'додаток 2022'!H132+'додаток 2023'!H135+'додаток 2024'!H119</f>
        <v>14100</v>
      </c>
      <c r="I119" s="10">
        <f>J119+K119+L119+M119+N119+O119</f>
        <v>0</v>
      </c>
      <c r="J119" s="8">
        <f>'додаток 2022'!J132+'додаток 2023'!J135+'додаток 2024'!J119</f>
        <v>0</v>
      </c>
      <c r="K119" s="8">
        <f>'додаток 2022'!K132+'додаток 2023'!K135+'додаток 2024'!K119</f>
        <v>0</v>
      </c>
      <c r="L119" s="8">
        <f>'додаток 2022'!L132+'додаток 2023'!L135+'додаток 2024'!L119</f>
        <v>0</v>
      </c>
      <c r="M119" s="8">
        <f>'додаток 2022'!M132+'додаток 2023'!M135+'додаток 2024'!M119</f>
        <v>0</v>
      </c>
      <c r="N119" s="8">
        <f>'додаток 2022'!N132+'додаток 2023'!N135+'додаток 2024'!N119</f>
        <v>0</v>
      </c>
      <c r="O119" s="8">
        <f>'додаток 2022'!O132+'додаток 2023'!O135+'додаток 2024'!O119</f>
        <v>0</v>
      </c>
      <c r="P119" s="63">
        <f>I119/B119*100</f>
        <v>0</v>
      </c>
    </row>
    <row r="120" spans="1:16" ht="15">
      <c r="A120" s="19" t="s">
        <v>78</v>
      </c>
      <c r="B120" s="21">
        <f>B119</f>
        <v>20100</v>
      </c>
      <c r="C120" s="21">
        <f aca="true" t="shared" si="27" ref="C120:O120">C119</f>
        <v>0</v>
      </c>
      <c r="D120" s="21">
        <f t="shared" si="27"/>
        <v>6000</v>
      </c>
      <c r="E120" s="21">
        <f t="shared" si="27"/>
        <v>0</v>
      </c>
      <c r="F120" s="21">
        <f t="shared" si="27"/>
        <v>0</v>
      </c>
      <c r="G120" s="21">
        <f t="shared" si="27"/>
        <v>0</v>
      </c>
      <c r="H120" s="21">
        <f t="shared" si="27"/>
        <v>14100</v>
      </c>
      <c r="I120" s="21">
        <f t="shared" si="27"/>
        <v>0</v>
      </c>
      <c r="J120" s="21">
        <f t="shared" si="27"/>
        <v>0</v>
      </c>
      <c r="K120" s="21">
        <f t="shared" si="27"/>
        <v>0</v>
      </c>
      <c r="L120" s="21">
        <f t="shared" si="27"/>
        <v>0</v>
      </c>
      <c r="M120" s="21">
        <f t="shared" si="27"/>
        <v>0</v>
      </c>
      <c r="N120" s="21">
        <f t="shared" si="27"/>
        <v>0</v>
      </c>
      <c r="O120" s="21">
        <f t="shared" si="27"/>
        <v>0</v>
      </c>
      <c r="P120" s="29">
        <f>I120/B120*100</f>
        <v>0</v>
      </c>
    </row>
    <row r="121" spans="1:16" ht="15">
      <c r="A121" s="140" t="s">
        <v>123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2"/>
    </row>
    <row r="122" spans="1:16" ht="25.5" customHeight="1">
      <c r="A122" s="15" t="s">
        <v>121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1"/>
    </row>
    <row r="123" spans="1:16" ht="60">
      <c r="A123" s="80" t="s">
        <v>124</v>
      </c>
      <c r="B123" s="10">
        <f>C123+D123+E123+F123+G123+H123</f>
        <v>1753</v>
      </c>
      <c r="C123" s="8">
        <f>'додаток 2022'!C136+'додаток 2023'!C139+'додаток 2024'!C123</f>
        <v>0</v>
      </c>
      <c r="D123" s="8">
        <f>'додаток 2022'!D136+'додаток 2023'!D139+'додаток 2024'!D123</f>
        <v>1753</v>
      </c>
      <c r="E123" s="8">
        <f>'додаток 2022'!E136+'додаток 2023'!E139+'додаток 2024'!E123</f>
        <v>0</v>
      </c>
      <c r="F123" s="8">
        <f>'додаток 2022'!F136+'додаток 2023'!F139+'додаток 2024'!F123</f>
        <v>0</v>
      </c>
      <c r="G123" s="8">
        <f>'додаток 2022'!G136+'додаток 2023'!G139+'додаток 2024'!G123</f>
        <v>0</v>
      </c>
      <c r="H123" s="8">
        <f>'додаток 2022'!H136+'додаток 2023'!H139+'додаток 2024'!H123</f>
        <v>0</v>
      </c>
      <c r="I123" s="10">
        <f>J123+K123+L123+M123+N123+O123</f>
        <v>0</v>
      </c>
      <c r="J123" s="8">
        <f>'додаток 2022'!J136+'додаток 2023'!J139+'додаток 2024'!J123</f>
        <v>0</v>
      </c>
      <c r="K123" s="8">
        <f>'додаток 2022'!K136+'додаток 2023'!K139+'додаток 2024'!K123</f>
        <v>0</v>
      </c>
      <c r="L123" s="8">
        <f>'додаток 2022'!L136+'додаток 2023'!L139+'додаток 2024'!L123</f>
        <v>0</v>
      </c>
      <c r="M123" s="8">
        <f>'додаток 2022'!M136+'додаток 2023'!M139+'додаток 2024'!M123</f>
        <v>0</v>
      </c>
      <c r="N123" s="8">
        <f>'додаток 2022'!N136+'додаток 2023'!N139+'додаток 2024'!N123</f>
        <v>0</v>
      </c>
      <c r="O123" s="8">
        <f>'додаток 2022'!O136+'додаток 2023'!O139+'додаток 2024'!O123</f>
        <v>0</v>
      </c>
      <c r="P123" s="63">
        <f>I123/B123*100</f>
        <v>0</v>
      </c>
    </row>
    <row r="124" spans="1:16" ht="15">
      <c r="A124" s="19" t="s">
        <v>79</v>
      </c>
      <c r="B124" s="21">
        <f aca="true" t="shared" si="28" ref="B124:O124">B123</f>
        <v>1753</v>
      </c>
      <c r="C124" s="21">
        <f t="shared" si="28"/>
        <v>0</v>
      </c>
      <c r="D124" s="21">
        <f t="shared" si="28"/>
        <v>1753</v>
      </c>
      <c r="E124" s="21">
        <f t="shared" si="28"/>
        <v>0</v>
      </c>
      <c r="F124" s="21">
        <f t="shared" si="28"/>
        <v>0</v>
      </c>
      <c r="G124" s="21">
        <f t="shared" si="28"/>
        <v>0</v>
      </c>
      <c r="H124" s="21">
        <f t="shared" si="28"/>
        <v>0</v>
      </c>
      <c r="I124" s="21">
        <f t="shared" si="28"/>
        <v>0</v>
      </c>
      <c r="J124" s="21">
        <f t="shared" si="28"/>
        <v>0</v>
      </c>
      <c r="K124" s="21">
        <f t="shared" si="28"/>
        <v>0</v>
      </c>
      <c r="L124" s="21">
        <f t="shared" si="28"/>
        <v>0</v>
      </c>
      <c r="M124" s="21">
        <f t="shared" si="28"/>
        <v>0</v>
      </c>
      <c r="N124" s="21">
        <f t="shared" si="28"/>
        <v>0</v>
      </c>
      <c r="O124" s="21">
        <f t="shared" si="28"/>
        <v>0</v>
      </c>
      <c r="P124" s="29">
        <f>I124/B124*100</f>
        <v>0</v>
      </c>
    </row>
    <row r="125" spans="1:16" ht="63">
      <c r="A125" s="18" t="s">
        <v>130</v>
      </c>
      <c r="B125" s="30">
        <f>B38+B49+B59+B68+B72+B76+B82+B91+B96+B102+B112+B116+B120+B124</f>
        <v>3246667.2999999993</v>
      </c>
      <c r="C125" s="30">
        <f>C38+C49+C59+C68+C72+C76+C82+C91+C96+C102+C112+C116+C120+C124</f>
        <v>1788357.6</v>
      </c>
      <c r="D125" s="30">
        <f aca="true" t="shared" si="29" ref="D125:O125">D38+D49+D59+D68+D72+D76+D82+D91+D96+D102+D112+D116+D120+D124</f>
        <v>341029.19999999995</v>
      </c>
      <c r="E125" s="30">
        <f t="shared" si="29"/>
        <v>0</v>
      </c>
      <c r="F125" s="30">
        <f t="shared" si="29"/>
        <v>0</v>
      </c>
      <c r="G125" s="30">
        <f t="shared" si="29"/>
        <v>1090441.5</v>
      </c>
      <c r="H125" s="30">
        <f t="shared" si="29"/>
        <v>26839</v>
      </c>
      <c r="I125" s="30">
        <f t="shared" si="29"/>
        <v>2481663.400000001</v>
      </c>
      <c r="J125" s="30">
        <f t="shared" si="29"/>
        <v>1279433.5999999999</v>
      </c>
      <c r="K125" s="30">
        <f t="shared" si="29"/>
        <v>231521.79999999996</v>
      </c>
      <c r="L125" s="30">
        <f t="shared" si="29"/>
        <v>0</v>
      </c>
      <c r="M125" s="30">
        <f t="shared" si="29"/>
        <v>0</v>
      </c>
      <c r="N125" s="30">
        <f t="shared" si="29"/>
        <v>957987.9</v>
      </c>
      <c r="O125" s="30">
        <f t="shared" si="29"/>
        <v>12720.1</v>
      </c>
      <c r="P125" s="31">
        <f>I125/B125*100</f>
        <v>76.43725613646957</v>
      </c>
    </row>
    <row r="126" spans="1:16" ht="18.75">
      <c r="A126" s="40"/>
      <c r="B126" s="3"/>
      <c r="C126" s="57"/>
      <c r="D126" s="5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8.75">
      <c r="A127" s="40" t="s">
        <v>35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144" t="s">
        <v>126</v>
      </c>
      <c r="L127" s="144"/>
      <c r="M127" s="144"/>
      <c r="N127" s="144"/>
      <c r="O127" s="39"/>
      <c r="P127" s="39"/>
    </row>
    <row r="128" spans="1:16" ht="15.75">
      <c r="A128" s="4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>
      <c r="A129" s="4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ht="15.75">
      <c r="A130" s="41" t="s">
        <v>128</v>
      </c>
    </row>
    <row r="131" ht="15.75">
      <c r="A131" s="41" t="s">
        <v>34</v>
      </c>
    </row>
  </sheetData>
  <sheetProtection/>
  <mergeCells count="44">
    <mergeCell ref="A121:P121"/>
    <mergeCell ref="A50:P50"/>
    <mergeCell ref="A60:P60"/>
    <mergeCell ref="A69:P69"/>
    <mergeCell ref="A73:P73"/>
    <mergeCell ref="A77:P77"/>
    <mergeCell ref="A83:P83"/>
    <mergeCell ref="A97:P97"/>
    <mergeCell ref="N1:P1"/>
    <mergeCell ref="N2:P2"/>
    <mergeCell ref="A5:P5"/>
    <mergeCell ref="A6:P6"/>
    <mergeCell ref="D8:J8"/>
    <mergeCell ref="D9:J9"/>
    <mergeCell ref="D10:J10"/>
    <mergeCell ref="D11:J11"/>
    <mergeCell ref="D13:M13"/>
    <mergeCell ref="D14:M14"/>
    <mergeCell ref="A22:A27"/>
    <mergeCell ref="B22:H22"/>
    <mergeCell ref="I22:O22"/>
    <mergeCell ref="J25:M25"/>
    <mergeCell ref="N25:O26"/>
    <mergeCell ref="C26:D26"/>
    <mergeCell ref="P22:P23"/>
    <mergeCell ref="B23:H23"/>
    <mergeCell ref="I23:O23"/>
    <mergeCell ref="B24:B27"/>
    <mergeCell ref="C24:H24"/>
    <mergeCell ref="I24:I27"/>
    <mergeCell ref="J24:O24"/>
    <mergeCell ref="P24:P27"/>
    <mergeCell ref="C25:F25"/>
    <mergeCell ref="G25:H26"/>
    <mergeCell ref="K127:N127"/>
    <mergeCell ref="E26:F26"/>
    <mergeCell ref="J26:K26"/>
    <mergeCell ref="L26:M26"/>
    <mergeCell ref="A29:P29"/>
    <mergeCell ref="A39:P39"/>
    <mergeCell ref="A92:P92"/>
    <mergeCell ref="A103:P103"/>
    <mergeCell ref="A113:P113"/>
    <mergeCell ref="A117:P11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Наталія Олександрівна</dc:creator>
  <cp:keywords/>
  <dc:description/>
  <cp:lastModifiedBy>Гончарова Наталія Олександрівна</cp:lastModifiedBy>
  <cp:lastPrinted>2023-12-15T07:43:17Z</cp:lastPrinted>
  <dcterms:created xsi:type="dcterms:W3CDTF">2019-03-01T13:03:17Z</dcterms:created>
  <dcterms:modified xsi:type="dcterms:W3CDTF">2023-12-26T13:12:24Z</dcterms:modified>
  <cp:category/>
  <cp:version/>
  <cp:contentType/>
  <cp:contentStatus/>
</cp:coreProperties>
</file>