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12 Грудень\25.12.2023\"/>
    </mc:Choice>
  </mc:AlternateContent>
  <bookViews>
    <workbookView xWindow="0" yWindow="0" windowWidth="19200" windowHeight="6045" tabRatio="322"/>
  </bookViews>
  <sheets>
    <sheet name="дод 3 " sheetId="1" r:id="rId1"/>
    <sheet name="дод 6" sheetId="3" r:id="rId2"/>
  </sheets>
  <definedNames>
    <definedName name="_xlnm.Print_Titles" localSheetId="0">'дод 3 '!$10:$12</definedName>
    <definedName name="_xlnm.Print_Titles" localSheetId="1">'дод 6'!$11:$13</definedName>
    <definedName name="_xlnm.Print_Area" localSheetId="0">'дод 3 '!$A$1:$P$461</definedName>
    <definedName name="_xlnm.Print_Area" localSheetId="1">'дод 6'!$A$1:$O$296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3" i="1" l="1"/>
  <c r="I271" i="1" l="1"/>
  <c r="F271" i="1"/>
  <c r="O227" i="1" l="1"/>
  <c r="O226" i="1"/>
  <c r="K227" i="1"/>
  <c r="K226" i="1"/>
  <c r="O225" i="1"/>
  <c r="K225" i="1"/>
  <c r="O224" i="1"/>
  <c r="K224" i="1"/>
  <c r="O297" i="1"/>
  <c r="K297" i="1"/>
  <c r="E464" i="1" l="1"/>
  <c r="F464" i="1"/>
  <c r="G464" i="1"/>
  <c r="H464" i="1"/>
  <c r="I464" i="1"/>
  <c r="J464" i="1"/>
  <c r="K464" i="1"/>
  <c r="L464" i="1"/>
  <c r="M464" i="1"/>
  <c r="N464" i="1"/>
  <c r="O464" i="1"/>
  <c r="P464" i="1"/>
  <c r="E465" i="1"/>
  <c r="F465" i="1"/>
  <c r="G465" i="1"/>
  <c r="H465" i="1"/>
  <c r="I465" i="1"/>
  <c r="L465" i="1"/>
  <c r="M465" i="1"/>
  <c r="N46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G463" i="1"/>
  <c r="L463" i="1"/>
  <c r="M463" i="1"/>
  <c r="N463" i="1"/>
  <c r="G67" i="1" l="1"/>
  <c r="F64" i="1"/>
  <c r="G90" i="1" l="1"/>
  <c r="O223" i="1" l="1"/>
  <c r="K223" i="1"/>
  <c r="O222" i="1"/>
  <c r="K222" i="1"/>
  <c r="G89" i="1"/>
  <c r="J222" i="1" l="1"/>
  <c r="K64" i="1"/>
  <c r="O64" i="1"/>
  <c r="H239" i="1" l="1"/>
  <c r="E410" i="1"/>
  <c r="O58" i="1"/>
  <c r="K58" i="1"/>
  <c r="F58" i="1"/>
  <c r="F229" i="1"/>
  <c r="H101" i="1"/>
  <c r="F101" i="1"/>
  <c r="H87" i="1"/>
  <c r="F87" i="1"/>
  <c r="H85" i="1"/>
  <c r="F85" i="1"/>
  <c r="F84" i="1"/>
  <c r="H57" i="1"/>
  <c r="F57" i="1"/>
  <c r="H17" i="1"/>
  <c r="F17" i="1"/>
  <c r="F169" i="1"/>
  <c r="F163" i="1"/>
  <c r="L304" i="1" l="1"/>
  <c r="L303" i="1"/>
  <c r="F61" i="1" l="1"/>
  <c r="I44" i="1"/>
  <c r="I42" i="1"/>
  <c r="F23" i="1"/>
  <c r="F202" i="1"/>
  <c r="F205" i="1"/>
  <c r="O309" i="1"/>
  <c r="K309" i="1"/>
  <c r="F309" i="1"/>
  <c r="F276" i="1"/>
  <c r="G247" i="1"/>
  <c r="F130" i="1"/>
  <c r="O85" i="1"/>
  <c r="K85" i="1"/>
  <c r="O84" i="1"/>
  <c r="K84" i="1"/>
  <c r="O140" i="1" l="1"/>
  <c r="K140" i="1"/>
  <c r="O54" i="1"/>
  <c r="K54" i="1"/>
  <c r="F19" i="1"/>
  <c r="D163" i="1" l="1"/>
  <c r="E16" i="3" l="1"/>
  <c r="F16" i="3"/>
  <c r="G16" i="3"/>
  <c r="H16" i="3"/>
  <c r="I16" i="3"/>
  <c r="J16" i="3"/>
  <c r="K16" i="3"/>
  <c r="L16" i="3"/>
  <c r="M16" i="3"/>
  <c r="N16" i="3"/>
  <c r="E246" i="3"/>
  <c r="F246" i="3"/>
  <c r="G246" i="3"/>
  <c r="H246" i="3"/>
  <c r="J246" i="3"/>
  <c r="K246" i="3"/>
  <c r="L246" i="3"/>
  <c r="M246" i="3"/>
  <c r="N246" i="3"/>
  <c r="D246" i="3"/>
  <c r="F390" i="1"/>
  <c r="G390" i="1"/>
  <c r="H390" i="1"/>
  <c r="I390" i="1"/>
  <c r="K390" i="1"/>
  <c r="L390" i="1"/>
  <c r="M390" i="1"/>
  <c r="N390" i="1"/>
  <c r="O390" i="1"/>
  <c r="E390" i="1"/>
  <c r="J399" i="1"/>
  <c r="I246" i="3" s="1"/>
  <c r="E399" i="1"/>
  <c r="J146" i="1"/>
  <c r="P399" i="1" l="1"/>
  <c r="J390" i="1"/>
  <c r="F53" i="1"/>
  <c r="P414" i="1"/>
  <c r="J414" i="1"/>
  <c r="E414" i="1"/>
  <c r="G17" i="1"/>
  <c r="F302" i="1"/>
  <c r="O276" i="1"/>
  <c r="K276" i="1"/>
  <c r="O249" i="1"/>
  <c r="K249" i="1"/>
  <c r="F249" i="1"/>
  <c r="F201" i="1"/>
  <c r="F200" i="1"/>
  <c r="O146" i="1"/>
  <c r="L146" i="1"/>
  <c r="H145" i="1"/>
  <c r="F145" i="1"/>
  <c r="G31" i="1"/>
  <c r="O246" i="3" l="1"/>
  <c r="P390" i="1"/>
  <c r="I275" i="1"/>
  <c r="F29" i="1"/>
  <c r="E413" i="1" l="1"/>
  <c r="E412" i="1" s="1"/>
  <c r="F412" i="1"/>
  <c r="G412" i="1"/>
  <c r="H412" i="1"/>
  <c r="I412" i="1"/>
  <c r="J412" i="1"/>
  <c r="K412" i="1"/>
  <c r="L412" i="1"/>
  <c r="M412" i="1"/>
  <c r="N412" i="1"/>
  <c r="O412" i="1"/>
  <c r="P412" i="1"/>
  <c r="F413" i="1"/>
  <c r="G413" i="1"/>
  <c r="H413" i="1"/>
  <c r="I413" i="1"/>
  <c r="J413" i="1"/>
  <c r="K413" i="1"/>
  <c r="L413" i="1"/>
  <c r="M413" i="1"/>
  <c r="N413" i="1"/>
  <c r="O413" i="1"/>
  <c r="P413" i="1"/>
  <c r="F383" i="1" l="1"/>
  <c r="H371" i="1"/>
  <c r="F371" i="1"/>
  <c r="H228" i="1"/>
  <c r="F228" i="1"/>
  <c r="H210" i="1"/>
  <c r="F210" i="1"/>
  <c r="H198" i="1"/>
  <c r="F198" i="1"/>
  <c r="F175" i="1"/>
  <c r="F173" i="1"/>
  <c r="F170" i="1"/>
  <c r="H55" i="1"/>
  <c r="F55" i="1"/>
  <c r="H31" i="1"/>
  <c r="F31" i="1"/>
  <c r="F76" i="1" l="1"/>
  <c r="G76" i="1"/>
  <c r="H76" i="1"/>
  <c r="I76" i="1"/>
  <c r="K76" i="1"/>
  <c r="L76" i="1"/>
  <c r="M76" i="1"/>
  <c r="N76" i="1"/>
  <c r="O76" i="1"/>
  <c r="C192" i="3" l="1"/>
  <c r="C95" i="3"/>
  <c r="F97" i="3"/>
  <c r="G97" i="3"/>
  <c r="H97" i="3"/>
  <c r="K97" i="3"/>
  <c r="L97" i="3"/>
  <c r="M97" i="3"/>
  <c r="E100" i="3"/>
  <c r="E94" i="3" s="1"/>
  <c r="F100" i="3"/>
  <c r="F94" i="3" s="1"/>
  <c r="G100" i="3"/>
  <c r="G94" i="3" s="1"/>
  <c r="H100" i="3"/>
  <c r="H94" i="3" s="1"/>
  <c r="J100" i="3"/>
  <c r="J94" i="3" s="1"/>
  <c r="K100" i="3"/>
  <c r="K94" i="3" s="1"/>
  <c r="L100" i="3"/>
  <c r="L94" i="3" s="1"/>
  <c r="M100" i="3"/>
  <c r="M94" i="3" s="1"/>
  <c r="N100" i="3"/>
  <c r="N94" i="3" s="1"/>
  <c r="F159" i="1"/>
  <c r="G159" i="1"/>
  <c r="H159" i="1"/>
  <c r="I159" i="1"/>
  <c r="K159" i="1"/>
  <c r="L159" i="1"/>
  <c r="M159" i="1"/>
  <c r="N159" i="1"/>
  <c r="O159" i="1"/>
  <c r="J164" i="1"/>
  <c r="J165" i="1"/>
  <c r="J166" i="1"/>
  <c r="J167" i="1"/>
  <c r="J168" i="1"/>
  <c r="J169" i="1"/>
  <c r="J170" i="1"/>
  <c r="E164" i="1"/>
  <c r="E165" i="1"/>
  <c r="E166" i="1"/>
  <c r="E167" i="1"/>
  <c r="E168" i="1"/>
  <c r="E169" i="1"/>
  <c r="F90" i="1"/>
  <c r="E90" i="1" s="1"/>
  <c r="E64" i="3"/>
  <c r="E35" i="3" s="1"/>
  <c r="F64" i="3"/>
  <c r="F35" i="3" s="1"/>
  <c r="G64" i="3"/>
  <c r="G35" i="3" s="1"/>
  <c r="H64" i="3"/>
  <c r="H35" i="3" s="1"/>
  <c r="J64" i="3"/>
  <c r="J35" i="3" s="1"/>
  <c r="K64" i="3"/>
  <c r="K35" i="3" s="1"/>
  <c r="L64" i="3"/>
  <c r="L35" i="3" s="1"/>
  <c r="M64" i="3"/>
  <c r="M35" i="3" s="1"/>
  <c r="N64" i="3"/>
  <c r="N35" i="3" s="1"/>
  <c r="C64" i="3"/>
  <c r="C35" i="3" s="1"/>
  <c r="F81" i="1"/>
  <c r="G81" i="1"/>
  <c r="H81" i="1"/>
  <c r="I81" i="1"/>
  <c r="K81" i="1"/>
  <c r="L81" i="1"/>
  <c r="M81" i="1"/>
  <c r="N81" i="1"/>
  <c r="O81" i="1"/>
  <c r="D81" i="1"/>
  <c r="J103" i="1"/>
  <c r="I64" i="3" s="1"/>
  <c r="I35" i="3" s="1"/>
  <c r="E103" i="1"/>
  <c r="D64" i="3" s="1"/>
  <c r="D35" i="3" s="1"/>
  <c r="I100" i="3" l="1"/>
  <c r="I94" i="3" s="1"/>
  <c r="P169" i="1"/>
  <c r="P167" i="1"/>
  <c r="P165" i="1"/>
  <c r="J159" i="1"/>
  <c r="P164" i="1"/>
  <c r="D100" i="3"/>
  <c r="D94" i="3" s="1"/>
  <c r="P168" i="1"/>
  <c r="E159" i="1"/>
  <c r="P166" i="1"/>
  <c r="P103" i="1"/>
  <c r="J81" i="1"/>
  <c r="E81" i="1"/>
  <c r="G70" i="1"/>
  <c r="H70" i="1"/>
  <c r="I70" i="1"/>
  <c r="K70" i="1"/>
  <c r="L70" i="1"/>
  <c r="M70" i="1"/>
  <c r="N70" i="1"/>
  <c r="O70" i="1"/>
  <c r="P159" i="1" l="1"/>
  <c r="O100" i="3"/>
  <c r="O94" i="3" s="1"/>
  <c r="O64" i="3"/>
  <c r="O35" i="3" s="1"/>
  <c r="P81" i="1"/>
  <c r="F281" i="1"/>
  <c r="I281" i="1"/>
  <c r="I276" i="1"/>
  <c r="F80" i="1" l="1"/>
  <c r="G80" i="1"/>
  <c r="H80" i="1"/>
  <c r="I80" i="1"/>
  <c r="K80" i="1"/>
  <c r="L80" i="1"/>
  <c r="M80" i="1"/>
  <c r="N80" i="1"/>
  <c r="O80" i="1"/>
  <c r="D80" i="1"/>
  <c r="E89" i="3"/>
  <c r="F89" i="3"/>
  <c r="G89" i="3"/>
  <c r="H89" i="3"/>
  <c r="J89" i="3"/>
  <c r="K89" i="3"/>
  <c r="L89" i="3"/>
  <c r="M89" i="3"/>
  <c r="N89" i="3"/>
  <c r="J129" i="1"/>
  <c r="E129" i="1"/>
  <c r="D89" i="3" s="1"/>
  <c r="D128" i="1"/>
  <c r="G105" i="1"/>
  <c r="G104" i="1"/>
  <c r="F105" i="1"/>
  <c r="F104" i="1"/>
  <c r="F102" i="1"/>
  <c r="G95" i="1"/>
  <c r="G94" i="1"/>
  <c r="F95" i="1"/>
  <c r="F94" i="1"/>
  <c r="G93" i="1"/>
  <c r="G92" i="1"/>
  <c r="F93" i="1"/>
  <c r="F92" i="1"/>
  <c r="F89" i="1"/>
  <c r="P129" i="1" l="1"/>
  <c r="O89" i="3" s="1"/>
  <c r="I89" i="3"/>
  <c r="F230" i="1"/>
  <c r="E216" i="3" l="1"/>
  <c r="F216" i="3"/>
  <c r="G216" i="3"/>
  <c r="H216" i="3"/>
  <c r="J216" i="3"/>
  <c r="K216" i="3"/>
  <c r="L216" i="3"/>
  <c r="M216" i="3"/>
  <c r="N216" i="3"/>
  <c r="F266" i="1"/>
  <c r="G266" i="1"/>
  <c r="H266" i="1"/>
  <c r="I266" i="1"/>
  <c r="K266" i="1"/>
  <c r="L266" i="1"/>
  <c r="M266" i="1"/>
  <c r="N266" i="1"/>
  <c r="O266" i="1"/>
  <c r="D267" i="1"/>
  <c r="C190" i="3"/>
  <c r="F79" i="1"/>
  <c r="G79" i="1"/>
  <c r="H79" i="1"/>
  <c r="I79" i="1"/>
  <c r="K79" i="1"/>
  <c r="L79" i="1"/>
  <c r="M79" i="1"/>
  <c r="N79" i="1"/>
  <c r="O79" i="1"/>
  <c r="E79" i="1"/>
  <c r="D79" i="1"/>
  <c r="O102" i="1"/>
  <c r="M257" i="1"/>
  <c r="N257" i="1"/>
  <c r="G371" i="1"/>
  <c r="D138" i="1" l="1"/>
  <c r="J64" i="1" l="1"/>
  <c r="O354" i="1"/>
  <c r="K354" i="1"/>
  <c r="F54" i="1"/>
  <c r="F403" i="1"/>
  <c r="F405" i="1"/>
  <c r="O350" i="1"/>
  <c r="K350" i="1"/>
  <c r="O348" i="1"/>
  <c r="K348" i="1"/>
  <c r="O343" i="1"/>
  <c r="K343" i="1"/>
  <c r="O345" i="1"/>
  <c r="K345" i="1"/>
  <c r="O344" i="1"/>
  <c r="K344" i="1"/>
  <c r="O282" i="1"/>
  <c r="K282" i="1"/>
  <c r="J297" i="1"/>
  <c r="I216" i="3" s="1"/>
  <c r="J286" i="1"/>
  <c r="J287" i="1"/>
  <c r="J288" i="1"/>
  <c r="J289" i="1"/>
  <c r="J290" i="1"/>
  <c r="J291" i="1"/>
  <c r="J292" i="1"/>
  <c r="J293" i="1"/>
  <c r="J294" i="1"/>
  <c r="J295" i="1"/>
  <c r="J296" i="1"/>
  <c r="E297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C297" i="1"/>
  <c r="D297" i="1"/>
  <c r="B297" i="1"/>
  <c r="I66" i="1"/>
  <c r="M66" i="1"/>
  <c r="N66" i="1"/>
  <c r="F280" i="1"/>
  <c r="F311" i="1"/>
  <c r="H276" i="1"/>
  <c r="F305" i="1"/>
  <c r="O281" i="1"/>
  <c r="K281" i="1"/>
  <c r="F269" i="1"/>
  <c r="O248" i="1"/>
  <c r="F252" i="1"/>
  <c r="F218" i="1"/>
  <c r="G210" i="1"/>
  <c r="O186" i="1"/>
  <c r="K186" i="1"/>
  <c r="O163" i="1"/>
  <c r="N97" i="3" s="1"/>
  <c r="K163" i="1"/>
  <c r="J97" i="3" s="1"/>
  <c r="H84" i="1"/>
  <c r="E87" i="3"/>
  <c r="F87" i="3"/>
  <c r="G87" i="3"/>
  <c r="H87" i="3"/>
  <c r="J87" i="3"/>
  <c r="K87" i="3"/>
  <c r="L87" i="3"/>
  <c r="M87" i="3"/>
  <c r="N87" i="3"/>
  <c r="D127" i="1"/>
  <c r="B127" i="1"/>
  <c r="E88" i="3"/>
  <c r="F88" i="3"/>
  <c r="G88" i="3"/>
  <c r="H88" i="3"/>
  <c r="J88" i="3"/>
  <c r="K88" i="3"/>
  <c r="L88" i="3"/>
  <c r="M88" i="3"/>
  <c r="N88" i="3"/>
  <c r="B128" i="1"/>
  <c r="J127" i="1"/>
  <c r="E126" i="1"/>
  <c r="E127" i="1"/>
  <c r="D87" i="3" s="1"/>
  <c r="E128" i="1"/>
  <c r="D88" i="3" s="1"/>
  <c r="K36" i="1"/>
  <c r="O36" i="1"/>
  <c r="F36" i="1"/>
  <c r="F35" i="1"/>
  <c r="F34" i="1"/>
  <c r="F33" i="1"/>
  <c r="H58" i="1"/>
  <c r="F25" i="1"/>
  <c r="O349" i="1"/>
  <c r="K349" i="1"/>
  <c r="O285" i="1"/>
  <c r="K285" i="1"/>
  <c r="F250" i="1"/>
  <c r="O101" i="1"/>
  <c r="K101" i="1"/>
  <c r="E97" i="3"/>
  <c r="P290" i="1" l="1"/>
  <c r="P293" i="1"/>
  <c r="P289" i="1"/>
  <c r="P295" i="1"/>
  <c r="P291" i="1"/>
  <c r="P287" i="1"/>
  <c r="P294" i="1"/>
  <c r="P286" i="1"/>
  <c r="P296" i="1"/>
  <c r="P292" i="1"/>
  <c r="P288" i="1"/>
  <c r="P297" i="1"/>
  <c r="O216" i="3" s="1"/>
  <c r="D216" i="3"/>
  <c r="P127" i="1"/>
  <c r="O87" i="3" s="1"/>
  <c r="I87" i="3"/>
  <c r="J128" i="1" l="1"/>
  <c r="E219" i="3"/>
  <c r="F219" i="3"/>
  <c r="G219" i="3"/>
  <c r="H219" i="3"/>
  <c r="J219" i="3"/>
  <c r="K219" i="3"/>
  <c r="L219" i="3"/>
  <c r="M219" i="3"/>
  <c r="N219" i="3"/>
  <c r="E220" i="3"/>
  <c r="E190" i="3" s="1"/>
  <c r="F220" i="3"/>
  <c r="F190" i="3" s="1"/>
  <c r="G220" i="3"/>
  <c r="G190" i="3" s="1"/>
  <c r="H220" i="3"/>
  <c r="H190" i="3" s="1"/>
  <c r="J220" i="3"/>
  <c r="J190" i="3" s="1"/>
  <c r="K220" i="3"/>
  <c r="K190" i="3" s="1"/>
  <c r="L220" i="3"/>
  <c r="L190" i="3" s="1"/>
  <c r="M220" i="3"/>
  <c r="M190" i="3" s="1"/>
  <c r="N220" i="3"/>
  <c r="N190" i="3" s="1"/>
  <c r="J301" i="1"/>
  <c r="J266" i="1" s="1"/>
  <c r="E301" i="1"/>
  <c r="E266" i="1" s="1"/>
  <c r="J139" i="1"/>
  <c r="J79" i="1" s="1"/>
  <c r="D220" i="3" l="1"/>
  <c r="D190" i="3" s="1"/>
  <c r="P128" i="1"/>
  <c r="O88" i="3" s="1"/>
  <c r="I88" i="3"/>
  <c r="I220" i="3"/>
  <c r="I190" i="3" s="1"/>
  <c r="P139" i="1"/>
  <c r="P79" i="1" s="1"/>
  <c r="P301" i="1"/>
  <c r="P266" i="1" s="1"/>
  <c r="J132" i="1"/>
  <c r="J133" i="1"/>
  <c r="J134" i="1"/>
  <c r="J135" i="1"/>
  <c r="J136" i="1"/>
  <c r="J137" i="1"/>
  <c r="J138" i="1"/>
  <c r="E132" i="1"/>
  <c r="E133" i="1"/>
  <c r="E134" i="1"/>
  <c r="E135" i="1"/>
  <c r="E136" i="1"/>
  <c r="E137" i="1"/>
  <c r="E138" i="1"/>
  <c r="J300" i="1"/>
  <c r="E298" i="1"/>
  <c r="E299" i="1"/>
  <c r="E300" i="1"/>
  <c r="C300" i="1"/>
  <c r="D300" i="1"/>
  <c r="B300" i="1"/>
  <c r="J142" i="1"/>
  <c r="E125" i="1"/>
  <c r="E124" i="1"/>
  <c r="E130" i="1"/>
  <c r="C138" i="1"/>
  <c r="B138" i="1"/>
  <c r="P132" i="1" l="1"/>
  <c r="P138" i="1"/>
  <c r="P135" i="1"/>
  <c r="I219" i="3"/>
  <c r="O220" i="3"/>
  <c r="O190" i="3" s="1"/>
  <c r="D219" i="3"/>
  <c r="P134" i="1"/>
  <c r="P136" i="1"/>
  <c r="P300" i="1"/>
  <c r="P137" i="1"/>
  <c r="P133" i="1"/>
  <c r="O219" i="3" l="1"/>
  <c r="O342" i="1" l="1"/>
  <c r="D303" i="1" l="1"/>
  <c r="C303" i="1"/>
  <c r="B303" i="1"/>
  <c r="E231" i="3"/>
  <c r="F231" i="3"/>
  <c r="G231" i="3"/>
  <c r="H231" i="3"/>
  <c r="J231" i="3"/>
  <c r="K231" i="3"/>
  <c r="L231" i="3"/>
  <c r="M231" i="3"/>
  <c r="N231" i="3"/>
  <c r="B302" i="1"/>
  <c r="E233" i="3" l="1"/>
  <c r="F233" i="3"/>
  <c r="G233" i="3"/>
  <c r="H233" i="3"/>
  <c r="J233" i="3"/>
  <c r="K233" i="3"/>
  <c r="L233" i="3"/>
  <c r="M233" i="3"/>
  <c r="N233" i="3"/>
  <c r="F258" i="1"/>
  <c r="G258" i="1"/>
  <c r="H258" i="1"/>
  <c r="I258" i="1"/>
  <c r="K258" i="1"/>
  <c r="L258" i="1"/>
  <c r="M258" i="1"/>
  <c r="N258" i="1"/>
  <c r="O258" i="1"/>
  <c r="J304" i="1"/>
  <c r="I233" i="3" s="1"/>
  <c r="I222" i="3" s="1"/>
  <c r="E303" i="1"/>
  <c r="E304" i="1"/>
  <c r="E258" i="1" s="1"/>
  <c r="O299" i="1"/>
  <c r="J258" i="1" l="1"/>
  <c r="D233" i="3"/>
  <c r="P304" i="1"/>
  <c r="O233" i="3" l="1"/>
  <c r="P258" i="1"/>
  <c r="O229" i="1"/>
  <c r="K229" i="1"/>
  <c r="K284" i="1"/>
  <c r="O284" i="1"/>
  <c r="O298" i="1"/>
  <c r="F212" i="1" l="1"/>
  <c r="F181" i="1"/>
  <c r="O181" i="1"/>
  <c r="K181" i="1"/>
  <c r="E302" i="1" l="1"/>
  <c r="D231" i="3" s="1"/>
  <c r="J302" i="1"/>
  <c r="I231" i="3" s="1"/>
  <c r="C302" i="1"/>
  <c r="D302" i="1"/>
  <c r="P302" i="1" l="1"/>
  <c r="O231" i="3" s="1"/>
  <c r="O47" i="1" l="1"/>
  <c r="K47" i="1"/>
  <c r="L66" i="1"/>
  <c r="I305" i="1"/>
  <c r="O270" i="1"/>
  <c r="K270" i="1"/>
  <c r="F180" i="1"/>
  <c r="F83" i="1"/>
  <c r="J140" i="1"/>
  <c r="F37" i="1"/>
  <c r="I257" i="1" l="1"/>
  <c r="H131" i="1"/>
  <c r="F131" i="1"/>
  <c r="H37" i="1"/>
  <c r="H35" i="1"/>
  <c r="H251" i="1"/>
  <c r="F251" i="1"/>
  <c r="H250" i="1"/>
  <c r="H249" i="1"/>
  <c r="H248" i="1"/>
  <c r="F248" i="1"/>
  <c r="H28" i="1"/>
  <c r="F28" i="1"/>
  <c r="H26" i="1"/>
  <c r="F26" i="1"/>
  <c r="H24" i="1"/>
  <c r="F24" i="1"/>
  <c r="H180" i="1"/>
  <c r="H111" i="1"/>
  <c r="F111" i="1"/>
  <c r="H108" i="1"/>
  <c r="F108" i="1"/>
  <c r="H106" i="1"/>
  <c r="F106" i="1"/>
  <c r="H102" i="1"/>
  <c r="H88" i="1"/>
  <c r="F88" i="1"/>
  <c r="H333" i="1"/>
  <c r="F333" i="1"/>
  <c r="H403" i="1"/>
  <c r="H391" i="1"/>
  <c r="F391" i="1"/>
  <c r="H368" i="1"/>
  <c r="F368" i="1"/>
  <c r="H267" i="1"/>
  <c r="H257" i="1" s="1"/>
  <c r="F267" i="1"/>
  <c r="H247" i="1"/>
  <c r="F247" i="1"/>
  <c r="F239" i="1"/>
  <c r="H162" i="1"/>
  <c r="F162" i="1"/>
  <c r="H83" i="1"/>
  <c r="F46" i="1"/>
  <c r="G85" i="1"/>
  <c r="G403" i="1"/>
  <c r="G391" i="1"/>
  <c r="G383" i="1"/>
  <c r="G368" i="1"/>
  <c r="G333" i="1"/>
  <c r="G267" i="1"/>
  <c r="G257" i="1" s="1"/>
  <c r="G239" i="1"/>
  <c r="G198" i="1"/>
  <c r="G162" i="1"/>
  <c r="G83" i="1"/>
  <c r="H66" i="1" l="1"/>
  <c r="D226" i="1"/>
  <c r="D224" i="1"/>
  <c r="D222" i="1"/>
  <c r="K331" i="1" l="1"/>
  <c r="L331" i="1"/>
  <c r="M331" i="1"/>
  <c r="N331" i="1"/>
  <c r="O331" i="1"/>
  <c r="J341" i="1"/>
  <c r="J331" i="1" s="1"/>
  <c r="E86" i="3"/>
  <c r="F86" i="3"/>
  <c r="G86" i="3"/>
  <c r="H86" i="3"/>
  <c r="J86" i="3"/>
  <c r="K86" i="3"/>
  <c r="L86" i="3"/>
  <c r="M86" i="3"/>
  <c r="N86" i="3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G329" i="1"/>
  <c r="H329" i="1"/>
  <c r="I329" i="1"/>
  <c r="L329" i="1"/>
  <c r="M329" i="1"/>
  <c r="N329" i="1"/>
  <c r="J335" i="1"/>
  <c r="J336" i="1"/>
  <c r="J337" i="1"/>
  <c r="J338" i="1"/>
  <c r="J339" i="1"/>
  <c r="J340" i="1"/>
  <c r="E335" i="1"/>
  <c r="E336" i="1"/>
  <c r="E337" i="1"/>
  <c r="E338" i="1"/>
  <c r="E339" i="1"/>
  <c r="D84" i="3" s="1"/>
  <c r="E340" i="1"/>
  <c r="D85" i="3" s="1"/>
  <c r="E341" i="1"/>
  <c r="D86" i="3" s="1"/>
  <c r="E342" i="1"/>
  <c r="P335" i="1" l="1"/>
  <c r="P338" i="1"/>
  <c r="P337" i="1"/>
  <c r="P336" i="1"/>
  <c r="P339" i="1"/>
  <c r="P341" i="1"/>
  <c r="P331" i="1" s="1"/>
  <c r="P340" i="1"/>
  <c r="F197" i="1" l="1"/>
  <c r="G197" i="1"/>
  <c r="H197" i="1"/>
  <c r="I197" i="1"/>
  <c r="K197" i="1"/>
  <c r="L197" i="1"/>
  <c r="M197" i="1"/>
  <c r="N197" i="1"/>
  <c r="O197" i="1"/>
  <c r="K195" i="1"/>
  <c r="J117" i="3" s="1"/>
  <c r="L195" i="1"/>
  <c r="K117" i="3" s="1"/>
  <c r="M195" i="1"/>
  <c r="L117" i="3" s="1"/>
  <c r="N195" i="1"/>
  <c r="M117" i="3" s="1"/>
  <c r="O195" i="1"/>
  <c r="N117" i="3" s="1"/>
  <c r="F78" i="1"/>
  <c r="G78" i="1"/>
  <c r="H78" i="1"/>
  <c r="I78" i="1"/>
  <c r="K78" i="1"/>
  <c r="L78" i="1"/>
  <c r="M78" i="1"/>
  <c r="N78" i="1"/>
  <c r="O78" i="1"/>
  <c r="E78" i="1"/>
  <c r="E33" i="3"/>
  <c r="F33" i="3"/>
  <c r="G33" i="3"/>
  <c r="H33" i="3"/>
  <c r="J33" i="3"/>
  <c r="K33" i="3"/>
  <c r="L33" i="3"/>
  <c r="M33" i="3"/>
  <c r="N33" i="3"/>
  <c r="D33" i="3"/>
  <c r="J120" i="1"/>
  <c r="J121" i="1"/>
  <c r="J122" i="1"/>
  <c r="J80" i="1" s="1"/>
  <c r="J123" i="1"/>
  <c r="J124" i="1"/>
  <c r="J125" i="1"/>
  <c r="J126" i="1"/>
  <c r="J130" i="1"/>
  <c r="P124" i="1" l="1"/>
  <c r="O84" i="3" s="1"/>
  <c r="I84" i="3"/>
  <c r="P126" i="1"/>
  <c r="P78" i="1" s="1"/>
  <c r="I86" i="3"/>
  <c r="I33" i="3" s="1"/>
  <c r="P125" i="1"/>
  <c r="O85" i="3" s="1"/>
  <c r="I85" i="3"/>
  <c r="J78" i="1"/>
  <c r="O86" i="3" l="1"/>
  <c r="O33" i="3" s="1"/>
  <c r="O17" i="1" l="1"/>
  <c r="K17" i="1"/>
  <c r="F211" i="1"/>
  <c r="F123" i="1"/>
  <c r="F140" i="1"/>
  <c r="E140" i="1" s="1"/>
  <c r="F47" i="1"/>
  <c r="O265" i="1"/>
  <c r="N265" i="1"/>
  <c r="M265" i="1"/>
  <c r="L265" i="1"/>
  <c r="K265" i="1"/>
  <c r="I265" i="1"/>
  <c r="H265" i="1"/>
  <c r="G265" i="1"/>
  <c r="F265" i="1"/>
  <c r="C189" i="3"/>
  <c r="N218" i="3"/>
  <c r="N189" i="3" s="1"/>
  <c r="M218" i="3"/>
  <c r="M189" i="3" s="1"/>
  <c r="L218" i="3"/>
  <c r="L189" i="3" s="1"/>
  <c r="K218" i="3"/>
  <c r="K189" i="3" s="1"/>
  <c r="J218" i="3"/>
  <c r="J189" i="3" s="1"/>
  <c r="H218" i="3"/>
  <c r="H189" i="3" s="1"/>
  <c r="G218" i="3"/>
  <c r="G189" i="3" s="1"/>
  <c r="F218" i="3"/>
  <c r="F189" i="3" s="1"/>
  <c r="E218" i="3"/>
  <c r="E189" i="3" s="1"/>
  <c r="D218" i="3"/>
  <c r="D189" i="3" s="1"/>
  <c r="J299" i="1"/>
  <c r="D299" i="1"/>
  <c r="D298" i="1"/>
  <c r="N217" i="3"/>
  <c r="M217" i="3"/>
  <c r="L217" i="3"/>
  <c r="K217" i="3"/>
  <c r="J217" i="3"/>
  <c r="H217" i="3"/>
  <c r="G217" i="3"/>
  <c r="F217" i="3"/>
  <c r="E217" i="3"/>
  <c r="J298" i="1"/>
  <c r="J265" i="1" s="1"/>
  <c r="D217" i="3"/>
  <c r="F214" i="1"/>
  <c r="F213" i="1"/>
  <c r="F203" i="1"/>
  <c r="E123" i="1" l="1"/>
  <c r="F66" i="1"/>
  <c r="P299" i="1"/>
  <c r="O218" i="3" s="1"/>
  <c r="O189" i="3" s="1"/>
  <c r="E265" i="1"/>
  <c r="I218" i="3"/>
  <c r="I189" i="3" s="1"/>
  <c r="I217" i="3"/>
  <c r="P298" i="1"/>
  <c r="O217" i="3" l="1"/>
  <c r="P265" i="1"/>
  <c r="O334" i="1" l="1"/>
  <c r="K334" i="1"/>
  <c r="F63" i="1"/>
  <c r="C188" i="3" l="1"/>
  <c r="E199" i="3" l="1"/>
  <c r="F199" i="3"/>
  <c r="G199" i="3"/>
  <c r="H199" i="3"/>
  <c r="J199" i="3"/>
  <c r="K199" i="3"/>
  <c r="L199" i="3"/>
  <c r="M199" i="3"/>
  <c r="N199" i="3"/>
  <c r="C199" i="3"/>
  <c r="F264" i="1"/>
  <c r="E188" i="3" s="1"/>
  <c r="E291" i="3" s="1"/>
  <c r="G264" i="1"/>
  <c r="F188" i="3" s="1"/>
  <c r="F291" i="3" s="1"/>
  <c r="H264" i="1"/>
  <c r="I264" i="1"/>
  <c r="K264" i="1"/>
  <c r="J188" i="3" s="1"/>
  <c r="J291" i="3" s="1"/>
  <c r="L264" i="1"/>
  <c r="M264" i="1"/>
  <c r="N264" i="1"/>
  <c r="M188" i="3" s="1"/>
  <c r="M291" i="3" s="1"/>
  <c r="O264" i="1"/>
  <c r="N188" i="3" s="1"/>
  <c r="N291" i="3" s="1"/>
  <c r="E282" i="1"/>
  <c r="D199" i="3"/>
  <c r="J283" i="1"/>
  <c r="M418" i="1" l="1"/>
  <c r="L188" i="3"/>
  <c r="L291" i="3" s="1"/>
  <c r="H418" i="1"/>
  <c r="G188" i="3"/>
  <c r="G291" i="3" s="1"/>
  <c r="L418" i="1"/>
  <c r="K188" i="3"/>
  <c r="K291" i="3" s="1"/>
  <c r="I418" i="1"/>
  <c r="H188" i="3"/>
  <c r="H291" i="3" s="1"/>
  <c r="P283" i="1"/>
  <c r="O199" i="3" s="1"/>
  <c r="O418" i="1"/>
  <c r="N302" i="3" s="1"/>
  <c r="K418" i="1"/>
  <c r="J302" i="3" s="1"/>
  <c r="G418" i="1"/>
  <c r="F302" i="3" s="1"/>
  <c r="J264" i="1"/>
  <c r="I188" i="3" s="1"/>
  <c r="I291" i="3" s="1"/>
  <c r="N418" i="1"/>
  <c r="M302" i="3" s="1"/>
  <c r="F418" i="1"/>
  <c r="E302" i="3" s="1"/>
  <c r="I199" i="3"/>
  <c r="E264" i="1"/>
  <c r="D188" i="3" s="1"/>
  <c r="D291" i="3" s="1"/>
  <c r="K302" i="3" l="1"/>
  <c r="L302" i="3"/>
  <c r="H302" i="3"/>
  <c r="G302" i="3"/>
  <c r="P264" i="1"/>
  <c r="E418" i="1"/>
  <c r="J418" i="1"/>
  <c r="D302" i="3" l="1"/>
  <c r="I302" i="3"/>
  <c r="P418" i="1"/>
  <c r="O188" i="3"/>
  <c r="O291" i="3" s="1"/>
  <c r="O329" i="1"/>
  <c r="K329" i="1"/>
  <c r="O302" i="3" l="1"/>
  <c r="H360" i="1"/>
  <c r="F392" i="1" l="1"/>
  <c r="F361" i="1"/>
  <c r="F360" i="1"/>
  <c r="H323" i="1" l="1"/>
  <c r="F323" i="1"/>
  <c r="G360" i="1"/>
  <c r="G323" i="1"/>
  <c r="F388" i="1" l="1"/>
  <c r="F274" i="1"/>
  <c r="F372" i="1"/>
  <c r="F370" i="1" s="1"/>
  <c r="I372" i="1"/>
  <c r="L52" i="1" l="1"/>
  <c r="O143" i="1" l="1"/>
  <c r="E251" i="3" l="1"/>
  <c r="F251" i="3"/>
  <c r="G251" i="3"/>
  <c r="H251" i="3"/>
  <c r="J251" i="3"/>
  <c r="K251" i="3"/>
  <c r="L251" i="3"/>
  <c r="M251" i="3"/>
  <c r="E250" i="3"/>
  <c r="F250" i="3"/>
  <c r="G250" i="3"/>
  <c r="H250" i="3"/>
  <c r="J250" i="3"/>
  <c r="K250" i="3"/>
  <c r="L250" i="3"/>
  <c r="M250" i="3"/>
  <c r="F82" i="1" l="1"/>
  <c r="G82" i="1"/>
  <c r="H82" i="1"/>
  <c r="I82" i="1"/>
  <c r="K82" i="1"/>
  <c r="L82" i="1"/>
  <c r="M82" i="1"/>
  <c r="N82" i="1"/>
  <c r="O82" i="1"/>
  <c r="J144" i="1"/>
  <c r="J82" i="1" s="1"/>
  <c r="E144" i="1"/>
  <c r="E82" i="1" s="1"/>
  <c r="E248" i="3"/>
  <c r="J248" i="3"/>
  <c r="J143" i="1"/>
  <c r="E143" i="1"/>
  <c r="C143" i="1"/>
  <c r="D143" i="1"/>
  <c r="B143" i="1"/>
  <c r="L408" i="1"/>
  <c r="P144" i="1" l="1"/>
  <c r="P143" i="1"/>
  <c r="P82" i="1" l="1"/>
  <c r="J285" i="1" l="1"/>
  <c r="F409" i="1" l="1"/>
  <c r="I43" i="1"/>
  <c r="I45" i="1" l="1"/>
  <c r="G55" i="1" l="1"/>
  <c r="G56" i="1"/>
  <c r="F56" i="1"/>
  <c r="G84" i="1"/>
  <c r="E261" i="3" l="1"/>
  <c r="F261" i="3"/>
  <c r="H261" i="3"/>
  <c r="J261" i="3"/>
  <c r="K261" i="3"/>
  <c r="L261" i="3"/>
  <c r="M261" i="3"/>
  <c r="N261" i="3"/>
  <c r="E145" i="1"/>
  <c r="J141" i="1"/>
  <c r="J145" i="1"/>
  <c r="D145" i="1"/>
  <c r="C145" i="1"/>
  <c r="P145" i="1" l="1"/>
  <c r="N243" i="3"/>
  <c r="J243" i="3"/>
  <c r="J306" i="1"/>
  <c r="J284" i="1"/>
  <c r="J235" i="3"/>
  <c r="K235" i="3"/>
  <c r="L235" i="3"/>
  <c r="M235" i="3"/>
  <c r="N235" i="3"/>
  <c r="K243" i="3"/>
  <c r="L243" i="3"/>
  <c r="M243" i="3"/>
  <c r="F354" i="1" l="1"/>
  <c r="F329" i="1" s="1"/>
  <c r="O319" i="1"/>
  <c r="O257" i="1" s="1"/>
  <c r="K319" i="1"/>
  <c r="K257" i="1" s="1"/>
  <c r="F319" i="1"/>
  <c r="F257" i="1" s="1"/>
  <c r="E263" i="3"/>
  <c r="F263" i="3"/>
  <c r="G263" i="3"/>
  <c r="H263" i="3"/>
  <c r="J263" i="3"/>
  <c r="K263" i="3"/>
  <c r="L263" i="3"/>
  <c r="M263" i="3"/>
  <c r="N263" i="3"/>
  <c r="J312" i="1"/>
  <c r="I263" i="3" s="1"/>
  <c r="E312" i="1"/>
  <c r="D263" i="3" s="1"/>
  <c r="F264" i="3"/>
  <c r="G264" i="3"/>
  <c r="H264" i="3"/>
  <c r="J264" i="3"/>
  <c r="K264" i="3"/>
  <c r="L264" i="3"/>
  <c r="M264" i="3"/>
  <c r="N264" i="3"/>
  <c r="E306" i="1"/>
  <c r="P306" i="1" s="1"/>
  <c r="E183" i="3"/>
  <c r="F183" i="3"/>
  <c r="G183" i="3"/>
  <c r="H183" i="3"/>
  <c r="J183" i="3"/>
  <c r="K183" i="3"/>
  <c r="L183" i="3"/>
  <c r="M183" i="3"/>
  <c r="N183" i="3"/>
  <c r="J277" i="1"/>
  <c r="J278" i="1"/>
  <c r="J279" i="1"/>
  <c r="J280" i="1"/>
  <c r="I183" i="3" s="1"/>
  <c r="E277" i="1"/>
  <c r="E278" i="1"/>
  <c r="E279" i="1"/>
  <c r="E280" i="1"/>
  <c r="D183" i="3" s="1"/>
  <c r="C280" i="1"/>
  <c r="D280" i="1"/>
  <c r="B280" i="1"/>
  <c r="F247" i="3"/>
  <c r="G247" i="3"/>
  <c r="H247" i="3"/>
  <c r="K247" i="3"/>
  <c r="L247" i="3"/>
  <c r="M247" i="3"/>
  <c r="E142" i="1"/>
  <c r="P142" i="1" s="1"/>
  <c r="E141" i="1"/>
  <c r="E146" i="1"/>
  <c r="C142" i="1"/>
  <c r="D142" i="1"/>
  <c r="B142" i="1"/>
  <c r="G131" i="1"/>
  <c r="G87" i="1"/>
  <c r="G66" i="1" s="1"/>
  <c r="F38" i="1"/>
  <c r="G35" i="1"/>
  <c r="F91" i="1"/>
  <c r="F70" i="1" s="1"/>
  <c r="P278" i="1" l="1"/>
  <c r="P277" i="1"/>
  <c r="P279" i="1"/>
  <c r="P312" i="1"/>
  <c r="O263" i="3" s="1"/>
  <c r="P141" i="1"/>
  <c r="P280" i="1"/>
  <c r="O183" i="3" s="1"/>
  <c r="E64" i="1"/>
  <c r="E311" i="1"/>
  <c r="J309" i="1" l="1"/>
  <c r="J311" i="1"/>
  <c r="P311" i="1" s="1"/>
  <c r="J310" i="1"/>
  <c r="E313" i="1"/>
  <c r="E314" i="1"/>
  <c r="E315" i="1"/>
  <c r="E316" i="1"/>
  <c r="E317" i="1"/>
  <c r="E318" i="1"/>
  <c r="E310" i="1"/>
  <c r="D311" i="1"/>
  <c r="C311" i="1"/>
  <c r="G261" i="3"/>
  <c r="P310" i="1" l="1"/>
  <c r="F238" i="3"/>
  <c r="G238" i="3"/>
  <c r="K238" i="3"/>
  <c r="L238" i="3"/>
  <c r="M238" i="3"/>
  <c r="C372" i="1"/>
  <c r="D372" i="1"/>
  <c r="B372" i="1"/>
  <c r="C371" i="1"/>
  <c r="D371" i="1"/>
  <c r="B371" i="1"/>
  <c r="I327" i="1"/>
  <c r="H238" i="3" s="1"/>
  <c r="F327" i="1"/>
  <c r="E238" i="3" s="1"/>
  <c r="H326" i="1"/>
  <c r="G326" i="1"/>
  <c r="F326" i="1"/>
  <c r="O372" i="1"/>
  <c r="J372" i="1" s="1"/>
  <c r="K372" i="1"/>
  <c r="E372" i="1"/>
  <c r="O371" i="1"/>
  <c r="J371" i="1" s="1"/>
  <c r="K371" i="1"/>
  <c r="E371" i="1"/>
  <c r="N370" i="1"/>
  <c r="N369" i="1" s="1"/>
  <c r="M370" i="1"/>
  <c r="M369" i="1" s="1"/>
  <c r="L370" i="1"/>
  <c r="L369" i="1" s="1"/>
  <c r="I370" i="1"/>
  <c r="I369" i="1" s="1"/>
  <c r="H370" i="1"/>
  <c r="H369" i="1" s="1"/>
  <c r="G370" i="1"/>
  <c r="G369" i="1" s="1"/>
  <c r="F369" i="1"/>
  <c r="J370" i="1" l="1"/>
  <c r="J369" i="1" s="1"/>
  <c r="K370" i="1"/>
  <c r="K369" i="1" s="1"/>
  <c r="P371" i="1"/>
  <c r="P372" i="1"/>
  <c r="E370" i="1"/>
  <c r="E369" i="1" s="1"/>
  <c r="O370" i="1"/>
  <c r="O369" i="1" s="1"/>
  <c r="P370" i="1" l="1"/>
  <c r="P369" i="1" s="1"/>
  <c r="E163" i="1"/>
  <c r="D97" i="3" s="1"/>
  <c r="E411" i="1" l="1"/>
  <c r="H375" i="1" l="1"/>
  <c r="G375" i="1"/>
  <c r="F375" i="1"/>
  <c r="F186" i="1"/>
  <c r="F407" i="1"/>
  <c r="E264" i="3" s="1"/>
  <c r="F404" i="1"/>
  <c r="F241" i="1"/>
  <c r="F51" i="1"/>
  <c r="D55" i="1"/>
  <c r="F256" i="1" l="1"/>
  <c r="D89" i="1" l="1"/>
  <c r="D188" i="1" l="1"/>
  <c r="D85" i="1"/>
  <c r="D50" i="1"/>
  <c r="E249" i="3" l="1"/>
  <c r="F249" i="3"/>
  <c r="G249" i="3"/>
  <c r="H249" i="3"/>
  <c r="J249" i="3"/>
  <c r="K249" i="3"/>
  <c r="L249" i="3"/>
  <c r="M249" i="3"/>
  <c r="F161" i="1"/>
  <c r="F420" i="1" s="1"/>
  <c r="G161" i="1"/>
  <c r="G420" i="1" s="1"/>
  <c r="H161" i="1"/>
  <c r="H420" i="1" s="1"/>
  <c r="I161" i="1"/>
  <c r="I420" i="1" s="1"/>
  <c r="K161" i="1"/>
  <c r="K420" i="1" s="1"/>
  <c r="L161" i="1"/>
  <c r="L420" i="1" s="1"/>
  <c r="M161" i="1"/>
  <c r="M420" i="1" s="1"/>
  <c r="N161" i="1"/>
  <c r="N420" i="1" s="1"/>
  <c r="O189" i="1"/>
  <c r="E189" i="1"/>
  <c r="G293" i="3" l="1"/>
  <c r="G192" i="3"/>
  <c r="F293" i="3"/>
  <c r="F192" i="3"/>
  <c r="M293" i="3"/>
  <c r="M192" i="3"/>
  <c r="H293" i="3"/>
  <c r="H192" i="3"/>
  <c r="L293" i="3"/>
  <c r="L192" i="3"/>
  <c r="K293" i="3"/>
  <c r="K304" i="3" s="1"/>
  <c r="K192" i="3"/>
  <c r="J293" i="3"/>
  <c r="J192" i="3"/>
  <c r="E293" i="3"/>
  <c r="F433" i="1" s="1"/>
  <c r="E192" i="3"/>
  <c r="M304" i="3"/>
  <c r="J304" i="3"/>
  <c r="D251" i="3"/>
  <c r="D249" i="3" s="1"/>
  <c r="N251" i="3"/>
  <c r="N249" i="3" s="1"/>
  <c r="J189" i="1"/>
  <c r="I251" i="3" s="1"/>
  <c r="N433" i="1"/>
  <c r="E161" i="1"/>
  <c r="E420" i="1" s="1"/>
  <c r="O161" i="1"/>
  <c r="K433" i="1" l="1"/>
  <c r="L304" i="3"/>
  <c r="M433" i="1"/>
  <c r="H433" i="1"/>
  <c r="G304" i="3"/>
  <c r="L433" i="1"/>
  <c r="G433" i="1"/>
  <c r="H304" i="3"/>
  <c r="E304" i="3"/>
  <c r="I433" i="1"/>
  <c r="N293" i="3"/>
  <c r="N192" i="3"/>
  <c r="D293" i="3"/>
  <c r="D192" i="3"/>
  <c r="F304" i="3"/>
  <c r="P189" i="1"/>
  <c r="O251" i="3" s="1"/>
  <c r="O249" i="3" s="1"/>
  <c r="J161" i="1"/>
  <c r="J420" i="1" s="1"/>
  <c r="O420" i="1"/>
  <c r="I249" i="3"/>
  <c r="N304" i="3" l="1"/>
  <c r="E433" i="1"/>
  <c r="D304" i="3"/>
  <c r="I293" i="3"/>
  <c r="I192" i="3"/>
  <c r="O293" i="3"/>
  <c r="O192" i="3"/>
  <c r="I304" i="3"/>
  <c r="P161" i="1"/>
  <c r="P420" i="1" s="1"/>
  <c r="O433" i="1"/>
  <c r="J434" i="1"/>
  <c r="J433" i="1" l="1"/>
  <c r="O304" i="3"/>
  <c r="P433" i="1"/>
  <c r="C327" i="1"/>
  <c r="D327" i="1"/>
  <c r="B327" i="1"/>
  <c r="F325" i="1"/>
  <c r="G325" i="1"/>
  <c r="H325" i="1"/>
  <c r="I325" i="1"/>
  <c r="L325" i="1"/>
  <c r="M325" i="1"/>
  <c r="N325" i="1"/>
  <c r="O327" i="1"/>
  <c r="J327" i="1" s="1"/>
  <c r="K327" i="1"/>
  <c r="E327" i="1"/>
  <c r="P327" i="1" l="1"/>
  <c r="L313" i="1"/>
  <c r="L257" i="1" s="1"/>
  <c r="J313" i="1" l="1"/>
  <c r="L435" i="1"/>
  <c r="E434" i="1"/>
  <c r="L437" i="1" l="1"/>
  <c r="C49" i="1" l="1"/>
  <c r="B49" i="1"/>
  <c r="F239" i="3"/>
  <c r="G239" i="3"/>
  <c r="H239" i="3"/>
  <c r="J239" i="3"/>
  <c r="K239" i="3"/>
  <c r="L239" i="3"/>
  <c r="M239" i="3"/>
  <c r="N239" i="3"/>
  <c r="G14" i="1" l="1"/>
  <c r="I14" i="1"/>
  <c r="K14" i="1"/>
  <c r="M14" i="1"/>
  <c r="N14" i="1"/>
  <c r="O14" i="1"/>
  <c r="J49" i="1"/>
  <c r="E49" i="1"/>
  <c r="E403" i="1"/>
  <c r="L436" i="1"/>
  <c r="P49" i="1" l="1"/>
  <c r="O250" i="1"/>
  <c r="K250" i="1"/>
  <c r="H14" i="1" l="1"/>
  <c r="L26" i="1"/>
  <c r="L434" i="1" s="1"/>
  <c r="L14" i="1" l="1"/>
  <c r="O188" i="1"/>
  <c r="N250" i="3" s="1"/>
  <c r="N248" i="3" s="1"/>
  <c r="G402" i="1" l="1"/>
  <c r="H402" i="1"/>
  <c r="I402" i="1"/>
  <c r="K402" i="1"/>
  <c r="L402" i="1"/>
  <c r="M402" i="1"/>
  <c r="N402" i="1"/>
  <c r="O402" i="1"/>
  <c r="J406" i="1"/>
  <c r="E406" i="1"/>
  <c r="P406" i="1" l="1"/>
  <c r="F14" i="1" l="1"/>
  <c r="E242" i="3"/>
  <c r="F242" i="3"/>
  <c r="G242" i="3"/>
  <c r="H242" i="3"/>
  <c r="K242" i="3"/>
  <c r="L242" i="3"/>
  <c r="M242" i="3"/>
  <c r="E241" i="3"/>
  <c r="F241" i="3"/>
  <c r="G241" i="3"/>
  <c r="H241" i="3"/>
  <c r="K241" i="3"/>
  <c r="L241" i="3"/>
  <c r="M241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4" i="3"/>
  <c r="F194" i="3"/>
  <c r="G194" i="3"/>
  <c r="H194" i="3"/>
  <c r="K194" i="3"/>
  <c r="L194" i="3"/>
  <c r="M194" i="3"/>
  <c r="E184" i="3"/>
  <c r="F184" i="3"/>
  <c r="G184" i="3"/>
  <c r="H184" i="3"/>
  <c r="K184" i="3"/>
  <c r="L184" i="3"/>
  <c r="M184" i="3"/>
  <c r="C396" i="1"/>
  <c r="D396" i="1"/>
  <c r="C397" i="1"/>
  <c r="D397" i="1"/>
  <c r="C398" i="1"/>
  <c r="D398" i="1"/>
  <c r="C400" i="1"/>
  <c r="D400" i="1"/>
  <c r="B400" i="1"/>
  <c r="B398" i="1"/>
  <c r="B397" i="1"/>
  <c r="B396" i="1"/>
  <c r="C395" i="1"/>
  <c r="D395" i="1"/>
  <c r="B395" i="1"/>
  <c r="C394" i="1"/>
  <c r="D394" i="1"/>
  <c r="B394" i="1"/>
  <c r="C393" i="1"/>
  <c r="D393" i="1"/>
  <c r="B393" i="1"/>
  <c r="C392" i="1"/>
  <c r="D392" i="1"/>
  <c r="B392" i="1"/>
  <c r="F389" i="1"/>
  <c r="G389" i="1"/>
  <c r="H389" i="1"/>
  <c r="I389" i="1"/>
  <c r="L389" i="1"/>
  <c r="M389" i="1"/>
  <c r="N389" i="1"/>
  <c r="O400" i="1"/>
  <c r="N247" i="3" s="1"/>
  <c r="K400" i="1"/>
  <c r="J247" i="3" s="1"/>
  <c r="E400" i="1"/>
  <c r="J398" i="1"/>
  <c r="J242" i="3"/>
  <c r="E398" i="1"/>
  <c r="J397" i="1"/>
  <c r="J241" i="3"/>
  <c r="E397" i="1"/>
  <c r="O396" i="1"/>
  <c r="N238" i="3" s="1"/>
  <c r="K396" i="1"/>
  <c r="J238" i="3" s="1"/>
  <c r="E396" i="1"/>
  <c r="O395" i="1"/>
  <c r="N215" i="3" s="1"/>
  <c r="K395" i="1"/>
  <c r="J215" i="3" s="1"/>
  <c r="E395" i="1"/>
  <c r="O394" i="1"/>
  <c r="J394" i="1" s="1"/>
  <c r="K394" i="1"/>
  <c r="J207" i="3" s="1"/>
  <c r="E394" i="1"/>
  <c r="O393" i="1"/>
  <c r="J393" i="1" s="1"/>
  <c r="K393" i="1"/>
  <c r="J194" i="3" s="1"/>
  <c r="E393" i="1"/>
  <c r="O392" i="1"/>
  <c r="J392" i="1" s="1"/>
  <c r="K392" i="1"/>
  <c r="J184" i="3" s="1"/>
  <c r="E392" i="1"/>
  <c r="C388" i="1"/>
  <c r="B388" i="1"/>
  <c r="C387" i="1"/>
  <c r="B387" i="1"/>
  <c r="C386" i="1"/>
  <c r="B386" i="1"/>
  <c r="C385" i="1"/>
  <c r="B385" i="1"/>
  <c r="C384" i="1"/>
  <c r="B384" i="1"/>
  <c r="C391" i="1"/>
  <c r="B391" i="1"/>
  <c r="C383" i="1"/>
  <c r="B383" i="1"/>
  <c r="C326" i="1"/>
  <c r="B326" i="1"/>
  <c r="D388" i="1"/>
  <c r="D387" i="1"/>
  <c r="D386" i="1"/>
  <c r="D385" i="1"/>
  <c r="D384" i="1"/>
  <c r="D383" i="1"/>
  <c r="D391" i="1"/>
  <c r="O391" i="1"/>
  <c r="K391" i="1"/>
  <c r="E391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O382" i="1"/>
  <c r="O381" i="1" s="1"/>
  <c r="N382" i="1"/>
  <c r="N381" i="1" s="1"/>
  <c r="M382" i="1"/>
  <c r="M381" i="1" s="1"/>
  <c r="L382" i="1"/>
  <c r="L381" i="1" s="1"/>
  <c r="K382" i="1"/>
  <c r="K381" i="1" s="1"/>
  <c r="I382" i="1"/>
  <c r="I381" i="1" s="1"/>
  <c r="H382" i="1"/>
  <c r="H381" i="1" s="1"/>
  <c r="G382" i="1"/>
  <c r="G381" i="1" s="1"/>
  <c r="F382" i="1"/>
  <c r="F381" i="1" s="1"/>
  <c r="D326" i="1"/>
  <c r="O326" i="1"/>
  <c r="O325" i="1" s="1"/>
  <c r="O324" i="1" s="1"/>
  <c r="K326" i="1"/>
  <c r="K325" i="1" s="1"/>
  <c r="K324" i="1" s="1"/>
  <c r="E326" i="1"/>
  <c r="E325" i="1" s="1"/>
  <c r="M324" i="1"/>
  <c r="L324" i="1"/>
  <c r="I324" i="1"/>
  <c r="H324" i="1"/>
  <c r="G324" i="1"/>
  <c r="F324" i="1"/>
  <c r="N324" i="1"/>
  <c r="J326" i="1" l="1"/>
  <c r="J382" i="1"/>
  <c r="J381" i="1" s="1"/>
  <c r="O389" i="1"/>
  <c r="J396" i="1"/>
  <c r="P396" i="1" s="1"/>
  <c r="J325" i="1"/>
  <c r="J324" i="1" s="1"/>
  <c r="K389" i="1"/>
  <c r="N184" i="3"/>
  <c r="N194" i="3"/>
  <c r="N241" i="3"/>
  <c r="J391" i="1"/>
  <c r="P391" i="1" s="1"/>
  <c r="N207" i="3"/>
  <c r="N242" i="3"/>
  <c r="J395" i="1"/>
  <c r="P395" i="1" s="1"/>
  <c r="J400" i="1"/>
  <c r="P400" i="1" s="1"/>
  <c r="P392" i="1"/>
  <c r="P393" i="1"/>
  <c r="P394" i="1"/>
  <c r="P397" i="1"/>
  <c r="P398" i="1"/>
  <c r="E389" i="1"/>
  <c r="P326" i="1"/>
  <c r="P384" i="1"/>
  <c r="P386" i="1"/>
  <c r="P388" i="1"/>
  <c r="E382" i="1"/>
  <c r="E381" i="1" s="1"/>
  <c r="P383" i="1"/>
  <c r="P385" i="1"/>
  <c r="P387" i="1"/>
  <c r="E324" i="1"/>
  <c r="J389" i="1" l="1"/>
  <c r="P325" i="1"/>
  <c r="P324" i="1" s="1"/>
  <c r="P389" i="1"/>
  <c r="P382" i="1"/>
  <c r="P381" i="1" s="1"/>
  <c r="E239" i="3" l="1"/>
  <c r="K444" i="1"/>
  <c r="L444" i="1" s="1"/>
  <c r="J444" i="1"/>
  <c r="E247" i="3" l="1"/>
  <c r="F402" i="1" l="1"/>
  <c r="G175" i="3"/>
  <c r="H175" i="3"/>
  <c r="J175" i="3"/>
  <c r="K175" i="3"/>
  <c r="L175" i="3"/>
  <c r="M175" i="3"/>
  <c r="N175" i="3"/>
  <c r="J272" i="1"/>
  <c r="J273" i="1"/>
  <c r="I175" i="3" s="1"/>
  <c r="J274" i="1"/>
  <c r="K256" i="1" l="1"/>
  <c r="L256" i="1"/>
  <c r="M256" i="1"/>
  <c r="N256" i="1"/>
  <c r="O256" i="1"/>
  <c r="J281" i="1"/>
  <c r="D272" i="1" l="1"/>
  <c r="K440" i="1" l="1"/>
  <c r="J440" i="1"/>
  <c r="E440" i="1"/>
  <c r="E105" i="3" l="1"/>
  <c r="F105" i="3"/>
  <c r="G105" i="3"/>
  <c r="H105" i="3"/>
  <c r="J105" i="3"/>
  <c r="K105" i="3"/>
  <c r="L105" i="3"/>
  <c r="M105" i="3"/>
  <c r="N105" i="3"/>
  <c r="N286" i="3" l="1"/>
  <c r="M286" i="3"/>
  <c r="L286" i="3"/>
  <c r="K286" i="3"/>
  <c r="J286" i="3"/>
  <c r="H286" i="3"/>
  <c r="G286" i="3"/>
  <c r="F286" i="3"/>
  <c r="E286" i="3"/>
  <c r="J63" i="1"/>
  <c r="E63" i="1"/>
  <c r="P63" i="1" l="1"/>
  <c r="C32" i="3" l="1"/>
  <c r="N102" i="3"/>
  <c r="N96" i="3" s="1"/>
  <c r="M102" i="3"/>
  <c r="M96" i="3" s="1"/>
  <c r="L102" i="3"/>
  <c r="L96" i="3" s="1"/>
  <c r="K102" i="3"/>
  <c r="K96" i="3" s="1"/>
  <c r="J102" i="3"/>
  <c r="J96" i="3" s="1"/>
  <c r="H102" i="3"/>
  <c r="H96" i="3" s="1"/>
  <c r="G102" i="3"/>
  <c r="G96" i="3" s="1"/>
  <c r="F102" i="3"/>
  <c r="F96" i="3" s="1"/>
  <c r="E102" i="3"/>
  <c r="E96" i="3" s="1"/>
  <c r="D102" i="3"/>
  <c r="D96" i="3" s="1"/>
  <c r="C102" i="3"/>
  <c r="O153" i="1"/>
  <c r="N153" i="1"/>
  <c r="M153" i="1"/>
  <c r="L153" i="1"/>
  <c r="K153" i="1"/>
  <c r="I153" i="1"/>
  <c r="H153" i="1"/>
  <c r="G153" i="1"/>
  <c r="F153" i="1"/>
  <c r="E153" i="1"/>
  <c r="O102" i="3"/>
  <c r="O96" i="3" s="1"/>
  <c r="C60" i="3"/>
  <c r="N40" i="3"/>
  <c r="N32" i="3" s="1"/>
  <c r="M40" i="3"/>
  <c r="M32" i="3" s="1"/>
  <c r="L40" i="3"/>
  <c r="L32" i="3" s="1"/>
  <c r="K40" i="3"/>
  <c r="K32" i="3" s="1"/>
  <c r="J40" i="3"/>
  <c r="J32" i="3" s="1"/>
  <c r="H40" i="3"/>
  <c r="H32" i="3" s="1"/>
  <c r="G40" i="3"/>
  <c r="G32" i="3" s="1"/>
  <c r="F40" i="3"/>
  <c r="F32" i="3" s="1"/>
  <c r="E40" i="3"/>
  <c r="E32" i="3" s="1"/>
  <c r="D40" i="3"/>
  <c r="D32" i="3" s="1"/>
  <c r="C40" i="3"/>
  <c r="O69" i="1"/>
  <c r="N69" i="1"/>
  <c r="M69" i="1"/>
  <c r="L69" i="1"/>
  <c r="K69" i="1"/>
  <c r="I69" i="1"/>
  <c r="H69" i="1"/>
  <c r="G69" i="1"/>
  <c r="F69" i="1"/>
  <c r="J86" i="1"/>
  <c r="P86" i="1" l="1"/>
  <c r="J76" i="1"/>
  <c r="J153" i="1"/>
  <c r="P153" i="1"/>
  <c r="I102" i="3"/>
  <c r="I96" i="3" s="1"/>
  <c r="I40" i="3"/>
  <c r="I32" i="3" s="1"/>
  <c r="O40" i="3" l="1"/>
  <c r="O32" i="3" s="1"/>
  <c r="P76" i="1"/>
  <c r="E234" i="1"/>
  <c r="O112" i="1" l="1"/>
  <c r="O66" i="1" s="1"/>
  <c r="K112" i="1"/>
  <c r="K66" i="1" s="1"/>
  <c r="E172" i="1" l="1"/>
  <c r="D105" i="3" s="1"/>
  <c r="J172" i="1"/>
  <c r="I105" i="3" s="1"/>
  <c r="E271" i="3" l="1"/>
  <c r="F271" i="3"/>
  <c r="G271" i="3"/>
  <c r="H271" i="3"/>
  <c r="J271" i="3"/>
  <c r="K271" i="3"/>
  <c r="L271" i="3"/>
  <c r="M271" i="3"/>
  <c r="N271" i="3"/>
  <c r="J314" i="1"/>
  <c r="I271" i="3" s="1"/>
  <c r="D271" i="3"/>
  <c r="P314" i="1" l="1"/>
  <c r="O271" i="3" s="1"/>
  <c r="H193" i="1" l="1"/>
  <c r="H192" i="1" s="1"/>
  <c r="I193" i="1"/>
  <c r="I192" i="1" s="1"/>
  <c r="L193" i="1"/>
  <c r="L192" i="1" s="1"/>
  <c r="M193" i="1"/>
  <c r="M192" i="1" s="1"/>
  <c r="N193" i="1"/>
  <c r="N192" i="1" s="1"/>
  <c r="F194" i="1"/>
  <c r="G194" i="1"/>
  <c r="H194" i="1"/>
  <c r="I194" i="1"/>
  <c r="K194" i="1"/>
  <c r="L194" i="1"/>
  <c r="M194" i="1"/>
  <c r="N194" i="1"/>
  <c r="O194" i="1"/>
  <c r="F195" i="1"/>
  <c r="G195" i="1"/>
  <c r="H195" i="1"/>
  <c r="I195" i="1"/>
  <c r="F196" i="1"/>
  <c r="G196" i="1"/>
  <c r="H196" i="1"/>
  <c r="I196" i="1"/>
  <c r="K196" i="1"/>
  <c r="L196" i="1"/>
  <c r="M196" i="1"/>
  <c r="N196" i="1"/>
  <c r="O196" i="1"/>
  <c r="C233" i="1"/>
  <c r="D233" i="1"/>
  <c r="B233" i="1"/>
  <c r="C315" i="1"/>
  <c r="D315" i="1"/>
  <c r="B315" i="1"/>
  <c r="C320" i="1"/>
  <c r="D320" i="1"/>
  <c r="B320" i="1"/>
  <c r="E273" i="3"/>
  <c r="F273" i="3"/>
  <c r="G273" i="3"/>
  <c r="H273" i="3"/>
  <c r="J273" i="3"/>
  <c r="K273" i="3"/>
  <c r="L273" i="3"/>
  <c r="M273" i="3"/>
  <c r="N273" i="3"/>
  <c r="E272" i="3"/>
  <c r="F272" i="3"/>
  <c r="G272" i="3"/>
  <c r="H272" i="3"/>
  <c r="J272" i="3"/>
  <c r="K272" i="3"/>
  <c r="L272" i="3"/>
  <c r="M272" i="3"/>
  <c r="N272" i="3"/>
  <c r="F287" i="3"/>
  <c r="G287" i="3"/>
  <c r="H287" i="3"/>
  <c r="J287" i="3"/>
  <c r="K287" i="3"/>
  <c r="L287" i="3"/>
  <c r="M287" i="3"/>
  <c r="N287" i="3"/>
  <c r="J320" i="1"/>
  <c r="E320" i="1"/>
  <c r="J315" i="1"/>
  <c r="I272" i="3" s="1"/>
  <c r="J233" i="1"/>
  <c r="I273" i="3" s="1"/>
  <c r="E233" i="1"/>
  <c r="E287" i="3"/>
  <c r="F117" i="3" l="1"/>
  <c r="E117" i="3"/>
  <c r="H117" i="3"/>
  <c r="G117" i="3"/>
  <c r="P233" i="1"/>
  <c r="O273" i="3" s="1"/>
  <c r="P315" i="1"/>
  <c r="O272" i="3" s="1"/>
  <c r="P320" i="1"/>
  <c r="D272" i="3"/>
  <c r="D273" i="3"/>
  <c r="E42" i="1" l="1"/>
  <c r="G71" i="1" l="1"/>
  <c r="H71" i="1"/>
  <c r="I71" i="1"/>
  <c r="K71" i="1"/>
  <c r="L71" i="1"/>
  <c r="M71" i="1"/>
  <c r="N71" i="1"/>
  <c r="O71" i="1"/>
  <c r="C272" i="1" l="1"/>
  <c r="B272" i="1"/>
  <c r="E174" i="3"/>
  <c r="F174" i="3"/>
  <c r="G174" i="3"/>
  <c r="H174" i="3"/>
  <c r="J174" i="3"/>
  <c r="K174" i="3"/>
  <c r="L174" i="3"/>
  <c r="M174" i="3"/>
  <c r="N174" i="3"/>
  <c r="I174" i="3"/>
  <c r="E272" i="1"/>
  <c r="P272" i="1" s="1"/>
  <c r="O174" i="3" s="1"/>
  <c r="D174" i="3" l="1"/>
  <c r="C58" i="1" l="1"/>
  <c r="D58" i="1"/>
  <c r="B58" i="1"/>
  <c r="J58" i="1"/>
  <c r="I261" i="3" s="1"/>
  <c r="E58" i="1"/>
  <c r="D261" i="3" s="1"/>
  <c r="F274" i="3"/>
  <c r="G274" i="3"/>
  <c r="H274" i="3"/>
  <c r="J274" i="3"/>
  <c r="K274" i="3"/>
  <c r="L274" i="3"/>
  <c r="M274" i="3"/>
  <c r="N274" i="3"/>
  <c r="J316" i="1"/>
  <c r="E274" i="3" l="1"/>
  <c r="P58" i="1"/>
  <c r="O261" i="3" s="1"/>
  <c r="P316" i="1"/>
  <c r="E62" i="1" l="1"/>
  <c r="E191" i="1"/>
  <c r="J234" i="1"/>
  <c r="P234" i="1" s="1"/>
  <c r="H152" i="1"/>
  <c r="I152" i="1"/>
  <c r="L152" i="1"/>
  <c r="M152" i="1"/>
  <c r="N152" i="1"/>
  <c r="J191" i="1"/>
  <c r="J62" i="1"/>
  <c r="D274" i="3" l="1"/>
  <c r="P191" i="1"/>
  <c r="I274" i="3"/>
  <c r="P62" i="1"/>
  <c r="P172" i="1"/>
  <c r="O105" i="3" s="1"/>
  <c r="O274" i="3" l="1"/>
  <c r="I328" i="1" l="1"/>
  <c r="J178" i="3" l="1"/>
  <c r="O152" i="1"/>
  <c r="K152" i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3" i="1" l="1"/>
  <c r="G192" i="1" s="1"/>
  <c r="G152" i="1"/>
  <c r="N285" i="3" l="1"/>
  <c r="M285" i="3"/>
  <c r="L285" i="3"/>
  <c r="K285" i="3"/>
  <c r="J285" i="3"/>
  <c r="H285" i="3"/>
  <c r="G285" i="3"/>
  <c r="F285" i="3"/>
  <c r="E285" i="3"/>
  <c r="J318" i="1"/>
  <c r="I285" i="3" s="1"/>
  <c r="D285" i="3"/>
  <c r="P318" i="1" l="1"/>
  <c r="O285" i="3" s="1"/>
  <c r="M36" i="3" l="1"/>
  <c r="L36" i="3"/>
  <c r="K36" i="3"/>
  <c r="H36" i="3"/>
  <c r="E36" i="3"/>
  <c r="E38" i="3" l="1"/>
  <c r="N36" i="3"/>
  <c r="J36" i="3"/>
  <c r="J334" i="1"/>
  <c r="E334" i="1"/>
  <c r="P334" i="1" l="1"/>
  <c r="F38" i="3" l="1"/>
  <c r="F36" i="3" l="1"/>
  <c r="G38" i="3" l="1"/>
  <c r="F152" i="1" l="1"/>
  <c r="F46" i="3"/>
  <c r="E46" i="3"/>
  <c r="F193" i="1" l="1"/>
  <c r="F192" i="1" s="1"/>
  <c r="G36" i="3" l="1"/>
  <c r="E63" i="3" l="1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67" i="1"/>
  <c r="H67" i="1"/>
  <c r="I67" i="1"/>
  <c r="K67" i="1"/>
  <c r="L67" i="1"/>
  <c r="M67" i="1"/>
  <c r="N67" i="1"/>
  <c r="O67" i="1"/>
  <c r="J102" i="1"/>
  <c r="I63" i="3" s="1"/>
  <c r="J104" i="1"/>
  <c r="I65" i="3" s="1"/>
  <c r="J105" i="1"/>
  <c r="I66" i="3" s="1"/>
  <c r="E102" i="1"/>
  <c r="D63" i="3" s="1"/>
  <c r="E104" i="1"/>
  <c r="D65" i="3" s="1"/>
  <c r="E105" i="1"/>
  <c r="D66" i="3" s="1"/>
  <c r="D104" i="1"/>
  <c r="D102" i="1"/>
  <c r="D94" i="1"/>
  <c r="E106" i="1"/>
  <c r="P102" i="1" l="1"/>
  <c r="O63" i="3" s="1"/>
  <c r="P105" i="1"/>
  <c r="P104" i="1"/>
  <c r="O65" i="3" s="1"/>
  <c r="O66" i="3" l="1"/>
  <c r="D199" i="1" l="1"/>
  <c r="D211" i="1"/>
  <c r="D215" i="1"/>
  <c r="D219" i="1"/>
  <c r="D231" i="1"/>
  <c r="D248" i="1"/>
  <c r="D253" i="1"/>
  <c r="D279" i="1"/>
  <c r="D284" i="1"/>
  <c r="D342" i="1"/>
  <c r="D344" i="1"/>
  <c r="D345" i="1"/>
  <c r="D346" i="1"/>
  <c r="D347" i="1"/>
  <c r="D348" i="1"/>
  <c r="D354" i="1"/>
  <c r="D362" i="1"/>
  <c r="D364" i="1"/>
  <c r="D403" i="1"/>
  <c r="D375" i="1"/>
  <c r="D368" i="1"/>
  <c r="D360" i="1"/>
  <c r="D333" i="1"/>
  <c r="D323" i="1"/>
  <c r="D247" i="1"/>
  <c r="D239" i="1"/>
  <c r="D198" i="1"/>
  <c r="D182" i="1"/>
  <c r="D173" i="1"/>
  <c r="D170" i="1"/>
  <c r="D162" i="1"/>
  <c r="D149" i="1"/>
  <c r="D146" i="1"/>
  <c r="D133" i="1"/>
  <c r="D131" i="1"/>
  <c r="D123" i="1"/>
  <c r="D115" i="1"/>
  <c r="D112" i="1"/>
  <c r="D111" i="1"/>
  <c r="D109" i="1"/>
  <c r="D108" i="1"/>
  <c r="D107" i="1"/>
  <c r="D106" i="1"/>
  <c r="D101" i="1"/>
  <c r="D92" i="1"/>
  <c r="D88" i="1"/>
  <c r="D87" i="1"/>
  <c r="D84" i="1"/>
  <c r="D83" i="1"/>
  <c r="D47" i="1"/>
  <c r="D46" i="1"/>
  <c r="D44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4" i="1"/>
  <c r="D17" i="1"/>
  <c r="E154" i="3" l="1"/>
  <c r="F154" i="3"/>
  <c r="G154" i="3"/>
  <c r="H154" i="3"/>
  <c r="J154" i="3"/>
  <c r="K154" i="3"/>
  <c r="L154" i="3"/>
  <c r="M154" i="3"/>
  <c r="N154" i="3"/>
  <c r="F237" i="1"/>
  <c r="G237" i="1"/>
  <c r="H237" i="1"/>
  <c r="I237" i="1"/>
  <c r="L237" i="1"/>
  <c r="M237" i="1"/>
  <c r="N237" i="1"/>
  <c r="J242" i="1"/>
  <c r="E242" i="1"/>
  <c r="E26" i="1"/>
  <c r="P242" i="1" l="1"/>
  <c r="F359" i="1"/>
  <c r="G359" i="1"/>
  <c r="H359" i="1"/>
  <c r="I359" i="1"/>
  <c r="L359" i="1"/>
  <c r="M359" i="1"/>
  <c r="N359" i="1"/>
  <c r="J362" i="1"/>
  <c r="E362" i="1"/>
  <c r="E179" i="3"/>
  <c r="F179" i="3"/>
  <c r="G179" i="3"/>
  <c r="H179" i="3"/>
  <c r="J179" i="3"/>
  <c r="K179" i="3"/>
  <c r="L179" i="3"/>
  <c r="M179" i="3"/>
  <c r="N179" i="3"/>
  <c r="I179" i="3"/>
  <c r="O179" i="3" l="1"/>
  <c r="P362" i="1"/>
  <c r="D179" i="3"/>
  <c r="J232" i="1"/>
  <c r="E232" i="1"/>
  <c r="E136" i="3"/>
  <c r="F136" i="3"/>
  <c r="G136" i="3"/>
  <c r="H136" i="3"/>
  <c r="J136" i="3"/>
  <c r="K136" i="3"/>
  <c r="L136" i="3"/>
  <c r="M136" i="3"/>
  <c r="N136" i="3"/>
  <c r="J211" i="1"/>
  <c r="E211" i="1"/>
  <c r="P232" i="1" l="1"/>
  <c r="P211" i="1"/>
  <c r="E265" i="3"/>
  <c r="E262" i="3" s="1"/>
  <c r="F265" i="3"/>
  <c r="F262" i="3" s="1"/>
  <c r="G265" i="3"/>
  <c r="G262" i="3" s="1"/>
  <c r="H265" i="3"/>
  <c r="H262" i="3" s="1"/>
  <c r="J265" i="3"/>
  <c r="J262" i="3" s="1"/>
  <c r="K265" i="3"/>
  <c r="K262" i="3" s="1"/>
  <c r="L265" i="3"/>
  <c r="L262" i="3" s="1"/>
  <c r="M265" i="3"/>
  <c r="M262" i="3" s="1"/>
  <c r="N265" i="3"/>
  <c r="N262" i="3" s="1"/>
  <c r="E135" i="3" l="1"/>
  <c r="F135" i="3"/>
  <c r="G135" i="3"/>
  <c r="H135" i="3"/>
  <c r="J135" i="3"/>
  <c r="K135" i="3"/>
  <c r="L135" i="3"/>
  <c r="M135" i="3"/>
  <c r="N135" i="3"/>
  <c r="D135" i="3"/>
  <c r="J26" i="1"/>
  <c r="I135" i="3" s="1"/>
  <c r="E203" i="3"/>
  <c r="F203" i="3"/>
  <c r="G203" i="3"/>
  <c r="H203" i="3"/>
  <c r="J203" i="3"/>
  <c r="K203" i="3"/>
  <c r="L203" i="3"/>
  <c r="M203" i="3"/>
  <c r="N203" i="3"/>
  <c r="J39" i="1"/>
  <c r="J40" i="1"/>
  <c r="P26" i="1" l="1"/>
  <c r="O135" i="3" s="1"/>
  <c r="P39" i="1"/>
  <c r="F157" i="1" l="1"/>
  <c r="M212" i="3" l="1"/>
  <c r="L212" i="3"/>
  <c r="K212" i="3"/>
  <c r="H212" i="3"/>
  <c r="G212" i="3"/>
  <c r="F212" i="3"/>
  <c r="E212" i="3"/>
  <c r="M211" i="3"/>
  <c r="L211" i="3"/>
  <c r="K211" i="3"/>
  <c r="H211" i="3"/>
  <c r="G211" i="3"/>
  <c r="F211" i="3"/>
  <c r="E211" i="3"/>
  <c r="O330" i="1"/>
  <c r="O416" i="1" s="1"/>
  <c r="N330" i="1"/>
  <c r="N416" i="1" s="1"/>
  <c r="M330" i="1"/>
  <c r="M416" i="1" s="1"/>
  <c r="L330" i="1"/>
  <c r="L416" i="1" s="1"/>
  <c r="K330" i="1"/>
  <c r="K416" i="1" s="1"/>
  <c r="I330" i="1"/>
  <c r="I416" i="1" s="1"/>
  <c r="H330" i="1"/>
  <c r="H416" i="1" s="1"/>
  <c r="G330" i="1"/>
  <c r="G416" i="1" s="1"/>
  <c r="F330" i="1"/>
  <c r="F416" i="1" s="1"/>
  <c r="E352" i="1"/>
  <c r="E330" i="1" s="1"/>
  <c r="J352" i="1"/>
  <c r="N211" i="3"/>
  <c r="J211" i="3"/>
  <c r="N212" i="3"/>
  <c r="J212" i="3" l="1"/>
  <c r="P352" i="1"/>
  <c r="P330" i="1" s="1"/>
  <c r="J330" i="1"/>
  <c r="J60" i="1" l="1"/>
  <c r="J61" i="1"/>
  <c r="E61" i="1"/>
  <c r="P61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O198" i="1" l="1"/>
  <c r="K198" i="1"/>
  <c r="K193" i="1" l="1"/>
  <c r="K192" i="1" s="1"/>
  <c r="O193" i="1"/>
  <c r="O192" i="1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5" i="1"/>
  <c r="I55" i="3" s="1"/>
  <c r="J94" i="1"/>
  <c r="I54" i="3" s="1"/>
  <c r="E95" i="1"/>
  <c r="E94" i="1"/>
  <c r="J88" i="1"/>
  <c r="I48" i="3" s="1"/>
  <c r="E88" i="1"/>
  <c r="P88" i="1" l="1"/>
  <c r="O48" i="3" s="1"/>
  <c r="P95" i="1"/>
  <c r="O55" i="3" s="1"/>
  <c r="P94" i="1"/>
  <c r="O54" i="3" s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N201" i="3" l="1"/>
  <c r="M201" i="3"/>
  <c r="L201" i="3"/>
  <c r="K201" i="3"/>
  <c r="J201" i="3"/>
  <c r="J197" i="3" s="1"/>
  <c r="J187" i="3" s="1"/>
  <c r="H201" i="3"/>
  <c r="G201" i="3"/>
  <c r="F201" i="3"/>
  <c r="E201" i="3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O262" i="1"/>
  <c r="N262" i="1"/>
  <c r="M262" i="1"/>
  <c r="L262" i="1"/>
  <c r="K262" i="1"/>
  <c r="I262" i="1"/>
  <c r="H262" i="1"/>
  <c r="G262" i="1"/>
  <c r="F262" i="1"/>
  <c r="I214" i="3"/>
  <c r="I213" i="3"/>
  <c r="D213" i="3"/>
  <c r="I224" i="3"/>
  <c r="D224" i="3"/>
  <c r="O77" i="1"/>
  <c r="N77" i="1"/>
  <c r="M77" i="1"/>
  <c r="L77" i="1"/>
  <c r="K77" i="1"/>
  <c r="I77" i="1"/>
  <c r="H77" i="1"/>
  <c r="G77" i="1"/>
  <c r="F77" i="1"/>
  <c r="D201" i="3"/>
  <c r="I201" i="3"/>
  <c r="J116" i="1"/>
  <c r="I77" i="3" s="1"/>
  <c r="I31" i="3" s="1"/>
  <c r="E116" i="1"/>
  <c r="D77" i="3" s="1"/>
  <c r="D31" i="3" s="1"/>
  <c r="E262" i="1" l="1"/>
  <c r="D214" i="3"/>
  <c r="D197" i="3" s="1"/>
  <c r="D187" i="3" s="1"/>
  <c r="F197" i="3"/>
  <c r="F187" i="3" s="1"/>
  <c r="H197" i="3"/>
  <c r="H187" i="3" s="1"/>
  <c r="K197" i="3"/>
  <c r="K187" i="3" s="1"/>
  <c r="M197" i="3"/>
  <c r="M187" i="3" s="1"/>
  <c r="I197" i="3"/>
  <c r="I187" i="3" s="1"/>
  <c r="E197" i="3"/>
  <c r="E187" i="3" s="1"/>
  <c r="G197" i="3"/>
  <c r="G187" i="3" s="1"/>
  <c r="L197" i="3"/>
  <c r="L187" i="3" s="1"/>
  <c r="N197" i="3"/>
  <c r="N187" i="3" s="1"/>
  <c r="O214" i="3"/>
  <c r="J262" i="1"/>
  <c r="O224" i="3"/>
  <c r="O213" i="3"/>
  <c r="O201" i="3"/>
  <c r="P116" i="1"/>
  <c r="O77" i="3" s="1"/>
  <c r="O31" i="3" s="1"/>
  <c r="O197" i="3" l="1"/>
  <c r="O187" i="3" s="1"/>
  <c r="P262" i="1"/>
  <c r="J149" i="1" l="1"/>
  <c r="E149" i="1"/>
  <c r="P149" i="1" l="1"/>
  <c r="N227" i="3" l="1"/>
  <c r="M227" i="3"/>
  <c r="L227" i="3"/>
  <c r="K227" i="3"/>
  <c r="J227" i="3"/>
  <c r="H227" i="3"/>
  <c r="G227" i="3"/>
  <c r="F227" i="3"/>
  <c r="E227" i="3"/>
  <c r="N284" i="3"/>
  <c r="M284" i="3"/>
  <c r="L284" i="3"/>
  <c r="K284" i="3"/>
  <c r="J284" i="3"/>
  <c r="H284" i="3"/>
  <c r="G284" i="3"/>
  <c r="F284" i="3"/>
  <c r="E284" i="3"/>
  <c r="M204" i="3"/>
  <c r="L204" i="3"/>
  <c r="K204" i="3"/>
  <c r="H204" i="3"/>
  <c r="G204" i="3"/>
  <c r="F204" i="3"/>
  <c r="E204" i="3"/>
  <c r="J317" i="1" l="1"/>
  <c r="I284" i="3" s="1"/>
  <c r="D284" i="3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5" i="1"/>
  <c r="E115" i="1"/>
  <c r="D76" i="3" s="1"/>
  <c r="J112" i="1"/>
  <c r="I73" i="3" s="1"/>
  <c r="E112" i="1"/>
  <c r="D73" i="3" s="1"/>
  <c r="J44" i="1"/>
  <c r="I227" i="3" s="1"/>
  <c r="E44" i="1"/>
  <c r="D227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9" i="3" s="1"/>
  <c r="G150" i="3"/>
  <c r="G119" i="3" s="1"/>
  <c r="F150" i="3"/>
  <c r="F119" i="3" s="1"/>
  <c r="E150" i="3"/>
  <c r="E119" i="3" s="1"/>
  <c r="N149" i="3"/>
  <c r="M149" i="3"/>
  <c r="L149" i="3"/>
  <c r="K149" i="3"/>
  <c r="J149" i="3"/>
  <c r="H149" i="3"/>
  <c r="G149" i="3"/>
  <c r="F149" i="3"/>
  <c r="E149" i="3"/>
  <c r="J346" i="1"/>
  <c r="E346" i="1"/>
  <c r="N204" i="3"/>
  <c r="J204" i="3"/>
  <c r="P115" i="1" l="1"/>
  <c r="O76" i="3" s="1"/>
  <c r="P317" i="1"/>
  <c r="O284" i="3" s="1"/>
  <c r="P346" i="1"/>
  <c r="P44" i="1"/>
  <c r="O227" i="3" s="1"/>
  <c r="I76" i="3"/>
  <c r="P112" i="1"/>
  <c r="O73" i="3" s="1"/>
  <c r="J225" i="1"/>
  <c r="J195" i="1" s="1"/>
  <c r="I117" i="3" s="1"/>
  <c r="E225" i="1"/>
  <c r="J224" i="1"/>
  <c r="I149" i="3" s="1"/>
  <c r="E224" i="1"/>
  <c r="J77" i="1"/>
  <c r="E77" i="1"/>
  <c r="N79" i="3"/>
  <c r="N30" i="3" s="1"/>
  <c r="M79" i="3"/>
  <c r="M30" i="3" s="1"/>
  <c r="L79" i="3"/>
  <c r="L30" i="3" s="1"/>
  <c r="K79" i="3"/>
  <c r="K30" i="3" s="1"/>
  <c r="J79" i="3"/>
  <c r="J30" i="3" s="1"/>
  <c r="H79" i="3"/>
  <c r="H30" i="3" s="1"/>
  <c r="G79" i="3"/>
  <c r="G30" i="3" s="1"/>
  <c r="F79" i="3"/>
  <c r="F30" i="3" s="1"/>
  <c r="E79" i="3"/>
  <c r="E30" i="3" s="1"/>
  <c r="N78" i="3"/>
  <c r="M78" i="3"/>
  <c r="L78" i="3"/>
  <c r="K78" i="3"/>
  <c r="J78" i="3"/>
  <c r="H78" i="3"/>
  <c r="G78" i="3"/>
  <c r="F78" i="3"/>
  <c r="E78" i="3"/>
  <c r="N75" i="3"/>
  <c r="N29" i="3" s="1"/>
  <c r="M75" i="3"/>
  <c r="M29" i="3" s="1"/>
  <c r="L75" i="3"/>
  <c r="L29" i="3" s="1"/>
  <c r="K75" i="3"/>
  <c r="K29" i="3" s="1"/>
  <c r="J75" i="3"/>
  <c r="J29" i="3" s="1"/>
  <c r="H75" i="3"/>
  <c r="H29" i="3" s="1"/>
  <c r="G75" i="3"/>
  <c r="G29" i="3" s="1"/>
  <c r="F75" i="3"/>
  <c r="F29" i="3" s="1"/>
  <c r="E75" i="3"/>
  <c r="E29" i="3" s="1"/>
  <c r="N74" i="3"/>
  <c r="M74" i="3"/>
  <c r="L74" i="3"/>
  <c r="K74" i="3"/>
  <c r="J74" i="3"/>
  <c r="H74" i="3"/>
  <c r="G74" i="3"/>
  <c r="F74" i="3"/>
  <c r="E74" i="3"/>
  <c r="E118" i="1"/>
  <c r="E117" i="1"/>
  <c r="D78" i="3" s="1"/>
  <c r="E114" i="1"/>
  <c r="E113" i="1"/>
  <c r="D74" i="3" s="1"/>
  <c r="J118" i="1"/>
  <c r="J117" i="1"/>
  <c r="J114" i="1"/>
  <c r="J113" i="1"/>
  <c r="P117" i="1" l="1"/>
  <c r="O78" i="3" s="1"/>
  <c r="P113" i="1"/>
  <c r="O74" i="3" s="1"/>
  <c r="D150" i="3"/>
  <c r="D119" i="3" s="1"/>
  <c r="I150" i="3"/>
  <c r="I166" i="3"/>
  <c r="I162" i="3" s="1"/>
  <c r="P114" i="1"/>
  <c r="J75" i="1"/>
  <c r="P118" i="1"/>
  <c r="J74" i="1"/>
  <c r="D75" i="3"/>
  <c r="D29" i="3" s="1"/>
  <c r="E75" i="1"/>
  <c r="D79" i="3"/>
  <c r="D30" i="3" s="1"/>
  <c r="E74" i="1"/>
  <c r="P77" i="1"/>
  <c r="D166" i="3"/>
  <c r="D162" i="3" s="1"/>
  <c r="P224" i="1"/>
  <c r="O149" i="3" s="1"/>
  <c r="D149" i="3"/>
  <c r="P225" i="1"/>
  <c r="P195" i="1" s="1"/>
  <c r="O117" i="3" s="1"/>
  <c r="I74" i="3"/>
  <c r="I78" i="3"/>
  <c r="I75" i="3"/>
  <c r="I29" i="3" s="1"/>
  <c r="I79" i="3"/>
  <c r="I30" i="3" s="1"/>
  <c r="O150" i="3" l="1"/>
  <c r="O166" i="3"/>
  <c r="O162" i="3" s="1"/>
  <c r="O79" i="3"/>
  <c r="O30" i="3" s="1"/>
  <c r="O75" i="3"/>
  <c r="O29" i="3" s="1"/>
  <c r="E278" i="3"/>
  <c r="E277" i="3" s="1"/>
  <c r="F278" i="3"/>
  <c r="F277" i="3" s="1"/>
  <c r="G278" i="3"/>
  <c r="G277" i="3" s="1"/>
  <c r="H278" i="3"/>
  <c r="H277" i="3" s="1"/>
  <c r="J278" i="3"/>
  <c r="J277" i="3" s="1"/>
  <c r="K278" i="3"/>
  <c r="K277" i="3" s="1"/>
  <c r="L278" i="3"/>
  <c r="L277" i="3" s="1"/>
  <c r="M278" i="3"/>
  <c r="M277" i="3" s="1"/>
  <c r="N278" i="3"/>
  <c r="N277" i="3" s="1"/>
  <c r="E281" i="3"/>
  <c r="E279" i="3" s="1"/>
  <c r="F281" i="3"/>
  <c r="F279" i="3" s="1"/>
  <c r="G281" i="3"/>
  <c r="G279" i="3" s="1"/>
  <c r="H281" i="3"/>
  <c r="H279" i="3" s="1"/>
  <c r="J281" i="3"/>
  <c r="J279" i="3" s="1"/>
  <c r="K281" i="3"/>
  <c r="K279" i="3" s="1"/>
  <c r="L281" i="3"/>
  <c r="L279" i="3" s="1"/>
  <c r="M281" i="3"/>
  <c r="M279" i="3" s="1"/>
  <c r="N281" i="3"/>
  <c r="N279" i="3" s="1"/>
  <c r="E282" i="3"/>
  <c r="E280" i="3" s="1"/>
  <c r="E276" i="3" s="1"/>
  <c r="F282" i="3"/>
  <c r="F280" i="3" s="1"/>
  <c r="F276" i="3" s="1"/>
  <c r="G282" i="3"/>
  <c r="G280" i="3" s="1"/>
  <c r="G276" i="3" s="1"/>
  <c r="H282" i="3"/>
  <c r="H280" i="3" s="1"/>
  <c r="H276" i="3" s="1"/>
  <c r="J282" i="3"/>
  <c r="J280" i="3" s="1"/>
  <c r="J276" i="3" s="1"/>
  <c r="K282" i="3"/>
  <c r="K280" i="3" s="1"/>
  <c r="K276" i="3" s="1"/>
  <c r="L282" i="3"/>
  <c r="L280" i="3" s="1"/>
  <c r="L276" i="3" s="1"/>
  <c r="M282" i="3"/>
  <c r="M280" i="3" s="1"/>
  <c r="M276" i="3" s="1"/>
  <c r="N282" i="3"/>
  <c r="N280" i="3" s="1"/>
  <c r="N276" i="3" s="1"/>
  <c r="L283" i="3" l="1"/>
  <c r="L275" i="3" s="1"/>
  <c r="G283" i="3"/>
  <c r="G275" i="3" s="1"/>
  <c r="M283" i="3"/>
  <c r="M275" i="3" s="1"/>
  <c r="K283" i="3"/>
  <c r="K275" i="3" s="1"/>
  <c r="H283" i="3"/>
  <c r="H275" i="3" s="1"/>
  <c r="F283" i="3"/>
  <c r="F275" i="3" s="1"/>
  <c r="O260" i="1" l="1"/>
  <c r="N260" i="1"/>
  <c r="M260" i="1"/>
  <c r="L260" i="1"/>
  <c r="K260" i="1"/>
  <c r="I260" i="1"/>
  <c r="H260" i="1"/>
  <c r="G260" i="1"/>
  <c r="F260" i="1"/>
  <c r="O363" i="1"/>
  <c r="K363" i="1"/>
  <c r="K359" i="1" s="1"/>
  <c r="J364" i="1"/>
  <c r="O158" i="1"/>
  <c r="N158" i="1"/>
  <c r="M158" i="1"/>
  <c r="L158" i="1"/>
  <c r="K158" i="1"/>
  <c r="I158" i="1"/>
  <c r="H158" i="1"/>
  <c r="G158" i="1"/>
  <c r="F158" i="1"/>
  <c r="E76" i="1" l="1"/>
  <c r="O359" i="1"/>
  <c r="J363" i="1"/>
  <c r="E364" i="1"/>
  <c r="P364" i="1" l="1"/>
  <c r="N283" i="3"/>
  <c r="N275" i="3" s="1"/>
  <c r="J283" i="3"/>
  <c r="J275" i="3" s="1"/>
  <c r="F73" i="1"/>
  <c r="N57" i="3" l="1"/>
  <c r="M57" i="3"/>
  <c r="L57" i="3"/>
  <c r="K57" i="3"/>
  <c r="J57" i="3"/>
  <c r="H57" i="3"/>
  <c r="G57" i="3"/>
  <c r="F57" i="3"/>
  <c r="E57" i="3"/>
  <c r="J97" i="1"/>
  <c r="I57" i="3" s="1"/>
  <c r="E97" i="1"/>
  <c r="D57" i="3" s="1"/>
  <c r="N18" i="3"/>
  <c r="M18" i="3"/>
  <c r="L18" i="3"/>
  <c r="K18" i="3"/>
  <c r="J18" i="3"/>
  <c r="H18" i="3"/>
  <c r="G18" i="3"/>
  <c r="F18" i="3"/>
  <c r="E18" i="3"/>
  <c r="J268" i="1"/>
  <c r="E268" i="1"/>
  <c r="O240" i="1"/>
  <c r="K240" i="1"/>
  <c r="O239" i="1"/>
  <c r="K239" i="1"/>
  <c r="O237" i="1" l="1"/>
  <c r="K237" i="1"/>
  <c r="P268" i="1"/>
  <c r="P97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N23" i="3" s="1"/>
  <c r="M60" i="3"/>
  <c r="M23" i="3" s="1"/>
  <c r="L60" i="3"/>
  <c r="L23" i="3" s="1"/>
  <c r="K60" i="3"/>
  <c r="K23" i="3" s="1"/>
  <c r="J60" i="3"/>
  <c r="J23" i="3" s="1"/>
  <c r="H60" i="3"/>
  <c r="H23" i="3" s="1"/>
  <c r="G60" i="3"/>
  <c r="G23" i="3" s="1"/>
  <c r="F60" i="3"/>
  <c r="F23" i="3" s="1"/>
  <c r="E60" i="3"/>
  <c r="E23" i="3" s="1"/>
  <c r="N73" i="1"/>
  <c r="M73" i="1"/>
  <c r="L73" i="1"/>
  <c r="I73" i="1"/>
  <c r="H73" i="1"/>
  <c r="G73" i="1"/>
  <c r="J148" i="1"/>
  <c r="I282" i="3" s="1"/>
  <c r="I280" i="3" s="1"/>
  <c r="I276" i="3" s="1"/>
  <c r="J147" i="1"/>
  <c r="I281" i="3" s="1"/>
  <c r="I279" i="3" s="1"/>
  <c r="E148" i="1"/>
  <c r="E147" i="1"/>
  <c r="J100" i="1"/>
  <c r="J99" i="1"/>
  <c r="I59" i="3" s="1"/>
  <c r="E100" i="1"/>
  <c r="E99" i="1"/>
  <c r="O73" i="1"/>
  <c r="K73" i="1"/>
  <c r="P99" i="1" l="1"/>
  <c r="O59" i="3" s="1"/>
  <c r="P100" i="1"/>
  <c r="E69" i="1"/>
  <c r="I60" i="3"/>
  <c r="I23" i="3" s="1"/>
  <c r="J69" i="1"/>
  <c r="P147" i="1"/>
  <c r="O281" i="3" s="1"/>
  <c r="O279" i="3" s="1"/>
  <c r="P148" i="1"/>
  <c r="O282" i="3" s="1"/>
  <c r="O280" i="3" s="1"/>
  <c r="O276" i="3" s="1"/>
  <c r="D282" i="3"/>
  <c r="D280" i="3" s="1"/>
  <c r="D276" i="3" s="1"/>
  <c r="D60" i="3"/>
  <c r="D23" i="3" s="1"/>
  <c r="O57" i="3"/>
  <c r="D59" i="3"/>
  <c r="D281" i="3"/>
  <c r="D279" i="3" s="1"/>
  <c r="O60" i="3" l="1"/>
  <c r="O23" i="3" s="1"/>
  <c r="P69" i="1"/>
  <c r="J199" i="1"/>
  <c r="E199" i="1" l="1"/>
  <c r="P199" i="1" s="1"/>
  <c r="N58" i="3" l="1"/>
  <c r="N28" i="3" s="1"/>
  <c r="M58" i="3"/>
  <c r="M28" i="3" s="1"/>
  <c r="L58" i="3"/>
  <c r="L28" i="3" s="1"/>
  <c r="K58" i="3"/>
  <c r="K28" i="3" s="1"/>
  <c r="J58" i="3"/>
  <c r="J28" i="3" s="1"/>
  <c r="H58" i="3"/>
  <c r="H28" i="3" s="1"/>
  <c r="G58" i="3"/>
  <c r="G28" i="3" s="1"/>
  <c r="F58" i="3"/>
  <c r="F28" i="3" s="1"/>
  <c r="E58" i="3"/>
  <c r="E28" i="3" s="1"/>
  <c r="J98" i="1"/>
  <c r="J73" i="1" s="1"/>
  <c r="E98" i="1"/>
  <c r="E73" i="1" s="1"/>
  <c r="E283" i="3" l="1"/>
  <c r="E275" i="3" s="1"/>
  <c r="P98" i="1"/>
  <c r="D58" i="3"/>
  <c r="D28" i="3" s="1"/>
  <c r="I58" i="3"/>
  <c r="I28" i="3" s="1"/>
  <c r="O58" i="3" l="1"/>
  <c r="O28" i="3" s="1"/>
  <c r="N200" i="3" l="1"/>
  <c r="M200" i="3"/>
  <c r="L200" i="3"/>
  <c r="K200" i="3"/>
  <c r="J200" i="3"/>
  <c r="H200" i="3"/>
  <c r="G200" i="3"/>
  <c r="F200" i="3"/>
  <c r="E200" i="3"/>
  <c r="K157" i="1" l="1"/>
  <c r="N56" i="3" l="1"/>
  <c r="M56" i="3"/>
  <c r="L56" i="3"/>
  <c r="K56" i="3"/>
  <c r="J56" i="3"/>
  <c r="H56" i="3"/>
  <c r="G56" i="3"/>
  <c r="F56" i="3"/>
  <c r="E56" i="3"/>
  <c r="J96" i="1"/>
  <c r="I56" i="3" s="1"/>
  <c r="E96" i="1"/>
  <c r="J357" i="1"/>
  <c r="E357" i="1"/>
  <c r="D56" i="3" l="1"/>
  <c r="P357" i="1"/>
  <c r="P96" i="1"/>
  <c r="O56" i="3" s="1"/>
  <c r="J150" i="1"/>
  <c r="E150" i="1" l="1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E82" i="3"/>
  <c r="I83" i="3"/>
  <c r="I82" i="3"/>
  <c r="E122" i="1"/>
  <c r="E80" i="1" s="1"/>
  <c r="E121" i="1"/>
  <c r="G34" i="3" l="1"/>
  <c r="L34" i="3"/>
  <c r="H34" i="3"/>
  <c r="M34" i="3"/>
  <c r="E34" i="3"/>
  <c r="J34" i="3"/>
  <c r="N34" i="3"/>
  <c r="I34" i="3"/>
  <c r="F34" i="3"/>
  <c r="K34" i="3"/>
  <c r="D82" i="3"/>
  <c r="P121" i="1"/>
  <c r="D83" i="3"/>
  <c r="P122" i="1"/>
  <c r="P74" i="1" s="1"/>
  <c r="P150" i="1"/>
  <c r="O82" i="3" l="1"/>
  <c r="P73" i="1"/>
  <c r="O83" i="3"/>
  <c r="P80" i="1"/>
  <c r="D34" i="3"/>
  <c r="N62" i="3"/>
  <c r="M62" i="3"/>
  <c r="L62" i="3"/>
  <c r="K62" i="3"/>
  <c r="J62" i="3"/>
  <c r="H62" i="3"/>
  <c r="G62" i="3"/>
  <c r="F62" i="3"/>
  <c r="E62" i="3"/>
  <c r="E248" i="1"/>
  <c r="J248" i="1"/>
  <c r="I62" i="3" s="1"/>
  <c r="O34" i="3" l="1"/>
  <c r="D62" i="3"/>
  <c r="P248" i="1"/>
  <c r="O62" i="3" s="1"/>
  <c r="N165" i="3" l="1"/>
  <c r="M165" i="3"/>
  <c r="L165" i="3"/>
  <c r="K165" i="3"/>
  <c r="J165" i="3"/>
  <c r="H165" i="3"/>
  <c r="G165" i="3"/>
  <c r="F165" i="3"/>
  <c r="E165" i="3"/>
  <c r="N81" i="3"/>
  <c r="N26" i="3" s="1"/>
  <c r="M81" i="3"/>
  <c r="M26" i="3" s="1"/>
  <c r="L81" i="3"/>
  <c r="L26" i="3" s="1"/>
  <c r="K81" i="3"/>
  <c r="K26" i="3" s="1"/>
  <c r="J81" i="3"/>
  <c r="J26" i="3" s="1"/>
  <c r="H81" i="3"/>
  <c r="H26" i="3" s="1"/>
  <c r="G81" i="3"/>
  <c r="G26" i="3" s="1"/>
  <c r="F81" i="3"/>
  <c r="F26" i="3" s="1"/>
  <c r="E81" i="3"/>
  <c r="E26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4" i="3" s="1"/>
  <c r="M51" i="3"/>
  <c r="M24" i="3" s="1"/>
  <c r="L51" i="3"/>
  <c r="L24" i="3" s="1"/>
  <c r="K51" i="3"/>
  <c r="K24" i="3" s="1"/>
  <c r="J51" i="3"/>
  <c r="J24" i="3" s="1"/>
  <c r="H51" i="3"/>
  <c r="H24" i="3" s="1"/>
  <c r="G51" i="3"/>
  <c r="G24" i="3" s="1"/>
  <c r="F51" i="3"/>
  <c r="F24" i="3" s="1"/>
  <c r="E51" i="3"/>
  <c r="E24" i="3" s="1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1" i="3" l="1"/>
  <c r="J21" i="3"/>
  <c r="N21" i="3"/>
  <c r="F21" i="3"/>
  <c r="K21" i="3"/>
  <c r="G21" i="3"/>
  <c r="L21" i="3"/>
  <c r="H21" i="3"/>
  <c r="M21" i="3"/>
  <c r="E22" i="3"/>
  <c r="G22" i="3"/>
  <c r="J22" i="3"/>
  <c r="L22" i="3"/>
  <c r="N22" i="3"/>
  <c r="F22" i="3"/>
  <c r="H22" i="3"/>
  <c r="K22" i="3"/>
  <c r="M22" i="3"/>
  <c r="J131" i="1"/>
  <c r="E131" i="1"/>
  <c r="P123" i="1"/>
  <c r="P75" i="1" s="1"/>
  <c r="P131" i="1" l="1"/>
  <c r="P140" i="1"/>
  <c r="P146" i="1"/>
  <c r="P130" i="1"/>
  <c r="O72" i="1"/>
  <c r="N72" i="1"/>
  <c r="M72" i="1"/>
  <c r="L72" i="1"/>
  <c r="K72" i="1"/>
  <c r="I72" i="1"/>
  <c r="H72" i="1"/>
  <c r="G72" i="1"/>
  <c r="F72" i="1"/>
  <c r="J110" i="1"/>
  <c r="I71" i="3" s="1"/>
  <c r="E110" i="1"/>
  <c r="J93" i="1"/>
  <c r="I53" i="3" s="1"/>
  <c r="E93" i="1"/>
  <c r="D53" i="3" l="1"/>
  <c r="E67" i="1"/>
  <c r="E416" i="1" s="1"/>
  <c r="D71" i="3"/>
  <c r="P110" i="1"/>
  <c r="O71" i="3" s="1"/>
  <c r="P93" i="1"/>
  <c r="O53" i="3" s="1"/>
  <c r="D250" i="1" l="1"/>
  <c r="N205" i="3" l="1"/>
  <c r="N208" i="3"/>
  <c r="M208" i="3"/>
  <c r="L208" i="3"/>
  <c r="K208" i="3"/>
  <c r="J208" i="3"/>
  <c r="H208" i="3"/>
  <c r="G208" i="3"/>
  <c r="F208" i="3"/>
  <c r="E208" i="3"/>
  <c r="O246" i="1"/>
  <c r="N246" i="1"/>
  <c r="M246" i="1"/>
  <c r="L246" i="1"/>
  <c r="K246" i="1"/>
  <c r="I246" i="1"/>
  <c r="H246" i="1"/>
  <c r="G246" i="1"/>
  <c r="F246" i="1"/>
  <c r="N244" i="3"/>
  <c r="M244" i="3"/>
  <c r="L244" i="3"/>
  <c r="K244" i="3"/>
  <c r="J244" i="3"/>
  <c r="H244" i="3"/>
  <c r="G244" i="3"/>
  <c r="F244" i="3"/>
  <c r="E244" i="3"/>
  <c r="O263" i="1"/>
  <c r="N263" i="1"/>
  <c r="M263" i="1"/>
  <c r="L263" i="1"/>
  <c r="K263" i="1"/>
  <c r="I263" i="1"/>
  <c r="H263" i="1"/>
  <c r="G263" i="1"/>
  <c r="F263" i="1"/>
  <c r="E363" i="1"/>
  <c r="E307" i="1"/>
  <c r="D244" i="3" s="1"/>
  <c r="J307" i="1"/>
  <c r="I244" i="3" s="1"/>
  <c r="E253" i="1"/>
  <c r="D204" i="3" s="1"/>
  <c r="J253" i="1"/>
  <c r="I204" i="3" s="1"/>
  <c r="D208" i="3" l="1"/>
  <c r="I208" i="3"/>
  <c r="P253" i="1"/>
  <c r="O204" i="3" s="1"/>
  <c r="P307" i="1"/>
  <c r="E263" i="1"/>
  <c r="P363" i="1"/>
  <c r="J263" i="1"/>
  <c r="E17" i="3"/>
  <c r="F17" i="3"/>
  <c r="G17" i="3"/>
  <c r="H17" i="3"/>
  <c r="J17" i="3"/>
  <c r="K17" i="3"/>
  <c r="L17" i="3"/>
  <c r="M17" i="3"/>
  <c r="N17" i="3"/>
  <c r="O208" i="3" l="1"/>
  <c r="O244" i="3"/>
  <c r="P263" i="1"/>
  <c r="N230" i="3"/>
  <c r="M230" i="3"/>
  <c r="L230" i="3"/>
  <c r="K230" i="3"/>
  <c r="J230" i="3"/>
  <c r="H230" i="3"/>
  <c r="G230" i="3"/>
  <c r="F230" i="3"/>
  <c r="E230" i="3"/>
  <c r="J46" i="1" l="1"/>
  <c r="E46" i="1"/>
  <c r="J18" i="1"/>
  <c r="I17" i="3" s="1"/>
  <c r="E18" i="1"/>
  <c r="I230" i="3" l="1"/>
  <c r="D230" i="3"/>
  <c r="P46" i="1"/>
  <c r="O230" i="3" s="1"/>
  <c r="P18" i="1"/>
  <c r="O17" i="3" s="1"/>
  <c r="D17" i="3"/>
  <c r="F238" i="1" l="1"/>
  <c r="G238" i="1"/>
  <c r="H238" i="1"/>
  <c r="I238" i="1"/>
  <c r="K238" i="1"/>
  <c r="L238" i="1"/>
  <c r="M238" i="1"/>
  <c r="N238" i="1"/>
  <c r="O238" i="1"/>
  <c r="E101" i="3" l="1"/>
  <c r="F101" i="3"/>
  <c r="G101" i="3"/>
  <c r="H101" i="3"/>
  <c r="J101" i="3"/>
  <c r="K101" i="3"/>
  <c r="L101" i="3"/>
  <c r="M101" i="3"/>
  <c r="N101" i="3"/>
  <c r="I101" i="3" l="1"/>
  <c r="D168" i="1"/>
  <c r="O101" i="3" l="1"/>
  <c r="D101" i="3"/>
  <c r="E229" i="3"/>
  <c r="F229" i="3"/>
  <c r="G229" i="3"/>
  <c r="H229" i="3"/>
  <c r="J229" i="3"/>
  <c r="K229" i="3"/>
  <c r="L229" i="3"/>
  <c r="M229" i="3"/>
  <c r="N229" i="3"/>
  <c r="F259" i="1"/>
  <c r="G259" i="1"/>
  <c r="H259" i="1"/>
  <c r="I259" i="1"/>
  <c r="K259" i="1"/>
  <c r="L259" i="1"/>
  <c r="M259" i="1"/>
  <c r="N259" i="1"/>
  <c r="O259" i="1"/>
  <c r="D229" i="3" l="1"/>
  <c r="D223" i="3"/>
  <c r="J259" i="1"/>
  <c r="I223" i="3"/>
  <c r="E259" i="1"/>
  <c r="O223" i="3"/>
  <c r="I229" i="3"/>
  <c r="E244" i="1"/>
  <c r="J244" i="1"/>
  <c r="I181" i="3" s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9" i="3" s="1"/>
  <c r="K152" i="3"/>
  <c r="K119" i="3" s="1"/>
  <c r="L152" i="3"/>
  <c r="L119" i="3" s="1"/>
  <c r="M152" i="3"/>
  <c r="M119" i="3" s="1"/>
  <c r="N152" i="3"/>
  <c r="N119" i="3" s="1"/>
  <c r="E223" i="1"/>
  <c r="E222" i="1"/>
  <c r="D147" i="3" s="1"/>
  <c r="J223" i="1"/>
  <c r="J194" i="1" s="1"/>
  <c r="I147" i="3"/>
  <c r="E171" i="3"/>
  <c r="F171" i="3"/>
  <c r="G171" i="3"/>
  <c r="H171" i="3"/>
  <c r="J171" i="3"/>
  <c r="K171" i="3"/>
  <c r="L171" i="3"/>
  <c r="M171" i="3"/>
  <c r="N171" i="3"/>
  <c r="J226" i="1"/>
  <c r="J227" i="1"/>
  <c r="E226" i="1"/>
  <c r="E227" i="1"/>
  <c r="J19" i="1"/>
  <c r="J20" i="1"/>
  <c r="J21" i="1"/>
  <c r="J16" i="1" s="1"/>
  <c r="E21" i="1"/>
  <c r="D20" i="3" s="1"/>
  <c r="D15" i="3" s="1"/>
  <c r="D16" i="1"/>
  <c r="D21" i="1"/>
  <c r="E20" i="3"/>
  <c r="E15" i="3" s="1"/>
  <c r="F20" i="3"/>
  <c r="F15" i="3" s="1"/>
  <c r="G20" i="3"/>
  <c r="G15" i="3" s="1"/>
  <c r="H20" i="3"/>
  <c r="H15" i="3" s="1"/>
  <c r="J20" i="3"/>
  <c r="J15" i="3" s="1"/>
  <c r="K20" i="3"/>
  <c r="K15" i="3" s="1"/>
  <c r="L20" i="3"/>
  <c r="L15" i="3" s="1"/>
  <c r="M20" i="3"/>
  <c r="M15" i="3" s="1"/>
  <c r="N20" i="3"/>
  <c r="N15" i="3" s="1"/>
  <c r="F16" i="1"/>
  <c r="G16" i="1"/>
  <c r="H16" i="1"/>
  <c r="I16" i="1"/>
  <c r="K16" i="1"/>
  <c r="L16" i="1"/>
  <c r="M16" i="1"/>
  <c r="N16" i="1"/>
  <c r="O16" i="1"/>
  <c r="I20" i="3" l="1"/>
  <c r="I15" i="3" s="1"/>
  <c r="I151" i="3"/>
  <c r="J197" i="1"/>
  <c r="D151" i="3"/>
  <c r="E197" i="1"/>
  <c r="I18" i="3"/>
  <c r="E238" i="1"/>
  <c r="D181" i="3"/>
  <c r="D171" i="3" s="1"/>
  <c r="D148" i="3"/>
  <c r="N116" i="3"/>
  <c r="L116" i="3"/>
  <c r="J116" i="3"/>
  <c r="G116" i="3"/>
  <c r="E116" i="3"/>
  <c r="M116" i="3"/>
  <c r="K116" i="3"/>
  <c r="H116" i="3"/>
  <c r="F116" i="3"/>
  <c r="P259" i="1"/>
  <c r="O229" i="3"/>
  <c r="P244" i="1"/>
  <c r="J238" i="1"/>
  <c r="P223" i="1"/>
  <c r="P194" i="1" s="1"/>
  <c r="I171" i="3"/>
  <c r="D152" i="3"/>
  <c r="I148" i="3"/>
  <c r="I152" i="3"/>
  <c r="I119" i="3" s="1"/>
  <c r="P222" i="1"/>
  <c r="P226" i="1"/>
  <c r="E194" i="1"/>
  <c r="P227" i="1"/>
  <c r="E195" i="1"/>
  <c r="D117" i="3" s="1"/>
  <c r="P21" i="1"/>
  <c r="P16" i="1" s="1"/>
  <c r="E16" i="1"/>
  <c r="O151" i="3" l="1"/>
  <c r="P197" i="1"/>
  <c r="P238" i="1"/>
  <c r="O181" i="3"/>
  <c r="D116" i="3"/>
  <c r="O148" i="3"/>
  <c r="I116" i="3"/>
  <c r="O147" i="3"/>
  <c r="O152" i="3"/>
  <c r="O119" i="3" s="1"/>
  <c r="O20" i="3"/>
  <c r="O15" i="3" s="1"/>
  <c r="O116" i="3" l="1"/>
  <c r="O171" i="3"/>
  <c r="J243" i="1"/>
  <c r="E243" i="1"/>
  <c r="E355" i="1"/>
  <c r="E353" i="1"/>
  <c r="D215" i="3" s="1"/>
  <c r="N19" i="3"/>
  <c r="M19" i="3"/>
  <c r="L19" i="3"/>
  <c r="K19" i="3"/>
  <c r="J19" i="3"/>
  <c r="H19" i="3"/>
  <c r="G19" i="3"/>
  <c r="F19" i="3"/>
  <c r="E19" i="3"/>
  <c r="I19" i="3"/>
  <c r="E20" i="1"/>
  <c r="D180" i="3" l="1"/>
  <c r="I180" i="3"/>
  <c r="P243" i="1"/>
  <c r="P20" i="1"/>
  <c r="D19" i="3"/>
  <c r="J190" i="1"/>
  <c r="E190" i="1"/>
  <c r="O180" i="3" l="1"/>
  <c r="O19" i="3"/>
  <c r="P190" i="1"/>
  <c r="J353" i="1" l="1"/>
  <c r="I215" i="3" s="1"/>
  <c r="P353" i="1" l="1"/>
  <c r="O215" i="3" s="1"/>
  <c r="J107" i="1" l="1"/>
  <c r="E107" i="1"/>
  <c r="D68" i="3" l="1"/>
  <c r="I68" i="3"/>
  <c r="J71" i="1"/>
  <c r="P107" i="1"/>
  <c r="O68" i="3" l="1"/>
  <c r="M234" i="3"/>
  <c r="L234" i="3"/>
  <c r="K234" i="3"/>
  <c r="H235" i="3"/>
  <c r="H234" i="3" s="1"/>
  <c r="G235" i="3"/>
  <c r="G234" i="3" s="1"/>
  <c r="F235" i="3"/>
  <c r="F234" i="3" s="1"/>
  <c r="J349" i="1" l="1"/>
  <c r="E349" i="1"/>
  <c r="E347" i="1"/>
  <c r="N234" i="3"/>
  <c r="J234" i="3"/>
  <c r="I207" i="3" l="1"/>
  <c r="P349" i="1"/>
  <c r="O155" i="1" l="1"/>
  <c r="N155" i="1"/>
  <c r="M155" i="1"/>
  <c r="L155" i="1"/>
  <c r="K155" i="1"/>
  <c r="I155" i="1"/>
  <c r="H155" i="1"/>
  <c r="G155" i="1"/>
  <c r="F155" i="1"/>
  <c r="J184" i="1"/>
  <c r="J185" i="1"/>
  <c r="E184" i="1"/>
  <c r="E185" i="1"/>
  <c r="J158" i="1" l="1"/>
  <c r="E155" i="1"/>
  <c r="E158" i="1"/>
  <c r="P185" i="1"/>
  <c r="P184" i="1"/>
  <c r="J155" i="1"/>
  <c r="P155" i="1" l="1"/>
  <c r="P158" i="1"/>
  <c r="D285" i="1"/>
  <c r="N240" i="3" l="1"/>
  <c r="M240" i="3"/>
  <c r="L240" i="3"/>
  <c r="K240" i="3"/>
  <c r="J240" i="3"/>
  <c r="H240" i="3"/>
  <c r="G240" i="3"/>
  <c r="F240" i="3"/>
  <c r="E240" i="3"/>
  <c r="F237" i="3" l="1"/>
  <c r="F191" i="3" s="1"/>
  <c r="F292" i="3" s="1"/>
  <c r="H237" i="3"/>
  <c r="H191" i="3" s="1"/>
  <c r="H292" i="3" s="1"/>
  <c r="K237" i="3"/>
  <c r="K191" i="3" s="1"/>
  <c r="K292" i="3" s="1"/>
  <c r="M237" i="3"/>
  <c r="M191" i="3" s="1"/>
  <c r="M292" i="3" s="1"/>
  <c r="E237" i="3"/>
  <c r="E191" i="3" s="1"/>
  <c r="E292" i="3" s="1"/>
  <c r="G237" i="3"/>
  <c r="G191" i="3" s="1"/>
  <c r="G292" i="3" s="1"/>
  <c r="L237" i="3"/>
  <c r="L191" i="3" s="1"/>
  <c r="L292" i="3" s="1"/>
  <c r="N237" i="3"/>
  <c r="N191" i="3" s="1"/>
  <c r="N292" i="3" s="1"/>
  <c r="J237" i="3"/>
  <c r="J191" i="3" s="1"/>
  <c r="J292" i="3" s="1"/>
  <c r="O160" i="1"/>
  <c r="N160" i="1"/>
  <c r="M160" i="1"/>
  <c r="L160" i="1"/>
  <c r="K160" i="1"/>
  <c r="I160" i="1"/>
  <c r="H160" i="1"/>
  <c r="G160" i="1"/>
  <c r="F160" i="1"/>
  <c r="O332" i="1"/>
  <c r="N332" i="1"/>
  <c r="M332" i="1"/>
  <c r="L332" i="1"/>
  <c r="K332" i="1"/>
  <c r="I332" i="1"/>
  <c r="H332" i="1"/>
  <c r="G332" i="1"/>
  <c r="F332" i="1"/>
  <c r="E332" i="1"/>
  <c r="H419" i="1" l="1"/>
  <c r="G303" i="3" s="1"/>
  <c r="M419" i="1"/>
  <c r="L303" i="3" s="1"/>
  <c r="F419" i="1"/>
  <c r="E303" i="3" s="1"/>
  <c r="K419" i="1"/>
  <c r="O419" i="1"/>
  <c r="N303" i="3" s="1"/>
  <c r="G419" i="1"/>
  <c r="F303" i="3" s="1"/>
  <c r="I419" i="1"/>
  <c r="H303" i="3" s="1"/>
  <c r="L419" i="1"/>
  <c r="N419" i="1"/>
  <c r="M303" i="3" s="1"/>
  <c r="J303" i="3" l="1"/>
  <c r="K303" i="3"/>
  <c r="H432" i="1"/>
  <c r="G432" i="1"/>
  <c r="K432" i="1"/>
  <c r="M432" i="1"/>
  <c r="L432" i="1"/>
  <c r="N432" i="1"/>
  <c r="I432" i="1"/>
  <c r="O432" i="1"/>
  <c r="F432" i="1"/>
  <c r="M425" i="1"/>
  <c r="L425" i="1"/>
  <c r="H425" i="1"/>
  <c r="I425" i="1"/>
  <c r="G425" i="1"/>
  <c r="F425" i="1"/>
  <c r="K425" i="1"/>
  <c r="N425" i="1"/>
  <c r="O425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31" i="1" l="1"/>
  <c r="I203" i="3" s="1"/>
  <c r="E231" i="1"/>
  <c r="D203" i="3" s="1"/>
  <c r="J182" i="1"/>
  <c r="E182" i="1"/>
  <c r="E41" i="1"/>
  <c r="E40" i="1"/>
  <c r="J41" i="1"/>
  <c r="P41" i="1" l="1"/>
  <c r="D205" i="3"/>
  <c r="P40" i="1"/>
  <c r="P182" i="1"/>
  <c r="P231" i="1"/>
  <c r="O203" i="3" s="1"/>
  <c r="N206" i="3"/>
  <c r="J206" i="3"/>
  <c r="E187" i="1" l="1"/>
  <c r="J187" i="1"/>
  <c r="J160" i="1" l="1"/>
  <c r="D240" i="3"/>
  <c r="E160" i="1"/>
  <c r="E419" i="1" s="1"/>
  <c r="P187" i="1"/>
  <c r="J355" i="1"/>
  <c r="J332" i="1" s="1"/>
  <c r="J419" i="1" l="1"/>
  <c r="D237" i="3"/>
  <c r="I240" i="3"/>
  <c r="P160" i="1"/>
  <c r="P355" i="1"/>
  <c r="P332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23" i="3"/>
  <c r="M123" i="3"/>
  <c r="L123" i="3"/>
  <c r="K123" i="3"/>
  <c r="J123" i="3"/>
  <c r="H123" i="3"/>
  <c r="G123" i="3"/>
  <c r="F123" i="3"/>
  <c r="N112" i="3"/>
  <c r="M112" i="3"/>
  <c r="L112" i="3"/>
  <c r="K112" i="3"/>
  <c r="J112" i="3"/>
  <c r="H112" i="3"/>
  <c r="G112" i="3"/>
  <c r="F112" i="3"/>
  <c r="E112" i="3"/>
  <c r="N111" i="3"/>
  <c r="M111" i="3"/>
  <c r="L111" i="3"/>
  <c r="K111" i="3"/>
  <c r="J111" i="3"/>
  <c r="H111" i="3"/>
  <c r="G111" i="3"/>
  <c r="F111" i="3"/>
  <c r="E111" i="3"/>
  <c r="N109" i="3"/>
  <c r="N93" i="3" s="1"/>
  <c r="M109" i="3"/>
  <c r="L109" i="3"/>
  <c r="K109" i="3"/>
  <c r="J109" i="3"/>
  <c r="J93" i="3" s="1"/>
  <c r="H109" i="3"/>
  <c r="G109" i="3"/>
  <c r="F109" i="3"/>
  <c r="E109" i="3"/>
  <c r="E93" i="3" s="1"/>
  <c r="N107" i="3"/>
  <c r="M107" i="3"/>
  <c r="L107" i="3"/>
  <c r="K107" i="3"/>
  <c r="J107" i="3"/>
  <c r="H107" i="3"/>
  <c r="G107" i="3"/>
  <c r="F107" i="3"/>
  <c r="E107" i="3"/>
  <c r="N104" i="3"/>
  <c r="M104" i="3"/>
  <c r="L104" i="3"/>
  <c r="K104" i="3"/>
  <c r="J104" i="3"/>
  <c r="I104" i="3"/>
  <c r="H104" i="3"/>
  <c r="G104" i="3"/>
  <c r="F104" i="3"/>
  <c r="E104" i="3"/>
  <c r="N99" i="3"/>
  <c r="M99" i="3"/>
  <c r="L99" i="3"/>
  <c r="K99" i="3"/>
  <c r="K92" i="3" s="1"/>
  <c r="J99" i="3"/>
  <c r="H99" i="3"/>
  <c r="G99" i="3"/>
  <c r="F99" i="3"/>
  <c r="F92" i="3" s="1"/>
  <c r="N98" i="3"/>
  <c r="M98" i="3"/>
  <c r="L98" i="3"/>
  <c r="K98" i="3"/>
  <c r="J98" i="3"/>
  <c r="H98" i="3"/>
  <c r="G98" i="3"/>
  <c r="F98" i="3"/>
  <c r="E98" i="3"/>
  <c r="O154" i="1"/>
  <c r="N154" i="1"/>
  <c r="M154" i="1"/>
  <c r="L154" i="1"/>
  <c r="K154" i="1"/>
  <c r="I154" i="1"/>
  <c r="H154" i="1"/>
  <c r="G154" i="1"/>
  <c r="F154" i="1"/>
  <c r="J91" i="3" l="1"/>
  <c r="N91" i="3"/>
  <c r="F93" i="3"/>
  <c r="K93" i="3"/>
  <c r="G92" i="3"/>
  <c r="L92" i="3"/>
  <c r="E91" i="3"/>
  <c r="J92" i="3"/>
  <c r="N92" i="3"/>
  <c r="G91" i="3"/>
  <c r="M91" i="3"/>
  <c r="H93" i="3"/>
  <c r="M93" i="3"/>
  <c r="F91" i="3"/>
  <c r="K91" i="3"/>
  <c r="L91" i="3"/>
  <c r="G93" i="3"/>
  <c r="L93" i="3"/>
  <c r="H91" i="3"/>
  <c r="H92" i="3"/>
  <c r="M92" i="3"/>
  <c r="L446" i="1"/>
  <c r="P419" i="1"/>
  <c r="F118" i="3"/>
  <c r="H118" i="3"/>
  <c r="K118" i="3"/>
  <c r="M118" i="3"/>
  <c r="G118" i="3"/>
  <c r="J118" i="3"/>
  <c r="L118" i="3"/>
  <c r="N118" i="3"/>
  <c r="D191" i="3"/>
  <c r="D292" i="3" s="1"/>
  <c r="I237" i="3"/>
  <c r="I191" i="3" s="1"/>
  <c r="I292" i="3" s="1"/>
  <c r="O240" i="3"/>
  <c r="I303" i="3" l="1"/>
  <c r="D303" i="3"/>
  <c r="J432" i="1"/>
  <c r="E432" i="1"/>
  <c r="E425" i="1"/>
  <c r="J425" i="1"/>
  <c r="O237" i="3"/>
  <c r="O191" i="3" s="1"/>
  <c r="O292" i="3" s="1"/>
  <c r="O303" i="3" l="1"/>
  <c r="P432" i="1"/>
  <c r="P425" i="1"/>
  <c r="O156" i="1"/>
  <c r="N156" i="1"/>
  <c r="M156" i="1"/>
  <c r="L156" i="1"/>
  <c r="K156" i="1"/>
  <c r="I156" i="1"/>
  <c r="H156" i="1"/>
  <c r="G156" i="1"/>
  <c r="O157" i="1" l="1"/>
  <c r="N157" i="1"/>
  <c r="M157" i="1"/>
  <c r="L157" i="1"/>
  <c r="I157" i="1"/>
  <c r="H157" i="1"/>
  <c r="G157" i="1"/>
  <c r="I99" i="3"/>
  <c r="I98" i="3"/>
  <c r="D98" i="3"/>
  <c r="J174" i="1"/>
  <c r="I107" i="3" s="1"/>
  <c r="E174" i="1"/>
  <c r="D107" i="3" s="1"/>
  <c r="E171" i="1"/>
  <c r="P171" i="1" s="1"/>
  <c r="I91" i="3" l="1"/>
  <c r="F156" i="1"/>
  <c r="E99" i="3"/>
  <c r="E92" i="3" s="1"/>
  <c r="O104" i="3"/>
  <c r="D104" i="3"/>
  <c r="D91" i="3" s="1"/>
  <c r="E154" i="1"/>
  <c r="J154" i="1"/>
  <c r="P174" i="1"/>
  <c r="O107" i="3" s="1"/>
  <c r="O98" i="3"/>
  <c r="O91" i="3" l="1"/>
  <c r="O99" i="3"/>
  <c r="D99" i="3"/>
  <c r="P154" i="1"/>
  <c r="N222" i="3"/>
  <c r="M222" i="3"/>
  <c r="L222" i="3"/>
  <c r="K222" i="3"/>
  <c r="J222" i="3"/>
  <c r="H222" i="3"/>
  <c r="G222" i="3"/>
  <c r="F222" i="3"/>
  <c r="E222" i="3"/>
  <c r="N196" i="3"/>
  <c r="N289" i="3" s="1"/>
  <c r="M196" i="3"/>
  <c r="M289" i="3" s="1"/>
  <c r="L196" i="3"/>
  <c r="L289" i="3" s="1"/>
  <c r="K196" i="3"/>
  <c r="K289" i="3" s="1"/>
  <c r="J196" i="3"/>
  <c r="J289" i="3" s="1"/>
  <c r="H196" i="3"/>
  <c r="H289" i="3" s="1"/>
  <c r="G196" i="3"/>
  <c r="G289" i="3" s="1"/>
  <c r="F196" i="3"/>
  <c r="F289" i="3" s="1"/>
  <c r="E196" i="3"/>
  <c r="E289" i="3" s="1"/>
  <c r="H300" i="3" l="1"/>
  <c r="M300" i="3"/>
  <c r="E300" i="3"/>
  <c r="J300" i="3"/>
  <c r="N300" i="3"/>
  <c r="F300" i="3"/>
  <c r="K300" i="3"/>
  <c r="G300" i="3"/>
  <c r="G430" i="1"/>
  <c r="I430" i="1"/>
  <c r="L430" i="1"/>
  <c r="N430" i="1"/>
  <c r="F430" i="1"/>
  <c r="H430" i="1"/>
  <c r="O430" i="1"/>
  <c r="F186" i="3"/>
  <c r="H186" i="3"/>
  <c r="K186" i="3"/>
  <c r="M186" i="3"/>
  <c r="E186" i="3"/>
  <c r="G186" i="3"/>
  <c r="J186" i="3"/>
  <c r="L186" i="3"/>
  <c r="N186" i="3"/>
  <c r="I212" i="3"/>
  <c r="D212" i="3"/>
  <c r="J230" i="1"/>
  <c r="I155" i="3" s="1"/>
  <c r="J216" i="1"/>
  <c r="I141" i="3" s="1"/>
  <c r="E216" i="1"/>
  <c r="D141" i="3" s="1"/>
  <c r="J214" i="1"/>
  <c r="I139" i="3" s="1"/>
  <c r="E214" i="1"/>
  <c r="D139" i="3" s="1"/>
  <c r="J209" i="1"/>
  <c r="I129" i="3" s="1"/>
  <c r="E209" i="1"/>
  <c r="D129" i="3" s="1"/>
  <c r="J207" i="1"/>
  <c r="I127" i="3" s="1"/>
  <c r="E207" i="1"/>
  <c r="D127" i="3" s="1"/>
  <c r="J203" i="1"/>
  <c r="J179" i="1"/>
  <c r="I112" i="3" s="1"/>
  <c r="E179" i="1"/>
  <c r="J178" i="1"/>
  <c r="E178" i="1"/>
  <c r="J176" i="1"/>
  <c r="I109" i="3" s="1"/>
  <c r="I93" i="3" s="1"/>
  <c r="E176" i="1"/>
  <c r="E120" i="1"/>
  <c r="J106" i="1"/>
  <c r="I67" i="3" s="1"/>
  <c r="D67" i="3"/>
  <c r="J91" i="1"/>
  <c r="E91" i="1"/>
  <c r="E70" i="1" s="1"/>
  <c r="J90" i="1"/>
  <c r="J67" i="1" s="1"/>
  <c r="J416" i="1" s="1"/>
  <c r="J87" i="1"/>
  <c r="I46" i="3" s="1"/>
  <c r="I51" i="3" l="1"/>
  <c r="I24" i="3" s="1"/>
  <c r="J70" i="1"/>
  <c r="F435" i="1"/>
  <c r="K430" i="1"/>
  <c r="L300" i="3"/>
  <c r="M430" i="1"/>
  <c r="E72" i="1"/>
  <c r="P120" i="1"/>
  <c r="P72" i="1" s="1"/>
  <c r="J196" i="1"/>
  <c r="D51" i="3"/>
  <c r="D24" i="3" s="1"/>
  <c r="I50" i="3"/>
  <c r="I22" i="3" s="1"/>
  <c r="D50" i="3"/>
  <c r="D22" i="3" s="1"/>
  <c r="J260" i="1"/>
  <c r="E260" i="1"/>
  <c r="D196" i="3"/>
  <c r="D112" i="3"/>
  <c r="E157" i="1"/>
  <c r="D109" i="3"/>
  <c r="J72" i="1"/>
  <c r="I81" i="3"/>
  <c r="I26" i="3" s="1"/>
  <c r="D81" i="3"/>
  <c r="D26" i="3" s="1"/>
  <c r="E203" i="1"/>
  <c r="E123" i="3"/>
  <c r="E230" i="1"/>
  <c r="E155" i="3"/>
  <c r="I123" i="3"/>
  <c r="I118" i="3" s="1"/>
  <c r="E156" i="1"/>
  <c r="D111" i="3"/>
  <c r="D92" i="3" s="1"/>
  <c r="J156" i="1"/>
  <c r="I111" i="3"/>
  <c r="I92" i="3" s="1"/>
  <c r="O212" i="3"/>
  <c r="J157" i="1"/>
  <c r="E87" i="1"/>
  <c r="D46" i="3" s="1"/>
  <c r="P207" i="1"/>
  <c r="O127" i="3" s="1"/>
  <c r="P209" i="1"/>
  <c r="O129" i="3" s="1"/>
  <c r="P214" i="1"/>
  <c r="O139" i="3" s="1"/>
  <c r="P216" i="1"/>
  <c r="O141" i="3" s="1"/>
  <c r="P176" i="1"/>
  <c r="O109" i="3" s="1"/>
  <c r="P178" i="1"/>
  <c r="P179" i="1"/>
  <c r="O112" i="3" s="1"/>
  <c r="P90" i="1"/>
  <c r="P67" i="1" s="1"/>
  <c r="P416" i="1" s="1"/>
  <c r="P91" i="1"/>
  <c r="P106" i="1"/>
  <c r="O67" i="3" s="1"/>
  <c r="O93" i="3" l="1"/>
  <c r="D93" i="3"/>
  <c r="O51" i="3"/>
  <c r="O24" i="3" s="1"/>
  <c r="P70" i="1"/>
  <c r="D289" i="3"/>
  <c r="E196" i="1"/>
  <c r="O50" i="3"/>
  <c r="O22" i="3" s="1"/>
  <c r="E118" i="3"/>
  <c r="D123" i="3"/>
  <c r="P260" i="1"/>
  <c r="P230" i="1"/>
  <c r="O155" i="3" s="1"/>
  <c r="O81" i="3"/>
  <c r="O26" i="3" s="1"/>
  <c r="D155" i="3"/>
  <c r="P203" i="1"/>
  <c r="P156" i="1"/>
  <c r="O111" i="3"/>
  <c r="O92" i="3" s="1"/>
  <c r="P87" i="1"/>
  <c r="O46" i="3" s="1"/>
  <c r="P157" i="1"/>
  <c r="P196" i="1" l="1"/>
  <c r="D118" i="3"/>
  <c r="O123" i="3"/>
  <c r="O118" i="3" s="1"/>
  <c r="C255" i="3"/>
  <c r="N258" i="3"/>
  <c r="N290" i="3" s="1"/>
  <c r="M258" i="3"/>
  <c r="M290" i="3" s="1"/>
  <c r="L258" i="3"/>
  <c r="L290" i="3" s="1"/>
  <c r="K258" i="3"/>
  <c r="K290" i="3" s="1"/>
  <c r="J258" i="3"/>
  <c r="J290" i="3" s="1"/>
  <c r="H258" i="3"/>
  <c r="H290" i="3" s="1"/>
  <c r="G258" i="3"/>
  <c r="G290" i="3" s="1"/>
  <c r="F258" i="3"/>
  <c r="F290" i="3" s="1"/>
  <c r="E258" i="3"/>
  <c r="E255" i="3" s="1"/>
  <c r="E253" i="3" s="1"/>
  <c r="D56" i="1"/>
  <c r="O15" i="1"/>
  <c r="O417" i="1" s="1"/>
  <c r="N15" i="1"/>
  <c r="N417" i="1" s="1"/>
  <c r="M15" i="1"/>
  <c r="M417" i="1" s="1"/>
  <c r="L15" i="1"/>
  <c r="L417" i="1" s="1"/>
  <c r="K15" i="1"/>
  <c r="K417" i="1" s="1"/>
  <c r="K465" i="1" s="1"/>
  <c r="I15" i="1"/>
  <c r="I417" i="1" s="1"/>
  <c r="H15" i="1"/>
  <c r="H417" i="1" s="1"/>
  <c r="G15" i="1"/>
  <c r="G417" i="1" s="1"/>
  <c r="F15" i="1"/>
  <c r="F417" i="1" s="1"/>
  <c r="J56" i="1"/>
  <c r="J15" i="1" s="1"/>
  <c r="J417" i="1" s="1"/>
  <c r="E56" i="1"/>
  <c r="E15" i="1" s="1"/>
  <c r="E417" i="1" s="1"/>
  <c r="O465" i="1" l="1"/>
  <c r="E290" i="3"/>
  <c r="F301" i="3"/>
  <c r="K301" i="3"/>
  <c r="G301" i="3"/>
  <c r="L301" i="3"/>
  <c r="H301" i="3"/>
  <c r="M301" i="3"/>
  <c r="J301" i="3"/>
  <c r="N301" i="3"/>
  <c r="E442" i="1"/>
  <c r="F436" i="1"/>
  <c r="H431" i="1"/>
  <c r="K431" i="1"/>
  <c r="M431" i="1"/>
  <c r="O431" i="1"/>
  <c r="I431" i="1"/>
  <c r="N431" i="1"/>
  <c r="F255" i="3"/>
  <c r="F253" i="3" s="1"/>
  <c r="K255" i="3"/>
  <c r="K253" i="3" s="1"/>
  <c r="M255" i="3"/>
  <c r="M253" i="3" s="1"/>
  <c r="H255" i="3"/>
  <c r="H253" i="3" s="1"/>
  <c r="G255" i="3"/>
  <c r="G253" i="3" s="1"/>
  <c r="J255" i="3"/>
  <c r="J253" i="3" s="1"/>
  <c r="L255" i="3"/>
  <c r="L253" i="3" s="1"/>
  <c r="N255" i="3"/>
  <c r="N253" i="3" s="1"/>
  <c r="I258" i="3"/>
  <c r="I290" i="3" s="1"/>
  <c r="J465" i="1" s="1"/>
  <c r="P56" i="1"/>
  <c r="D258" i="3"/>
  <c r="L431" i="1" l="1"/>
  <c r="G431" i="1"/>
  <c r="E301" i="3"/>
  <c r="F431" i="1"/>
  <c r="I255" i="3"/>
  <c r="I253" i="3" s="1"/>
  <c r="D255" i="3"/>
  <c r="D253" i="3" s="1"/>
  <c r="P15" i="1"/>
  <c r="P417" i="1" s="1"/>
  <c r="O258" i="3"/>
  <c r="O255" i="3" l="1"/>
  <c r="O253" i="3" s="1"/>
  <c r="E181" i="1"/>
  <c r="I287" i="3" l="1"/>
  <c r="D287" i="3"/>
  <c r="P64" i="1"/>
  <c r="O287" i="3" l="1"/>
  <c r="D207" i="3"/>
  <c r="C285" i="1"/>
  <c r="P285" i="1" l="1"/>
  <c r="O207" i="3" s="1"/>
  <c r="J205" i="3" l="1"/>
  <c r="E256" i="3" l="1"/>
  <c r="F256" i="3"/>
  <c r="G256" i="3"/>
  <c r="H256" i="3"/>
  <c r="J256" i="3"/>
  <c r="K256" i="3"/>
  <c r="L256" i="3"/>
  <c r="M256" i="3"/>
  <c r="N256" i="3"/>
  <c r="E309" i="1"/>
  <c r="C309" i="1"/>
  <c r="D309" i="1"/>
  <c r="B309" i="1"/>
  <c r="P309" i="1" l="1"/>
  <c r="E260" i="3" l="1"/>
  <c r="E259" i="3" s="1"/>
  <c r="F260" i="3"/>
  <c r="F259" i="3" s="1"/>
  <c r="G260" i="3"/>
  <c r="G259" i="3" s="1"/>
  <c r="H260" i="3"/>
  <c r="H259" i="3" s="1"/>
  <c r="J260" i="3"/>
  <c r="J259" i="3" s="1"/>
  <c r="K260" i="3"/>
  <c r="K259" i="3" s="1"/>
  <c r="L260" i="3"/>
  <c r="L259" i="3" s="1"/>
  <c r="M260" i="3"/>
  <c r="M259" i="3" s="1"/>
  <c r="N260" i="3"/>
  <c r="N259" i="3" s="1"/>
  <c r="C310" i="1"/>
  <c r="D310" i="1"/>
  <c r="B310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3" i="1"/>
  <c r="D226" i="3" s="1"/>
  <c r="E45" i="1"/>
  <c r="J42" i="1"/>
  <c r="J43" i="1"/>
  <c r="I226" i="3" s="1"/>
  <c r="J45" i="1"/>
  <c r="I228" i="3" s="1"/>
  <c r="C43" i="1"/>
  <c r="D43" i="1"/>
  <c r="D45" i="1"/>
  <c r="B45" i="1"/>
  <c r="B43" i="1"/>
  <c r="D228" i="3" l="1"/>
  <c r="P45" i="1"/>
  <c r="P43" i="1"/>
  <c r="O226" i="3" s="1"/>
  <c r="O228" i="3" l="1"/>
  <c r="N202" i="3"/>
  <c r="J202" i="3" l="1"/>
  <c r="J303" i="1" l="1"/>
  <c r="D232" i="3"/>
  <c r="I232" i="3" l="1"/>
  <c r="P303" i="1"/>
  <c r="N209" i="3"/>
  <c r="M209" i="3"/>
  <c r="L209" i="3"/>
  <c r="K209" i="3"/>
  <c r="J209" i="3"/>
  <c r="H209" i="3"/>
  <c r="G209" i="3"/>
  <c r="F209" i="3"/>
  <c r="E209" i="3"/>
  <c r="J183" i="1"/>
  <c r="E183" i="1"/>
  <c r="D183" i="1"/>
  <c r="C183" i="1"/>
  <c r="B183" i="1"/>
  <c r="D350" i="1"/>
  <c r="C350" i="1"/>
  <c r="B350" i="1"/>
  <c r="D286" i="1"/>
  <c r="C286" i="1"/>
  <c r="B286" i="1"/>
  <c r="O232" i="3" l="1"/>
  <c r="P183" i="1"/>
  <c r="J350" i="1"/>
  <c r="E350" i="1"/>
  <c r="D209" i="3" l="1"/>
  <c r="P350" i="1"/>
  <c r="I209" i="3"/>
  <c r="O209" i="3" l="1"/>
  <c r="K374" i="1"/>
  <c r="J356" i="1" l="1"/>
  <c r="E356" i="1"/>
  <c r="P356" i="1" l="1"/>
  <c r="J351" i="1" l="1"/>
  <c r="I211" i="3" s="1"/>
  <c r="E351" i="1"/>
  <c r="D211" i="3" s="1"/>
  <c r="P351" i="1" l="1"/>
  <c r="O211" i="3" s="1"/>
  <c r="M248" i="3" l="1"/>
  <c r="L248" i="3"/>
  <c r="K248" i="3"/>
  <c r="H248" i="3"/>
  <c r="G248" i="3"/>
  <c r="F248" i="3"/>
  <c r="J188" i="1"/>
  <c r="I250" i="3" s="1"/>
  <c r="I248" i="3" s="1"/>
  <c r="E188" i="1"/>
  <c r="D250" i="3" s="1"/>
  <c r="D248" i="3" s="1"/>
  <c r="P188" i="1" l="1"/>
  <c r="O250" i="3" s="1"/>
  <c r="D201" i="1"/>
  <c r="O248" i="3" l="1"/>
  <c r="B347" i="1" l="1"/>
  <c r="J347" i="1"/>
  <c r="I205" i="3" s="1"/>
  <c r="P347" i="1" l="1"/>
  <c r="O205" i="3" s="1"/>
  <c r="D235" i="1" l="1"/>
  <c r="G374" i="1"/>
  <c r="H374" i="1"/>
  <c r="L374" i="1"/>
  <c r="M374" i="1"/>
  <c r="N374" i="1"/>
  <c r="O374" i="1"/>
  <c r="G151" i="1"/>
  <c r="H151" i="1"/>
  <c r="I151" i="1"/>
  <c r="L151" i="1"/>
  <c r="M151" i="1"/>
  <c r="N151" i="1"/>
  <c r="I374" i="1" l="1"/>
  <c r="F374" i="1" l="1"/>
  <c r="F151" i="1"/>
  <c r="D319" i="1" l="1"/>
  <c r="O151" i="1" l="1"/>
  <c r="K151" i="1"/>
  <c r="J255" i="1"/>
  <c r="E255" i="1"/>
  <c r="C255" i="1"/>
  <c r="D255" i="1"/>
  <c r="B255" i="1"/>
  <c r="P255" i="1" l="1"/>
  <c r="E14" i="3"/>
  <c r="F14" i="3"/>
  <c r="G14" i="3"/>
  <c r="H14" i="3"/>
  <c r="J14" i="3"/>
  <c r="K14" i="3"/>
  <c r="L14" i="3"/>
  <c r="M14" i="3"/>
  <c r="N14" i="3"/>
  <c r="E103" i="3"/>
  <c r="F103" i="3"/>
  <c r="G103" i="3"/>
  <c r="H103" i="3"/>
  <c r="J103" i="3"/>
  <c r="K103" i="3"/>
  <c r="L103" i="3"/>
  <c r="M103" i="3"/>
  <c r="N103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20" i="3"/>
  <c r="F120" i="3"/>
  <c r="G120" i="3"/>
  <c r="H120" i="3"/>
  <c r="K120" i="3"/>
  <c r="L120" i="3"/>
  <c r="M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3" i="3"/>
  <c r="F193" i="3"/>
  <c r="G193" i="3"/>
  <c r="H193" i="3"/>
  <c r="J193" i="3"/>
  <c r="K193" i="3"/>
  <c r="L193" i="3"/>
  <c r="M193" i="3"/>
  <c r="N193" i="3"/>
  <c r="E198" i="3"/>
  <c r="E195" i="3" s="1"/>
  <c r="F198" i="3"/>
  <c r="F195" i="3" s="1"/>
  <c r="G198" i="3"/>
  <c r="G195" i="3" s="1"/>
  <c r="H198" i="3"/>
  <c r="H195" i="3" s="1"/>
  <c r="J198" i="3"/>
  <c r="J195" i="3" s="1"/>
  <c r="K198" i="3"/>
  <c r="K195" i="3" s="1"/>
  <c r="L198" i="3"/>
  <c r="L195" i="3" s="1"/>
  <c r="M198" i="3"/>
  <c r="M195" i="3" s="1"/>
  <c r="N198" i="3"/>
  <c r="N195" i="3" s="1"/>
  <c r="E210" i="3"/>
  <c r="F210" i="3"/>
  <c r="G210" i="3"/>
  <c r="H210" i="3"/>
  <c r="J210" i="3"/>
  <c r="K210" i="3"/>
  <c r="L210" i="3"/>
  <c r="M210" i="3"/>
  <c r="N210" i="3"/>
  <c r="E225" i="3"/>
  <c r="E221" i="3" s="1"/>
  <c r="F225" i="3"/>
  <c r="F221" i="3" s="1"/>
  <c r="G225" i="3"/>
  <c r="G221" i="3" s="1"/>
  <c r="H225" i="3"/>
  <c r="H221" i="3" s="1"/>
  <c r="J225" i="3"/>
  <c r="J221" i="3" s="1"/>
  <c r="K225" i="3"/>
  <c r="K221" i="3" s="1"/>
  <c r="L225" i="3"/>
  <c r="L221" i="3" s="1"/>
  <c r="M225" i="3"/>
  <c r="M221" i="3" s="1"/>
  <c r="N225" i="3"/>
  <c r="N221" i="3" s="1"/>
  <c r="F245" i="3"/>
  <c r="G245" i="3"/>
  <c r="H245" i="3"/>
  <c r="J245" i="3"/>
  <c r="J236" i="3" s="1"/>
  <c r="K245" i="3"/>
  <c r="K236" i="3" s="1"/>
  <c r="L245" i="3"/>
  <c r="L236" i="3" s="1"/>
  <c r="M245" i="3"/>
  <c r="M236" i="3" s="1"/>
  <c r="N245" i="3"/>
  <c r="N236" i="3" s="1"/>
  <c r="E257" i="3"/>
  <c r="F257" i="3"/>
  <c r="G257" i="3"/>
  <c r="H257" i="3"/>
  <c r="J257" i="3"/>
  <c r="K257" i="3"/>
  <c r="L257" i="3"/>
  <c r="M257" i="3"/>
  <c r="N257" i="3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E268" i="3"/>
  <c r="F268" i="3"/>
  <c r="G268" i="3"/>
  <c r="H268" i="3"/>
  <c r="J268" i="3"/>
  <c r="K268" i="3"/>
  <c r="L268" i="3"/>
  <c r="M268" i="3"/>
  <c r="N268" i="3"/>
  <c r="D270" i="3"/>
  <c r="D269" i="3" s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J84" i="1"/>
  <c r="I36" i="3" s="1"/>
  <c r="J404" i="1"/>
  <c r="J405" i="1"/>
  <c r="J407" i="1"/>
  <c r="I264" i="3" s="1"/>
  <c r="J408" i="1"/>
  <c r="J409" i="1"/>
  <c r="I268" i="3" s="1"/>
  <c r="J410" i="1"/>
  <c r="I270" i="3" s="1"/>
  <c r="I269" i="3" s="1"/>
  <c r="J411" i="1"/>
  <c r="I278" i="3" s="1"/>
  <c r="I277" i="3" s="1"/>
  <c r="J403" i="1"/>
  <c r="J376" i="1"/>
  <c r="I194" i="3" s="1"/>
  <c r="J377" i="1"/>
  <c r="J378" i="1"/>
  <c r="I241" i="3" s="1"/>
  <c r="J379" i="1"/>
  <c r="I242" i="3" s="1"/>
  <c r="J380" i="1"/>
  <c r="J375" i="1"/>
  <c r="J368" i="1"/>
  <c r="J342" i="1"/>
  <c r="J343" i="1"/>
  <c r="J344" i="1"/>
  <c r="I200" i="3" s="1"/>
  <c r="J345" i="1"/>
  <c r="I202" i="3" s="1"/>
  <c r="J348" i="1"/>
  <c r="J360" i="1"/>
  <c r="J361" i="1"/>
  <c r="I184" i="3" s="1"/>
  <c r="J365" i="1"/>
  <c r="J333" i="1"/>
  <c r="J323" i="1"/>
  <c r="J269" i="1"/>
  <c r="J270" i="1"/>
  <c r="J271" i="1"/>
  <c r="I173" i="3" s="1"/>
  <c r="I176" i="3"/>
  <c r="J275" i="1"/>
  <c r="J276" i="1"/>
  <c r="J282" i="1"/>
  <c r="I210" i="3"/>
  <c r="J305" i="1"/>
  <c r="J319" i="1"/>
  <c r="J267" i="1"/>
  <c r="J249" i="1"/>
  <c r="I157" i="3" s="1"/>
  <c r="J250" i="1"/>
  <c r="J251" i="1"/>
  <c r="J252" i="1"/>
  <c r="J254" i="1"/>
  <c r="J247" i="1"/>
  <c r="J240" i="1"/>
  <c r="I131" i="3" s="1"/>
  <c r="J241" i="1"/>
  <c r="I132" i="3" s="1"/>
  <c r="J239" i="1"/>
  <c r="J201" i="1"/>
  <c r="J202" i="1"/>
  <c r="J204" i="1"/>
  <c r="I124" i="3" s="1"/>
  <c r="J205" i="1"/>
  <c r="J206" i="1"/>
  <c r="I126" i="3" s="1"/>
  <c r="J208" i="1"/>
  <c r="I128" i="3" s="1"/>
  <c r="J210" i="1"/>
  <c r="I130" i="3" s="1"/>
  <c r="J212" i="1"/>
  <c r="I137" i="3" s="1"/>
  <c r="J213" i="1"/>
  <c r="I138" i="3" s="1"/>
  <c r="J215" i="1"/>
  <c r="I140" i="3" s="1"/>
  <c r="J217" i="1"/>
  <c r="I142" i="3" s="1"/>
  <c r="J218" i="1"/>
  <c r="I143" i="3" s="1"/>
  <c r="J219" i="1"/>
  <c r="I144" i="3" s="1"/>
  <c r="J220" i="1"/>
  <c r="I145" i="3" s="1"/>
  <c r="J221" i="1"/>
  <c r="J228" i="1"/>
  <c r="J229" i="1"/>
  <c r="J235" i="1"/>
  <c r="J198" i="1"/>
  <c r="J163" i="1"/>
  <c r="I97" i="3" s="1"/>
  <c r="J173" i="1"/>
  <c r="I106" i="3" s="1"/>
  <c r="J175" i="1"/>
  <c r="I108" i="3" s="1"/>
  <c r="J177" i="1"/>
  <c r="I110" i="3" s="1"/>
  <c r="J180" i="1"/>
  <c r="I113" i="3" s="1"/>
  <c r="J181" i="1"/>
  <c r="I114" i="3" s="1"/>
  <c r="J162" i="1"/>
  <c r="J89" i="1"/>
  <c r="I49" i="3" s="1"/>
  <c r="J92" i="1"/>
  <c r="I52" i="3" s="1"/>
  <c r="J101" i="1"/>
  <c r="I61" i="3" s="1"/>
  <c r="J108" i="1"/>
  <c r="I69" i="3" s="1"/>
  <c r="J109" i="1"/>
  <c r="I70" i="3" s="1"/>
  <c r="J111" i="1"/>
  <c r="J119" i="1"/>
  <c r="I80" i="3" s="1"/>
  <c r="J83" i="1"/>
  <c r="J22" i="1"/>
  <c r="J23" i="1"/>
  <c r="J24" i="1"/>
  <c r="I133" i="3" s="1"/>
  <c r="J25" i="1"/>
  <c r="I134" i="3" s="1"/>
  <c r="J27" i="1"/>
  <c r="I136" i="3" s="1"/>
  <c r="J28" i="1"/>
  <c r="J29" i="1"/>
  <c r="J30" i="1"/>
  <c r="J31" i="1"/>
  <c r="J32" i="1"/>
  <c r="J33" i="1"/>
  <c r="I163" i="3" s="1"/>
  <c r="J34" i="1"/>
  <c r="I164" i="3" s="1"/>
  <c r="J35" i="1"/>
  <c r="I165" i="3" s="1"/>
  <c r="J36" i="1"/>
  <c r="I167" i="3" s="1"/>
  <c r="J37" i="1"/>
  <c r="I168" i="3" s="1"/>
  <c r="J38" i="1"/>
  <c r="I169" i="3" s="1"/>
  <c r="I225" i="3"/>
  <c r="I221" i="3" s="1"/>
  <c r="J47" i="1"/>
  <c r="J48" i="1"/>
  <c r="J50" i="1"/>
  <c r="I243" i="3" s="1"/>
  <c r="J51" i="1"/>
  <c r="I245" i="3" s="1"/>
  <c r="J52" i="1"/>
  <c r="J53" i="1"/>
  <c r="J54" i="1"/>
  <c r="I256" i="3" s="1"/>
  <c r="J55" i="1"/>
  <c r="I257" i="3" s="1"/>
  <c r="J57" i="1"/>
  <c r="J59" i="1"/>
  <c r="I267" i="3"/>
  <c r="I266" i="3" s="1"/>
  <c r="J17" i="1"/>
  <c r="K90" i="3" l="1"/>
  <c r="F90" i="3"/>
  <c r="N90" i="3"/>
  <c r="J90" i="3"/>
  <c r="E90" i="3"/>
  <c r="M90" i="3"/>
  <c r="H90" i="3"/>
  <c r="L90" i="3"/>
  <c r="G90" i="3"/>
  <c r="I182" i="3"/>
  <c r="M115" i="3"/>
  <c r="L115" i="3"/>
  <c r="K115" i="3"/>
  <c r="I247" i="3"/>
  <c r="I72" i="3"/>
  <c r="I254" i="3"/>
  <c r="K170" i="3"/>
  <c r="F170" i="3"/>
  <c r="N170" i="3"/>
  <c r="J170" i="3"/>
  <c r="E170" i="3"/>
  <c r="M170" i="3"/>
  <c r="H170" i="3"/>
  <c r="L170" i="3"/>
  <c r="G170" i="3"/>
  <c r="I238" i="3"/>
  <c r="J402" i="1"/>
  <c r="J14" i="1"/>
  <c r="I193" i="3"/>
  <c r="I286" i="3"/>
  <c r="I154" i="3"/>
  <c r="J237" i="1"/>
  <c r="I265" i="3"/>
  <c r="I262" i="3" s="1"/>
  <c r="J359" i="1"/>
  <c r="J358" i="1" s="1"/>
  <c r="G115" i="3"/>
  <c r="H115" i="3"/>
  <c r="F115" i="3"/>
  <c r="M185" i="3"/>
  <c r="K185" i="3"/>
  <c r="H236" i="3"/>
  <c r="H185" i="3" s="1"/>
  <c r="F236" i="3"/>
  <c r="F185" i="3" s="1"/>
  <c r="N185" i="3"/>
  <c r="L185" i="3"/>
  <c r="J185" i="3"/>
  <c r="G236" i="3"/>
  <c r="G185" i="3" s="1"/>
  <c r="I235" i="3"/>
  <c r="I234" i="3" s="1"/>
  <c r="I206" i="3"/>
  <c r="I121" i="3"/>
  <c r="I103" i="3"/>
  <c r="I90" i="3" s="1"/>
  <c r="I260" i="3"/>
  <c r="I259" i="3" s="1"/>
  <c r="I177" i="3"/>
  <c r="I172" i="3"/>
  <c r="J374" i="1"/>
  <c r="J354" i="1"/>
  <c r="J329" i="1" s="1"/>
  <c r="I160" i="3"/>
  <c r="I158" i="3"/>
  <c r="I159" i="3"/>
  <c r="E168" i="3"/>
  <c r="E161" i="3" s="1"/>
  <c r="I198" i="3"/>
  <c r="I195" i="3" s="1"/>
  <c r="L254" i="3"/>
  <c r="J254" i="3"/>
  <c r="G254" i="3"/>
  <c r="I122" i="3"/>
  <c r="I161" i="3"/>
  <c r="I146" i="3"/>
  <c r="N254" i="3"/>
  <c r="H254" i="3"/>
  <c r="M254" i="3"/>
  <c r="M252" i="3" s="1"/>
  <c r="K254" i="3"/>
  <c r="K252" i="3" s="1"/>
  <c r="F254" i="3"/>
  <c r="F252" i="3" s="1"/>
  <c r="E254" i="3"/>
  <c r="E252" i="3" s="1"/>
  <c r="I178" i="3"/>
  <c r="M161" i="3"/>
  <c r="F161" i="3"/>
  <c r="I153" i="3"/>
  <c r="I125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8" i="1"/>
  <c r="J257" i="1" l="1"/>
  <c r="J256" i="1" s="1"/>
  <c r="I170" i="3"/>
  <c r="I252" i="3"/>
  <c r="G252" i="3"/>
  <c r="G288" i="3" s="1"/>
  <c r="L252" i="3"/>
  <c r="L288" i="3" s="1"/>
  <c r="H252" i="3"/>
  <c r="H288" i="3" s="1"/>
  <c r="N252" i="3"/>
  <c r="J252" i="3"/>
  <c r="I283" i="3"/>
  <c r="I275" i="3" s="1"/>
  <c r="M288" i="3"/>
  <c r="F288" i="3"/>
  <c r="K288" i="3"/>
  <c r="I14" i="3"/>
  <c r="I156" i="3"/>
  <c r="E407" i="1"/>
  <c r="D264" i="3" s="1"/>
  <c r="D407" i="1"/>
  <c r="B407" i="1"/>
  <c r="E245" i="3" l="1"/>
  <c r="J186" i="1"/>
  <c r="P407" i="1"/>
  <c r="O264" i="3" s="1"/>
  <c r="J152" i="1" l="1"/>
  <c r="J151" i="1" s="1"/>
  <c r="I239" i="3"/>
  <c r="I236" i="3" s="1"/>
  <c r="E236" i="3"/>
  <c r="E185" i="3" s="1"/>
  <c r="I185" i="3" l="1"/>
  <c r="C287" i="1"/>
  <c r="D287" i="1"/>
  <c r="B287" i="1"/>
  <c r="D210" i="3" l="1"/>
  <c r="O210" i="3"/>
  <c r="E142" i="3" l="1"/>
  <c r="E115" i="3" s="1"/>
  <c r="E288" i="3" l="1"/>
  <c r="J85" i="1"/>
  <c r="J66" i="1" s="1"/>
  <c r="J65" i="1" l="1"/>
  <c r="I38" i="3"/>
  <c r="I21" i="3" s="1"/>
  <c r="J246" i="1"/>
  <c r="D52" i="1"/>
  <c r="D365" i="1"/>
  <c r="D308" i="1"/>
  <c r="C250" i="1"/>
  <c r="B250" i="1"/>
  <c r="D240" i="1"/>
  <c r="P410" i="1"/>
  <c r="E404" i="1"/>
  <c r="E405" i="1"/>
  <c r="E408" i="1"/>
  <c r="E409" i="1"/>
  <c r="D268" i="3" s="1"/>
  <c r="D278" i="3"/>
  <c r="D277" i="3" s="1"/>
  <c r="K401" i="1"/>
  <c r="L401" i="1"/>
  <c r="M401" i="1"/>
  <c r="N401" i="1"/>
  <c r="O401" i="1"/>
  <c r="F401" i="1"/>
  <c r="G401" i="1"/>
  <c r="H401" i="1"/>
  <c r="I401" i="1"/>
  <c r="E376" i="1"/>
  <c r="D194" i="3" s="1"/>
  <c r="E377" i="1"/>
  <c r="E378" i="1"/>
  <c r="D241" i="3" s="1"/>
  <c r="E379" i="1"/>
  <c r="D242" i="3" s="1"/>
  <c r="E380" i="1"/>
  <c r="E375" i="1"/>
  <c r="K373" i="1"/>
  <c r="L373" i="1"/>
  <c r="M373" i="1"/>
  <c r="N373" i="1"/>
  <c r="O373" i="1"/>
  <c r="F373" i="1"/>
  <c r="G373" i="1"/>
  <c r="H373" i="1"/>
  <c r="I373" i="1"/>
  <c r="J367" i="1"/>
  <c r="J366" i="1" s="1"/>
  <c r="E368" i="1"/>
  <c r="E367" i="1" s="1"/>
  <c r="E366" i="1" s="1"/>
  <c r="K367" i="1"/>
  <c r="K366" i="1" s="1"/>
  <c r="L367" i="1"/>
  <c r="L366" i="1" s="1"/>
  <c r="M367" i="1"/>
  <c r="M366" i="1" s="1"/>
  <c r="N367" i="1"/>
  <c r="N366" i="1" s="1"/>
  <c r="O367" i="1"/>
  <c r="O366" i="1" s="1"/>
  <c r="F367" i="1"/>
  <c r="F366" i="1" s="1"/>
  <c r="G367" i="1"/>
  <c r="G366" i="1" s="1"/>
  <c r="H367" i="1"/>
  <c r="H366" i="1" s="1"/>
  <c r="I367" i="1"/>
  <c r="I366" i="1" s="1"/>
  <c r="E361" i="1"/>
  <c r="E365" i="1"/>
  <c r="E360" i="1"/>
  <c r="K358" i="1"/>
  <c r="L358" i="1"/>
  <c r="M358" i="1"/>
  <c r="N358" i="1"/>
  <c r="O358" i="1"/>
  <c r="F358" i="1"/>
  <c r="G358" i="1"/>
  <c r="H358" i="1"/>
  <c r="I358" i="1"/>
  <c r="D182" i="3"/>
  <c r="E343" i="1"/>
  <c r="E344" i="1"/>
  <c r="D200" i="3" s="1"/>
  <c r="E345" i="1"/>
  <c r="D202" i="3" s="1"/>
  <c r="E348" i="1"/>
  <c r="E354" i="1"/>
  <c r="E333" i="1"/>
  <c r="K328" i="1"/>
  <c r="M328" i="1"/>
  <c r="N328" i="1"/>
  <c r="O328" i="1"/>
  <c r="F328" i="1"/>
  <c r="G328" i="1"/>
  <c r="H328" i="1"/>
  <c r="J322" i="1"/>
  <c r="J321" i="1" s="1"/>
  <c r="E323" i="1"/>
  <c r="E322" i="1" s="1"/>
  <c r="E321" i="1" s="1"/>
  <c r="K322" i="1"/>
  <c r="K321" i="1" s="1"/>
  <c r="L322" i="1"/>
  <c r="L321" i="1" s="1"/>
  <c r="M322" i="1"/>
  <c r="M321" i="1" s="1"/>
  <c r="N322" i="1"/>
  <c r="N321" i="1" s="1"/>
  <c r="O322" i="1"/>
  <c r="O321" i="1" s="1"/>
  <c r="F322" i="1"/>
  <c r="F321" i="1" s="1"/>
  <c r="G322" i="1"/>
  <c r="G321" i="1" s="1"/>
  <c r="H322" i="1"/>
  <c r="H321" i="1" s="1"/>
  <c r="I322" i="1"/>
  <c r="I321" i="1" s="1"/>
  <c r="E269" i="1"/>
  <c r="E270" i="1"/>
  <c r="D172" i="3" s="1"/>
  <c r="E271" i="1"/>
  <c r="E273" i="1"/>
  <c r="D175" i="3" s="1"/>
  <c r="E274" i="1"/>
  <c r="E275" i="1"/>
  <c r="E276" i="1"/>
  <c r="E281" i="1"/>
  <c r="P284" i="1"/>
  <c r="E305" i="1"/>
  <c r="E308" i="1"/>
  <c r="P308" i="1" s="1"/>
  <c r="P313" i="1"/>
  <c r="E319" i="1"/>
  <c r="E267" i="1"/>
  <c r="G256" i="1"/>
  <c r="H256" i="1"/>
  <c r="I256" i="1"/>
  <c r="E249" i="1"/>
  <c r="E250" i="1"/>
  <c r="E251" i="1"/>
  <c r="E252" i="1"/>
  <c r="E254" i="1"/>
  <c r="E247" i="1"/>
  <c r="K245" i="1"/>
  <c r="L245" i="1"/>
  <c r="M245" i="1"/>
  <c r="N245" i="1"/>
  <c r="F245" i="1"/>
  <c r="G245" i="1"/>
  <c r="H245" i="1"/>
  <c r="I245" i="1"/>
  <c r="E240" i="1"/>
  <c r="D131" i="3" s="1"/>
  <c r="E241" i="1"/>
  <c r="D132" i="3" s="1"/>
  <c r="E239" i="1"/>
  <c r="K236" i="1"/>
  <c r="L236" i="1"/>
  <c r="M236" i="1"/>
  <c r="N236" i="1"/>
  <c r="O236" i="1"/>
  <c r="F236" i="1"/>
  <c r="G236" i="1"/>
  <c r="H236" i="1"/>
  <c r="I236" i="1"/>
  <c r="E200" i="1"/>
  <c r="D120" i="3" s="1"/>
  <c r="E201" i="1"/>
  <c r="E202" i="1"/>
  <c r="E204" i="1"/>
  <c r="D124" i="3" s="1"/>
  <c r="E205" i="1"/>
  <c r="E206" i="1"/>
  <c r="D126" i="3" s="1"/>
  <c r="E208" i="1"/>
  <c r="D128" i="3" s="1"/>
  <c r="E210" i="1"/>
  <c r="E212" i="1"/>
  <c r="E213" i="1"/>
  <c r="E215" i="1"/>
  <c r="D140" i="3" s="1"/>
  <c r="E217" i="1"/>
  <c r="D142" i="3" s="1"/>
  <c r="E218" i="1"/>
  <c r="D143" i="3" s="1"/>
  <c r="E219" i="1"/>
  <c r="D144" i="3" s="1"/>
  <c r="E220" i="1"/>
  <c r="D145" i="3" s="1"/>
  <c r="E221" i="1"/>
  <c r="E228" i="1"/>
  <c r="E229" i="1"/>
  <c r="E235" i="1"/>
  <c r="E198" i="1"/>
  <c r="E170" i="1"/>
  <c r="E173" i="1"/>
  <c r="D106" i="3" s="1"/>
  <c r="E175" i="1"/>
  <c r="D108" i="3" s="1"/>
  <c r="E177" i="1"/>
  <c r="D110" i="3" s="1"/>
  <c r="E180" i="1"/>
  <c r="D113" i="3" s="1"/>
  <c r="D114" i="3"/>
  <c r="E186" i="1"/>
  <c r="E162" i="1"/>
  <c r="K65" i="1"/>
  <c r="L65" i="1"/>
  <c r="L415" i="1" s="1"/>
  <c r="M65" i="1"/>
  <c r="N65" i="1"/>
  <c r="O65" i="1"/>
  <c r="F65" i="1"/>
  <c r="G65" i="1"/>
  <c r="H65" i="1"/>
  <c r="I65" i="1"/>
  <c r="E84" i="1"/>
  <c r="E85" i="1"/>
  <c r="E89" i="1"/>
  <c r="E92" i="1"/>
  <c r="D52" i="3" s="1"/>
  <c r="E101" i="1"/>
  <c r="D61" i="3" s="1"/>
  <c r="E108" i="1"/>
  <c r="D69" i="3" s="1"/>
  <c r="E109" i="1"/>
  <c r="D70" i="3" s="1"/>
  <c r="E111" i="1"/>
  <c r="D72" i="3" s="1"/>
  <c r="E119" i="1"/>
  <c r="D80" i="3" s="1"/>
  <c r="E83" i="1"/>
  <c r="E19" i="1"/>
  <c r="D18" i="3" s="1"/>
  <c r="E22" i="1"/>
  <c r="E23" i="1"/>
  <c r="E24" i="1"/>
  <c r="D133" i="3" s="1"/>
  <c r="E25" i="1"/>
  <c r="D134" i="3" s="1"/>
  <c r="E27" i="1"/>
  <c r="D136" i="3" s="1"/>
  <c r="E28" i="1"/>
  <c r="E29" i="1"/>
  <c r="E30" i="1"/>
  <c r="E31" i="1"/>
  <c r="E32" i="1"/>
  <c r="E33" i="1"/>
  <c r="D163" i="3" s="1"/>
  <c r="E34" i="1"/>
  <c r="D164" i="3" s="1"/>
  <c r="E35" i="1"/>
  <c r="E36" i="1"/>
  <c r="D167" i="3" s="1"/>
  <c r="E37" i="1"/>
  <c r="E38" i="1"/>
  <c r="D225" i="3"/>
  <c r="D221" i="3" s="1"/>
  <c r="E47" i="1"/>
  <c r="E48" i="1"/>
  <c r="E50" i="1"/>
  <c r="E51" i="1"/>
  <c r="D245" i="3" s="1"/>
  <c r="E52" i="1"/>
  <c r="E53" i="1"/>
  <c r="E54" i="1"/>
  <c r="D256" i="3" s="1"/>
  <c r="E55" i="1"/>
  <c r="D257" i="3" s="1"/>
  <c r="E57" i="1"/>
  <c r="E59" i="1"/>
  <c r="E60" i="1"/>
  <c r="E17" i="1"/>
  <c r="D16" i="3" s="1"/>
  <c r="K13" i="1"/>
  <c r="K415" i="1" s="1"/>
  <c r="M13" i="1"/>
  <c r="N13" i="1"/>
  <c r="O13" i="1"/>
  <c r="F13" i="1"/>
  <c r="G13" i="1"/>
  <c r="H13" i="1"/>
  <c r="I13" i="1"/>
  <c r="L13" i="1"/>
  <c r="F415" i="1" l="1"/>
  <c r="F463" i="1" s="1"/>
  <c r="I415" i="1"/>
  <c r="I463" i="1" s="1"/>
  <c r="N415" i="1"/>
  <c r="G415" i="1"/>
  <c r="M415" i="1"/>
  <c r="H415" i="1"/>
  <c r="H463" i="1" s="1"/>
  <c r="E257" i="1"/>
  <c r="E256" i="1" s="1"/>
  <c r="E66" i="1"/>
  <c r="E65" i="1" s="1"/>
  <c r="E329" i="1"/>
  <c r="E328" i="1" s="1"/>
  <c r="E193" i="1"/>
  <c r="E192" i="1" s="1"/>
  <c r="D247" i="3"/>
  <c r="D36" i="3"/>
  <c r="D184" i="3"/>
  <c r="D14" i="3"/>
  <c r="D238" i="3"/>
  <c r="E402" i="1"/>
  <c r="E401" i="1" s="1"/>
  <c r="D239" i="3"/>
  <c r="D286" i="3"/>
  <c r="E14" i="1"/>
  <c r="E13" i="1" s="1"/>
  <c r="O270" i="3"/>
  <c r="O269" i="3" s="1"/>
  <c r="D193" i="3"/>
  <c r="D267" i="3"/>
  <c r="D266" i="3" s="1"/>
  <c r="D38" i="3"/>
  <c r="E152" i="1"/>
  <c r="E151" i="1" s="1"/>
  <c r="D49" i="3"/>
  <c r="D265" i="3"/>
  <c r="D262" i="3" s="1"/>
  <c r="D154" i="3"/>
  <c r="E237" i="1"/>
  <c r="E236" i="1" s="1"/>
  <c r="E359" i="1"/>
  <c r="E358" i="1" s="1"/>
  <c r="D137" i="3"/>
  <c r="P27" i="1"/>
  <c r="O136" i="3" s="1"/>
  <c r="D169" i="3"/>
  <c r="E374" i="1"/>
  <c r="E373" i="1" s="1"/>
  <c r="E246" i="1"/>
  <c r="E245" i="1" s="1"/>
  <c r="D165" i="3"/>
  <c r="D157" i="3"/>
  <c r="D130" i="3"/>
  <c r="D168" i="3"/>
  <c r="D235" i="3"/>
  <c r="D234" i="3" s="1"/>
  <c r="D206" i="3"/>
  <c r="P229" i="1"/>
  <c r="P269" i="1"/>
  <c r="D121" i="3"/>
  <c r="D103" i="3"/>
  <c r="D90" i="3" s="1"/>
  <c r="D176" i="3"/>
  <c r="D260" i="3"/>
  <c r="D259" i="3" s="1"/>
  <c r="D177" i="3"/>
  <c r="P319" i="1"/>
  <c r="D173" i="3"/>
  <c r="D178" i="3"/>
  <c r="D138" i="3"/>
  <c r="P267" i="1"/>
  <c r="O245" i="1"/>
  <c r="O415" i="1" s="1"/>
  <c r="D159" i="3"/>
  <c r="D146" i="3"/>
  <c r="D198" i="3"/>
  <c r="D160" i="3"/>
  <c r="D158" i="3"/>
  <c r="J245" i="1"/>
  <c r="D254" i="3"/>
  <c r="P235" i="1"/>
  <c r="D153" i="3"/>
  <c r="D125" i="3"/>
  <c r="D122" i="3"/>
  <c r="P17" i="1"/>
  <c r="O16" i="3" s="1"/>
  <c r="P59" i="1"/>
  <c r="P55" i="1"/>
  <c r="O257" i="3" s="1"/>
  <c r="P53" i="1"/>
  <c r="P51" i="1"/>
  <c r="O245" i="3" s="1"/>
  <c r="P48" i="1"/>
  <c r="P119" i="1"/>
  <c r="O80" i="3" s="1"/>
  <c r="P111" i="1"/>
  <c r="O72" i="3" s="1"/>
  <c r="P109" i="1"/>
  <c r="O70" i="3" s="1"/>
  <c r="P92" i="1"/>
  <c r="O52" i="3" s="1"/>
  <c r="P89" i="1"/>
  <c r="P85" i="1"/>
  <c r="P162" i="1"/>
  <c r="P220" i="1"/>
  <c r="O145" i="3" s="1"/>
  <c r="P218" i="1"/>
  <c r="O143" i="3" s="1"/>
  <c r="P215" i="1"/>
  <c r="O140" i="3" s="1"/>
  <c r="P212" i="1"/>
  <c r="P208" i="1"/>
  <c r="O128" i="3" s="1"/>
  <c r="P205" i="1"/>
  <c r="P202" i="1"/>
  <c r="P281" i="1"/>
  <c r="P275" i="1"/>
  <c r="P271" i="1"/>
  <c r="P344" i="1"/>
  <c r="O200" i="3" s="1"/>
  <c r="P411" i="1"/>
  <c r="O278" i="3" s="1"/>
  <c r="O277" i="3" s="1"/>
  <c r="P60" i="1"/>
  <c r="P57" i="1"/>
  <c r="P54" i="1"/>
  <c r="O256" i="3" s="1"/>
  <c r="P52" i="1"/>
  <c r="P50" i="1"/>
  <c r="O243" i="3" s="1"/>
  <c r="P47" i="1"/>
  <c r="O235" i="3" s="1"/>
  <c r="P108" i="1"/>
  <c r="O69" i="3" s="1"/>
  <c r="P101" i="1"/>
  <c r="O61" i="3" s="1"/>
  <c r="P198" i="1"/>
  <c r="P221" i="1"/>
  <c r="P219" i="1"/>
  <c r="O144" i="3" s="1"/>
  <c r="P217" i="1"/>
  <c r="O142" i="3" s="1"/>
  <c r="P213" i="1"/>
  <c r="O138" i="3" s="1"/>
  <c r="P210" i="1"/>
  <c r="O130" i="3" s="1"/>
  <c r="P206" i="1"/>
  <c r="O126" i="3" s="1"/>
  <c r="P204" i="1"/>
  <c r="O124" i="3" s="1"/>
  <c r="P201" i="1"/>
  <c r="P276" i="1"/>
  <c r="P274" i="1"/>
  <c r="P273" i="1"/>
  <c r="O175" i="3" s="1"/>
  <c r="P345" i="1"/>
  <c r="O202" i="3" s="1"/>
  <c r="P403" i="1"/>
  <c r="P305" i="1"/>
  <c r="P360" i="1"/>
  <c r="P361" i="1"/>
  <c r="P378" i="1"/>
  <c r="O241" i="3" s="1"/>
  <c r="J373" i="1"/>
  <c r="P408" i="1"/>
  <c r="P404" i="1"/>
  <c r="P241" i="1"/>
  <c r="O132" i="3" s="1"/>
  <c r="P240" i="1"/>
  <c r="O131" i="3" s="1"/>
  <c r="P42" i="1"/>
  <c r="O225" i="3" s="1"/>
  <c r="O221" i="3" s="1"/>
  <c r="P35" i="1"/>
  <c r="O165" i="3" s="1"/>
  <c r="P33" i="1"/>
  <c r="O163" i="3" s="1"/>
  <c r="P31" i="1"/>
  <c r="P29" i="1"/>
  <c r="P24" i="1"/>
  <c r="O133" i="3" s="1"/>
  <c r="P22" i="1"/>
  <c r="P247" i="1"/>
  <c r="P354" i="1"/>
  <c r="P368" i="1"/>
  <c r="P367" i="1" s="1"/>
  <c r="P366" i="1" s="1"/>
  <c r="P379" i="1"/>
  <c r="O242" i="3" s="1"/>
  <c r="P377" i="1"/>
  <c r="P376" i="1"/>
  <c r="O194" i="3" s="1"/>
  <c r="P380" i="1"/>
  <c r="P282" i="1"/>
  <c r="P38" i="1"/>
  <c r="P36" i="1"/>
  <c r="O167" i="3" s="1"/>
  <c r="P34" i="1"/>
  <c r="O164" i="3" s="1"/>
  <c r="P32" i="1"/>
  <c r="P28" i="1"/>
  <c r="P25" i="1"/>
  <c r="O134" i="3" s="1"/>
  <c r="P23" i="1"/>
  <c r="P186" i="1"/>
  <c r="P181" i="1"/>
  <c r="O114" i="3" s="1"/>
  <c r="P180" i="1"/>
  <c r="O113" i="3" s="1"/>
  <c r="P177" i="1"/>
  <c r="O110" i="3" s="1"/>
  <c r="P175" i="1"/>
  <c r="O108" i="3" s="1"/>
  <c r="P173" i="1"/>
  <c r="O106" i="3" s="1"/>
  <c r="P170" i="1"/>
  <c r="P163" i="1"/>
  <c r="O97" i="3" s="1"/>
  <c r="J236" i="1"/>
  <c r="P252" i="1"/>
  <c r="P254" i="1"/>
  <c r="P249" i="1"/>
  <c r="P348" i="1"/>
  <c r="P343" i="1"/>
  <c r="P19" i="1"/>
  <c r="O18" i="3" s="1"/>
  <c r="P30" i="1"/>
  <c r="P270" i="1"/>
  <c r="O172" i="3" s="1"/>
  <c r="P365" i="1"/>
  <c r="P37" i="1"/>
  <c r="O168" i="3" s="1"/>
  <c r="P84" i="1"/>
  <c r="P239" i="1"/>
  <c r="P251" i="1"/>
  <c r="P250" i="1"/>
  <c r="P405" i="1"/>
  <c r="P333" i="1"/>
  <c r="P409" i="1"/>
  <c r="O268" i="3" s="1"/>
  <c r="J401" i="1"/>
  <c r="P375" i="1"/>
  <c r="P323" i="1"/>
  <c r="P322" i="1" s="1"/>
  <c r="P321" i="1" s="1"/>
  <c r="P83" i="1"/>
  <c r="J13" i="1"/>
  <c r="P228" i="1"/>
  <c r="E415" i="1" l="1"/>
  <c r="D195" i="3"/>
  <c r="P257" i="1"/>
  <c r="P256" i="1" s="1"/>
  <c r="P66" i="1"/>
  <c r="P65" i="1" s="1"/>
  <c r="D21" i="3"/>
  <c r="L299" i="3"/>
  <c r="F299" i="3"/>
  <c r="H299" i="3"/>
  <c r="M299" i="3"/>
  <c r="G299" i="3"/>
  <c r="E299" i="3"/>
  <c r="D115" i="3"/>
  <c r="O247" i="3"/>
  <c r="O36" i="3"/>
  <c r="D170" i="3"/>
  <c r="D236" i="3"/>
  <c r="O14" i="3"/>
  <c r="O238" i="3"/>
  <c r="M429" i="1"/>
  <c r="I429" i="1"/>
  <c r="H429" i="1"/>
  <c r="G429" i="1"/>
  <c r="N429" i="1"/>
  <c r="K421" i="1"/>
  <c r="F429" i="1"/>
  <c r="O184" i="3"/>
  <c r="O239" i="3"/>
  <c r="P14" i="1"/>
  <c r="P402" i="1"/>
  <c r="O193" i="3"/>
  <c r="O286" i="3"/>
  <c r="O283" i="3" s="1"/>
  <c r="O275" i="3" s="1"/>
  <c r="O267" i="3"/>
  <c r="O266" i="3" s="1"/>
  <c r="O38" i="3"/>
  <c r="O173" i="3"/>
  <c r="D252" i="3"/>
  <c r="P152" i="1"/>
  <c r="P151" i="1" s="1"/>
  <c r="O154" i="3"/>
  <c r="O206" i="3"/>
  <c r="O49" i="3"/>
  <c r="P237" i="1"/>
  <c r="P359" i="1"/>
  <c r="O265" i="3"/>
  <c r="O262" i="3" s="1"/>
  <c r="O137" i="3"/>
  <c r="O169" i="3"/>
  <c r="O161" i="3" s="1"/>
  <c r="D283" i="3"/>
  <c r="D275" i="3" s="1"/>
  <c r="P246" i="1"/>
  <c r="D161" i="3"/>
  <c r="O234" i="3"/>
  <c r="O157" i="3"/>
  <c r="O146" i="3"/>
  <c r="O121" i="3"/>
  <c r="O103" i="3"/>
  <c r="O90" i="3" s="1"/>
  <c r="O176" i="3"/>
  <c r="O260" i="3"/>
  <c r="O259" i="3" s="1"/>
  <c r="O177" i="3"/>
  <c r="P374" i="1"/>
  <c r="O198" i="3"/>
  <c r="O195" i="3" s="1"/>
  <c r="O153" i="3"/>
  <c r="D156" i="3"/>
  <c r="O254" i="3"/>
  <c r="O178" i="3"/>
  <c r="O160" i="3"/>
  <c r="O159" i="3"/>
  <c r="O125" i="3"/>
  <c r="O158" i="3"/>
  <c r="O122" i="3"/>
  <c r="L328" i="1"/>
  <c r="D185" i="3" l="1"/>
  <c r="O21" i="3"/>
  <c r="O236" i="3"/>
  <c r="F441" i="1"/>
  <c r="E421" i="1"/>
  <c r="E441" i="1" s="1"/>
  <c r="O252" i="3"/>
  <c r="O156" i="3"/>
  <c r="P342" i="1"/>
  <c r="P329" i="1" s="1"/>
  <c r="J328" i="1"/>
  <c r="K299" i="3" l="1"/>
  <c r="L429" i="1"/>
  <c r="E445" i="1"/>
  <c r="K441" i="1" s="1"/>
  <c r="K447" i="1" s="1"/>
  <c r="E443" i="1"/>
  <c r="F443" i="1" s="1"/>
  <c r="G441" i="1"/>
  <c r="O185" i="3"/>
  <c r="D288" i="3"/>
  <c r="E463" i="1" s="1"/>
  <c r="O182" i="3"/>
  <c r="O170" i="3" s="1"/>
  <c r="D299" i="3" l="1"/>
  <c r="J441" i="1"/>
  <c r="J447" i="1" s="1"/>
  <c r="L447" i="1" s="1"/>
  <c r="E429" i="1"/>
  <c r="J120" i="3"/>
  <c r="J115" i="3" s="1"/>
  <c r="N120" i="3"/>
  <c r="N115" i="3" s="1"/>
  <c r="J200" i="1"/>
  <c r="J193" i="1" l="1"/>
  <c r="J192" i="1" s="1"/>
  <c r="J415" i="1" s="1"/>
  <c r="K450" i="1"/>
  <c r="N288" i="3"/>
  <c r="O463" i="1" s="1"/>
  <c r="J288" i="3"/>
  <c r="K463" i="1" s="1"/>
  <c r="I120" i="3"/>
  <c r="P200" i="1"/>
  <c r="P193" i="1" s="1"/>
  <c r="P192" i="1" s="1"/>
  <c r="P13" i="1"/>
  <c r="P358" i="1"/>
  <c r="P401" i="1"/>
  <c r="N299" i="3" l="1"/>
  <c r="I115" i="3"/>
  <c r="I288" i="3" s="1"/>
  <c r="J463" i="1" s="1"/>
  <c r="O429" i="1"/>
  <c r="K429" i="1"/>
  <c r="K452" i="1"/>
  <c r="K453" i="1" s="1"/>
  <c r="K454" i="1" s="1"/>
  <c r="O120" i="3"/>
  <c r="O115" i="3" s="1"/>
  <c r="P373" i="1"/>
  <c r="P328" i="1"/>
  <c r="P245" i="1"/>
  <c r="P236" i="1"/>
  <c r="P415" i="1" l="1"/>
  <c r="I299" i="3"/>
  <c r="J421" i="1"/>
  <c r="O288" i="3"/>
  <c r="C55" i="1"/>
  <c r="P463" i="1" l="1"/>
  <c r="O299" i="3"/>
  <c r="P421" i="1"/>
  <c r="P429" i="1"/>
  <c r="J450" i="1"/>
  <c r="J429" i="1"/>
  <c r="C405" i="1"/>
  <c r="D405" i="1"/>
  <c r="B405" i="1"/>
  <c r="C306" i="1"/>
  <c r="D306" i="1"/>
  <c r="B306" i="1"/>
  <c r="J452" i="1" l="1"/>
  <c r="J453" i="1" s="1"/>
  <c r="C204" i="1"/>
  <c r="D204" i="1"/>
  <c r="B204" i="1"/>
  <c r="C30" i="1"/>
  <c r="B30" i="1"/>
  <c r="B177" i="1"/>
  <c r="C177" i="1"/>
  <c r="D177" i="1"/>
  <c r="B213" i="1"/>
  <c r="C213" i="1"/>
  <c r="B215" i="1"/>
  <c r="C215" i="1"/>
  <c r="C208" i="1"/>
  <c r="D208" i="1"/>
  <c r="B208" i="1"/>
  <c r="C365" i="1"/>
  <c r="B365" i="1"/>
  <c r="C361" i="1"/>
  <c r="D361" i="1"/>
  <c r="B361" i="1"/>
  <c r="D181" i="1"/>
  <c r="C181" i="1"/>
  <c r="B181" i="1"/>
  <c r="C180" i="1"/>
  <c r="D180" i="1"/>
  <c r="B180" i="1"/>
  <c r="C52" i="1"/>
  <c r="B52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2" i="1"/>
  <c r="D212" i="1"/>
  <c r="B212" i="1"/>
  <c r="C210" i="1"/>
  <c r="D210" i="1"/>
  <c r="B210" i="1"/>
  <c r="C206" i="1"/>
  <c r="D206" i="1"/>
  <c r="B206" i="1"/>
  <c r="C205" i="1"/>
  <c r="D205" i="1"/>
  <c r="B205" i="1"/>
  <c r="C202" i="1"/>
  <c r="B202" i="1"/>
  <c r="C201" i="1"/>
  <c r="B201" i="1"/>
  <c r="C200" i="1"/>
  <c r="D200" i="1"/>
  <c r="B200" i="1"/>
  <c r="C186" i="1"/>
  <c r="B186" i="1"/>
  <c r="C175" i="1"/>
  <c r="D175" i="1"/>
  <c r="B175" i="1"/>
  <c r="C173" i="1"/>
  <c r="B173" i="1"/>
  <c r="C170" i="1"/>
  <c r="B170" i="1"/>
  <c r="C163" i="1"/>
  <c r="B163" i="1"/>
  <c r="C109" i="1"/>
  <c r="C111" i="1"/>
  <c r="C85" i="1"/>
  <c r="B85" i="1"/>
  <c r="C84" i="1"/>
  <c r="B84" i="1"/>
  <c r="C60" i="1"/>
  <c r="D60" i="1"/>
  <c r="B60" i="1"/>
  <c r="C59" i="1"/>
  <c r="D59" i="1"/>
  <c r="B59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8" i="1"/>
  <c r="D48" i="1"/>
  <c r="B48" i="1"/>
  <c r="C47" i="1"/>
  <c r="B47" i="1"/>
  <c r="C42" i="1"/>
  <c r="D42" i="1"/>
  <c r="B42" i="1"/>
  <c r="C28" i="1"/>
  <c r="C29" i="1"/>
  <c r="B29" i="1"/>
  <c r="B28" i="1"/>
  <c r="C31" i="1"/>
  <c r="C32" i="1"/>
  <c r="B31" i="1"/>
  <c r="C38" i="1"/>
  <c r="D38" i="1"/>
  <c r="B38" i="1"/>
  <c r="C37" i="1"/>
  <c r="B37" i="1"/>
  <c r="C36" i="1"/>
  <c r="B36" i="1"/>
  <c r="C35" i="1"/>
  <c r="B35" i="1"/>
  <c r="C34" i="1"/>
  <c r="B34" i="1"/>
  <c r="C33" i="1"/>
  <c r="B33" i="1"/>
  <c r="C27" i="1"/>
  <c r="B27" i="1"/>
  <c r="C25" i="1"/>
  <c r="D25" i="1"/>
  <c r="B25" i="1"/>
  <c r="C24" i="1"/>
  <c r="B24" i="1"/>
  <c r="C23" i="1"/>
  <c r="D23" i="1"/>
  <c r="B23" i="1"/>
  <c r="C22" i="1"/>
  <c r="B22" i="1"/>
  <c r="C19" i="1"/>
  <c r="D19" i="1"/>
  <c r="B19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1" i="1"/>
  <c r="D281" i="1"/>
  <c r="B281" i="1"/>
  <c r="C282" i="1"/>
  <c r="B282" i="1"/>
  <c r="C284" i="1"/>
  <c r="B284" i="1"/>
  <c r="C305" i="1"/>
  <c r="B305" i="1"/>
  <c r="C313" i="1"/>
  <c r="D313" i="1"/>
  <c r="B313" i="1"/>
  <c r="C319" i="1"/>
  <c r="B319" i="1"/>
  <c r="C338" i="1"/>
  <c r="D338" i="1"/>
  <c r="B338" i="1"/>
  <c r="C342" i="1"/>
  <c r="B342" i="1"/>
  <c r="C343" i="1"/>
  <c r="B343" i="1"/>
  <c r="C345" i="1"/>
  <c r="B345" i="1"/>
  <c r="C344" i="1"/>
  <c r="B344" i="1"/>
  <c r="C348" i="1"/>
  <c r="B348" i="1"/>
  <c r="C354" i="1"/>
  <c r="B354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404" i="1"/>
  <c r="B404" i="1"/>
  <c r="C408" i="1"/>
  <c r="D408" i="1"/>
  <c r="B408" i="1"/>
  <c r="C409" i="1"/>
  <c r="D409" i="1"/>
  <c r="B409" i="1"/>
  <c r="C410" i="1"/>
  <c r="D410" i="1"/>
  <c r="C411" i="1"/>
  <c r="D411" i="1"/>
  <c r="B411" i="1"/>
  <c r="C403" i="1"/>
  <c r="B403" i="1"/>
  <c r="C375" i="1"/>
  <c r="B375" i="1"/>
  <c r="C368" i="1"/>
  <c r="B368" i="1"/>
  <c r="C360" i="1"/>
  <c r="B360" i="1"/>
  <c r="C333" i="1"/>
  <c r="B333" i="1"/>
  <c r="C323" i="1"/>
  <c r="B323" i="1"/>
  <c r="C267" i="1"/>
  <c r="B267" i="1"/>
  <c r="C247" i="1"/>
  <c r="B247" i="1"/>
  <c r="C239" i="1"/>
  <c r="B239" i="1"/>
  <c r="C198" i="1"/>
  <c r="B198" i="1"/>
  <c r="C162" i="1"/>
  <c r="B162" i="1"/>
  <c r="C83" i="1"/>
  <c r="B83" i="1"/>
  <c r="C17" i="1"/>
  <c r="B17" i="1"/>
  <c r="J454" i="1" l="1"/>
  <c r="L453" i="1"/>
  <c r="D222" i="3" l="1"/>
  <c r="D290" i="3" s="1"/>
  <c r="D301" i="3" l="1"/>
  <c r="I301" i="3"/>
  <c r="J431" i="1"/>
  <c r="O222" i="3"/>
  <c r="O290" i="3" s="1"/>
  <c r="P465" i="1" s="1"/>
  <c r="E431" i="1" l="1"/>
  <c r="E430" i="1"/>
  <c r="D300" i="3"/>
  <c r="D186" i="3"/>
  <c r="O301" i="3" l="1"/>
  <c r="P431" i="1"/>
  <c r="I196" i="3"/>
  <c r="I289" i="3" s="1"/>
  <c r="O196" i="3"/>
  <c r="O289" i="3" s="1"/>
  <c r="I300" i="3" l="1"/>
  <c r="O300" i="3"/>
  <c r="P430" i="1"/>
  <c r="J430" i="1"/>
  <c r="O186" i="3"/>
  <c r="I186" i="3"/>
</calcChain>
</file>

<file path=xl/sharedStrings.xml><?xml version="1.0" encoding="utf-8"?>
<sst xmlns="http://schemas.openxmlformats.org/spreadsheetml/2006/main" count="1233" uniqueCount="753">
  <si>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</si>
  <si>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</si>
  <si>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</si>
  <si>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</si>
  <si>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</si>
  <si>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</si>
  <si>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</si>
  <si>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</si>
  <si>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</si>
  <si>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</si>
  <si>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</si>
  <si>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</si>
  <si>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</si>
  <si>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</si>
  <si>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</si>
  <si>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</si>
  <si>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</si>
  <si>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</si>
  <si>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</si>
  <si>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</si>
  <si>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</si>
  <si>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</si>
  <si>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</si>
  <si>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</si>
  <si>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</si>
  <si>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</si>
  <si>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</si>
  <si>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</si>
  <si>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</si>
  <si>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</si>
  <si>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</si>
  <si>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</si>
  <si>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</si>
  <si>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</si>
  <si>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</si>
  <si>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</si>
  <si>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</si>
  <si>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</si>
  <si>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</si>
  <si>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</si>
  <si>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</si>
  <si>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</si>
  <si>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</si>
  <si>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</si>
  <si>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</si>
  <si>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</si>
  <si>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</si>
  <si>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</si>
  <si>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</si>
  <si>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</si>
  <si>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</si>
  <si>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</si>
  <si>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</si>
  <si>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</si>
  <si>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</si>
  <si>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</si>
  <si>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</si>
  <si>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</si>
  <si>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</si>
  <si>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</si>
  <si>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</si>
  <si>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</si>
  <si>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</si>
  <si>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</si>
  <si>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</si>
  <si>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</si>
  <si>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</si>
  <si>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</si>
  <si>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</si>
  <si>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</si>
  <si>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</si>
  <si>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</si>
  <si>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</si>
  <si>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</si>
  <si>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</si>
  <si>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</si>
  <si>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</si>
  <si>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</si>
  <si>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</si>
  <si>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</si>
  <si>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</si>
  <si>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</si>
  <si>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</si>
  <si>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</si>
  <si>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</si>
  <si>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</si>
  <si>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</si>
  <si>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</si>
  <si>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</si>
  <si>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</si>
  <si>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</si>
  <si>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</si>
  <si>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</si>
  <si>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</si>
  <si>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</si>
  <si>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</si>
  <si>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</si>
  <si>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</si>
  <si>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</si>
  <si>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</si>
  <si>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</si>
  <si>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</si>
  <si>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</si>
  <si>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</si>
  <si>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</si>
  <si>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</si>
  <si>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</si>
  <si>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</si>
  <si>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</si>
  <si>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</si>
  <si>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</si>
  <si>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</si>
  <si>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</si>
  <si>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</si>
  <si>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</si>
  <si>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</si>
  <si>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</si>
  <si>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</si>
  <si>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</si>
  <si>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</si>
  <si>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</si>
  <si>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</si>
  <si>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</si>
  <si>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</si>
  <si>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</si>
  <si>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</si>
  <si>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</si>
  <si>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</si>
  <si>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</si>
  <si>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</si>
  <si>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</si>
  <si>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</si>
  <si>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</si>
  <si>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</si>
  <si>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</si>
  <si>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</si>
  <si>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</si>
  <si>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</si>
  <si>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</si>
  <si>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</si>
  <si>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</si>
  <si>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</si>
  <si>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</si>
  <si>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</si>
  <si>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</si>
  <si>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</si>
  <si>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</si>
  <si>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</si>
  <si>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</si>
  <si>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</si>
  <si>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</si>
  <si>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</si>
  <si>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</si>
  <si>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</si>
  <si>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</si>
  <si>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</si>
  <si>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</si>
  <si>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</si>
  <si>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</si>
  <si>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</si>
  <si>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</si>
  <si>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</si>
  <si>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</si>
  <si>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</si>
  <si>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</si>
  <si>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</si>
  <si>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</si>
  <si>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</si>
  <si>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</si>
  <si>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</si>
  <si>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</si>
  <si>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</si>
  <si>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</si>
  <si>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</si>
  <si>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</si>
  <si>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</si>
  <si>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</si>
  <si>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</si>
  <si>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</si>
  <si>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</si>
  <si>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</si>
  <si>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</si>
  <si>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</si>
  <si>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</si>
  <si>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</si>
  <si>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</si>
  <si>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</si>
  <si>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</si>
  <si>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</si>
  <si>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</si>
  <si>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</si>
  <si>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</si>
  <si>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</si>
  <si>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</si>
  <si>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</si>
  <si>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</si>
  <si>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</si>
  <si>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</si>
  <si>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</si>
  <si>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</si>
  <si>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</si>
  <si>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</si>
  <si>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</si>
  <si>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</si>
  <si>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</si>
  <si>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</si>
  <si>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</si>
  <si>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</si>
  <si>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</si>
  <si>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</si>
  <si>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</si>
  <si>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</si>
  <si>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</si>
  <si>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</si>
  <si>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</si>
  <si>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</si>
  <si>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</si>
  <si>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</si>
  <si>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</si>
  <si>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</si>
  <si>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</si>
  <si>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</si>
  <si>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</si>
  <si>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</si>
  <si>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</si>
  <si>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</si>
  <si>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</si>
  <si>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</si>
  <si>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</si>
  <si>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</si>
  <si>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</si>
  <si>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</si>
  <si>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</si>
  <si>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</si>
  <si>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</si>
  <si>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</si>
  <si>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</si>
  <si>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</si>
  <si>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</si>
  <si>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</si>
  <si>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</si>
  <si>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</si>
  <si>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</si>
  <si>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</si>
  <si>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</si>
  <si>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</si>
  <si>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</si>
  <si>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</si>
  <si>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</si>
  <si>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</si>
  <si>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</si>
  <si>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</si>
  <si>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</si>
  <si>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</si>
  <si>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</si>
  <si>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</si>
  <si>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</si>
  <si>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</si>
  <si>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</si>
  <si>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</si>
  <si>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</si>
  <si>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</si>
  <si>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</si>
  <si>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</si>
  <si>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</si>
  <si>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</si>
  <si>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</si>
  <si>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</si>
  <si>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</si>
  <si>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</si>
  <si>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</si>
  <si>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</si>
  <si>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</si>
  <si>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</si>
  <si>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</si>
  <si>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</si>
  <si>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</si>
  <si>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</si>
  <si>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</si>
  <si>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</si>
  <si>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</si>
  <si>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</si>
  <si>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</si>
  <si>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</si>
  <si>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</si>
  <si>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</si>
  <si>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</si>
  <si>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</si>
  <si>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</si>
  <si>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</si>
  <si>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</si>
  <si>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</si>
  <si>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</si>
  <si>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</si>
  <si>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</si>
  <si>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</si>
  <si>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</si>
  <si>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</si>
  <si>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</si>
  <si>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</si>
  <si>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</si>
  <si>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</si>
  <si>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</si>
  <si>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</si>
  <si>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</si>
  <si>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</si>
  <si>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</si>
  <si>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</si>
  <si>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</si>
  <si>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</si>
  <si>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</si>
  <si>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</si>
  <si>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</si>
  <si>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</si>
  <si>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</si>
  <si>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</si>
  <si>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</si>
  <si>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</si>
  <si>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</si>
  <si>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</si>
  <si>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</si>
  <si>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</si>
  <si>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</si>
  <si>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</si>
  <si>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</si>
  <si>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</si>
  <si>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</si>
  <si>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</si>
  <si>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</si>
  <si>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</si>
  <si>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</si>
  <si>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</si>
  <si>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</si>
  <si>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</si>
  <si>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</si>
  <si>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</si>
  <si>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</si>
  <si>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</si>
  <si>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</si>
  <si>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</si>
  <si>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</si>
  <si>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</si>
  <si>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</si>
  <si>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</si>
  <si>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</si>
  <si>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</si>
  <si>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</si>
  <si>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</si>
  <si>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</si>
  <si>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</si>
  <si>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</si>
  <si>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</si>
  <si>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</si>
  <si>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</si>
  <si>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</si>
  <si>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</si>
  <si>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</si>
  <si>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</si>
  <si>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</si>
  <si>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</si>
  <si>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</si>
  <si>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</si>
  <si>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</si>
  <si>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</si>
  <si>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</si>
  <si>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</si>
  <si>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</si>
  <si>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</si>
  <si>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</si>
  <si>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</si>
  <si>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</si>
  <si>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</si>
  <si>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</si>
  <si>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</si>
  <si>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</si>
  <si>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</si>
  <si>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</si>
  <si>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</si>
  <si>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</si>
  <si>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</si>
  <si>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</si>
  <si>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</si>
  <si>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</si>
  <si>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</si>
  <si>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</si>
  <si>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</si>
  <si>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</si>
  <si>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</si>
  <si>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</si>
  <si>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</si>
  <si>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</si>
  <si>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</si>
  <si>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</si>
  <si>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</si>
  <si>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</si>
  <si>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</si>
  <si>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</si>
  <si>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</si>
  <si>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</si>
  <si>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</si>
  <si>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</si>
  <si>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</si>
  <si>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</si>
  <si>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</si>
  <si>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</si>
  <si>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</si>
  <si>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</si>
  <si>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</si>
  <si>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</si>
  <si>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</si>
  <si>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</si>
  <si>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</si>
  <si>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</si>
  <si>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</si>
  <si>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</si>
  <si>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</si>
  <si>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</si>
  <si>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</si>
  <si>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</si>
  <si>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</si>
  <si>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</si>
  <si>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</si>
  <si>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</si>
  <si>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</si>
  <si>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</si>
  <si>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</si>
  <si>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</si>
  <si>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</si>
  <si>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</si>
  <si>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</si>
  <si>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</si>
  <si>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</si>
  <si>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</si>
  <si>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</si>
  <si>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</si>
  <si>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</si>
  <si>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</si>
  <si>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</si>
  <si>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</si>
  <si>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</si>
  <si>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</si>
  <si>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</si>
  <si>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</si>
  <si>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</si>
  <si>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</si>
  <si>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</si>
  <si>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</si>
  <si>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</si>
  <si>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</si>
  <si>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</si>
  <si>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</si>
  <si>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</si>
  <si>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</si>
  <si>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</si>
  <si>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</si>
  <si>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</si>
  <si>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</si>
  <si>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</si>
  <si>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</si>
  <si>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</si>
  <si>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</si>
  <si>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</si>
  <si>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</si>
  <si>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</si>
  <si>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</si>
  <si>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</si>
  <si>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</si>
  <si>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</si>
  <si>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</si>
  <si>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</si>
  <si>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</si>
  <si>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</si>
  <si>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</si>
  <si>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</si>
  <si>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</si>
  <si>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</si>
  <si>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</si>
  <si>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</si>
  <si>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</si>
  <si>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</si>
  <si>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</si>
  <si>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</si>
  <si>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</si>
  <si>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</si>
  <si>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</si>
  <si>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</si>
  <si>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</si>
  <si>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</si>
  <si>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</si>
  <si>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</si>
  <si>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</si>
  <si>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</si>
  <si>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</si>
  <si>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</si>
  <si>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</si>
  <si>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</si>
  <si>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</si>
  <si>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</si>
  <si>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</si>
  <si>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</si>
  <si>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</si>
  <si>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</si>
  <si>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</si>
  <si>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</si>
  <si>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</si>
  <si>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</si>
  <si>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</si>
  <si>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</si>
  <si>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</si>
  <si>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</si>
  <si>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</si>
  <si>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</si>
  <si>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</si>
  <si>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</si>
  <si>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</si>
  <si>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</si>
  <si>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</si>
  <si>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</si>
  <si>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</si>
  <si>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</si>
  <si>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</si>
  <si>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</si>
  <si>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</si>
  <si>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</si>
  <si>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</si>
  <si>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</si>
  <si>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</si>
  <si>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</si>
  <si>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</si>
  <si>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</si>
  <si>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</si>
  <si>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</si>
  <si>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</si>
  <si>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</si>
  <si>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</si>
  <si>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</si>
  <si>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</si>
  <si>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</si>
  <si>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</si>
  <si>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</si>
  <si>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</si>
  <si>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</si>
  <si>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</si>
  <si>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</si>
  <si>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</si>
  <si>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</si>
  <si>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</si>
  <si>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</si>
  <si>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</si>
  <si>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</si>
  <si>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</si>
  <si>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</si>
  <si>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</si>
  <si>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</si>
  <si>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</si>
  <si>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</si>
  <si>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</si>
  <si>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</si>
  <si>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</si>
  <si>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</si>
  <si>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</si>
  <si>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</si>
  <si>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</si>
  <si>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</si>
  <si>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</si>
  <si>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</si>
  <si>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</si>
  <si>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</si>
  <si>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</si>
  <si>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</si>
  <si>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</si>
  <si>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</si>
  <si>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</si>
  <si>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</si>
  <si>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</si>
  <si>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</si>
  <si>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</si>
  <si>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</si>
  <si>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</si>
  <si>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</si>
  <si>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</si>
  <si>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</si>
  <si>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</si>
  <si>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</si>
  <si>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</si>
  <si>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</si>
  <si>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</si>
  <si>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</si>
  <si>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</si>
  <si>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</si>
  <si>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</si>
  <si>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</si>
  <si>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</si>
  <si>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</si>
  <si>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</si>
  <si>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</si>
  <si>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</si>
  <si>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</si>
  <si>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</si>
  <si>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</si>
  <si>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</si>
  <si>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</si>
  <si>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</si>
  <si>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</si>
  <si>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</si>
  <si>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</si>
  <si>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</si>
  <si>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</si>
  <si>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</si>
  <si>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</si>
  <si>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</si>
  <si>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</si>
  <si>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</si>
  <si>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</si>
  <si>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</si>
  <si>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</si>
  <si>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</si>
  <si>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</si>
  <si>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</si>
  <si>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</si>
  <si>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</si>
  <si>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</si>
  <si>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</si>
  <si>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</si>
  <si>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</si>
  <si>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</si>
  <si>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</si>
  <si>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</si>
  <si>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</si>
  <si>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</si>
  <si>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</si>
  <si>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</si>
  <si>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</si>
  <si>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</si>
  <si>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</si>
  <si>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</si>
  <si>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</si>
  <si>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</si>
  <si>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</si>
  <si>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</si>
  <si>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</si>
  <si>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</si>
  <si>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</si>
  <si>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</si>
  <si>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</si>
  <si>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</si>
  <si>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</si>
  <si>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</si>
  <si>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</si>
  <si>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</si>
  <si>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</si>
  <si>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</si>
  <si>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</si>
  <si>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</si>
  <si>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</si>
  <si>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</si>
  <si>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</si>
  <si>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</si>
  <si>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</si>
  <si>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</si>
  <si>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</si>
  <si>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</si>
  <si>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</si>
  <si>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</si>
  <si>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</si>
  <si>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</si>
  <si>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</si>
  <si>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</si>
  <si>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</si>
  <si>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</si>
  <si>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</si>
  <si>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</si>
  <si>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</si>
  <si>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</si>
  <si>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</si>
  <si>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</si>
  <si>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</si>
  <si>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</si>
  <si>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</si>
  <si>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</si>
  <si>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</si>
  <si>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</si>
  <si>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</si>
  <si>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</si>
  <si>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</si>
  <si>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</si>
  <si>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</si>
  <si>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</si>
  <si>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</si>
  <si>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</si>
  <si>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</si>
  <si>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</si>
  <si>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</si>
  <si>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</si>
  <si>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</si>
  <si>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</si>
  <si>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</si>
  <si>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</si>
  <si>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</si>
  <si>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</si>
  <si>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</si>
  <si>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</si>
  <si>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</si>
  <si>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</si>
  <si>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</si>
  <si>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</si>
  <si>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</si>
  <si>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</si>
  <si>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</si>
  <si>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</si>
  <si>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</si>
  <si>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</si>
  <si>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</si>
  <si>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</si>
  <si>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</si>
  <si>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</si>
  <si>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</si>
  <si>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</si>
  <si>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</si>
  <si>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</si>
  <si>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</si>
  <si>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</si>
  <si>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</si>
  <si>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</si>
  <si>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1217384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</si>
  <si>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</si>
  <si>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0611272</t>
  </si>
  <si>
    <t>0611271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</si>
  <si>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</si>
  <si>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</si>
  <si>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</si>
  <si>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</si>
  <si>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</si>
  <si>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Реалізація заходів за рахунок освітньої субвенції з державного бюджету місцевим бюджетам (за спеціальним фондом державного бюджету) у т.ч. за рахунок:</t>
  </si>
  <si>
    <t>5000000</t>
  </si>
  <si>
    <t>5010000</t>
  </si>
  <si>
    <t>Сумська міська військова адміністрація Сумського району Сумської області</t>
  </si>
  <si>
    <t>5010160</t>
  </si>
  <si>
    <t>3617691</t>
  </si>
  <si>
    <t>Директор Департаменту фінансів,економіки</t>
  </si>
  <si>
    <t>та інвестицій Сумської міської ради</t>
  </si>
  <si>
    <t>Світлана ЛИПОВА</t>
  </si>
  <si>
    <t>Директор Департаменту фінансів, економіки</t>
  </si>
  <si>
    <t>до                    наказу             Сумської</t>
  </si>
  <si>
    <t>міської       військової     адміністрації</t>
  </si>
  <si>
    <t>міської     військової     адміністрації</t>
  </si>
  <si>
    <t>до                 наказу              Сумської</t>
  </si>
  <si>
    <t>Багатопрофільна стаціонарна медична допомога населенню, у т.ч. за рахунок:</t>
  </si>
  <si>
    <t>Охорона здоров’я, у т. ч. за рахунок:</t>
  </si>
  <si>
    <t xml:space="preserve">                     Додаток 3</t>
  </si>
  <si>
    <t xml:space="preserve">                     Додаток 6</t>
  </si>
  <si>
    <t>від  25.12.2023          №  113    -  СМР</t>
  </si>
  <si>
    <t xml:space="preserve">від  25.12.2023         №   113  - 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</si>
</sst>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95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textRotation="180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4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1" xfId="0" applyNumberFormat="1" applyFont="1" applyFill="1" applyBorder="1" applyAlignment="1">
      <alignment horizontal="center"/>
    </xf>
    <xf numFmtId="4" fontId="23" fillId="42" borderId="22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5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" fontId="46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5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center"/>
    </xf>
    <xf numFmtId="4" fontId="23" fillId="42" borderId="27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1" fontId="29" fillId="42" borderId="7" xfId="0" applyNumberFormat="1" applyFont="1" applyFill="1" applyBorder="1" applyAlignment="1">
      <alignment horizontal="left" vertical="center" wrapText="1"/>
    </xf>
    <xf numFmtId="3" fontId="23" fillId="42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lef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9" fontId="46" fillId="42" borderId="0" xfId="0" applyNumberFormat="1" applyFont="1" applyFill="1" applyBorder="1" applyAlignment="1" applyProtection="1"/>
    <xf numFmtId="1" fontId="30" fillId="0" borderId="2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4" fontId="44" fillId="42" borderId="0" xfId="0" applyNumberFormat="1" applyFont="1" applyFill="1" applyAlignment="1">
      <alignment horizontal="left" vertical="center"/>
    </xf>
    <xf numFmtId="4" fontId="44" fillId="0" borderId="0" xfId="0" applyNumberFormat="1" applyFont="1" applyFill="1" applyAlignment="1"/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left" vertical="center" wrapText="1"/>
    </xf>
    <xf numFmtId="4" fontId="47" fillId="0" borderId="7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27" fillId="42" borderId="0" xfId="0" applyNumberFormat="1" applyFont="1" applyFill="1" applyBorder="1" applyAlignment="1">
      <alignment horizontal="center" vertical="center" textRotation="180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42" fillId="42" borderId="0" xfId="0" applyNumberFormat="1" applyFont="1" applyFill="1" applyAlignment="1"/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4" fillId="42" borderId="29" xfId="0" applyNumberFormat="1" applyFont="1" applyFill="1" applyBorder="1" applyAlignment="1">
      <alignment horizontal="center"/>
    </xf>
    <xf numFmtId="4" fontId="24" fillId="42" borderId="30" xfId="0" applyNumberFormat="1" applyFont="1" applyFill="1" applyBorder="1" applyAlignment="1">
      <alignment horizontal="center"/>
    </xf>
    <xf numFmtId="4" fontId="26" fillId="42" borderId="19" xfId="0" applyNumberFormat="1" applyFont="1" applyFill="1" applyBorder="1" applyAlignment="1">
      <alignment horizontal="center"/>
    </xf>
    <xf numFmtId="4" fontId="26" fillId="42" borderId="11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4" fillId="42" borderId="0" xfId="0" applyNumberFormat="1" applyFont="1" applyFill="1" applyAlignment="1">
      <alignment horizontal="left" vertical="top"/>
    </xf>
    <xf numFmtId="4" fontId="42" fillId="42" borderId="0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 vertical="center"/>
    </xf>
    <xf numFmtId="0" fontId="35" fillId="42" borderId="0" xfId="0" applyNumberFormat="1" applyFont="1" applyFill="1" applyAlignment="1" applyProtection="1">
      <alignment horizontal="center" vertical="top"/>
    </xf>
    <xf numFmtId="2" fontId="23" fillId="42" borderId="27" xfId="0" applyNumberFormat="1" applyFont="1" applyFill="1" applyBorder="1" applyAlignment="1" applyProtection="1">
      <alignment horizontal="right" vertical="center" wrapText="1"/>
    </xf>
    <xf numFmtId="2" fontId="23" fillId="42" borderId="31" xfId="0" applyNumberFormat="1" applyFont="1" applyFill="1" applyBorder="1" applyAlignment="1" applyProtection="1">
      <alignment horizontal="right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Border="1" applyAlignment="1">
      <alignment horizontal="center" vertical="center" textRotation="180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>
      <alignment horizontal="lef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87"/>
  <sheetViews>
    <sheetView showGridLines="0" showZeros="0" tabSelected="1" view="pageBreakPreview" topLeftCell="F1" zoomScale="69" zoomScaleNormal="82" zoomScaleSheetLayoutView="69" workbookViewId="0">
      <selection activeCell="K5" sqref="K5:N5"/>
    </sheetView>
  </sheetViews>
  <sheetFormatPr defaultColWidth="9.1640625" defaultRowHeight="15" x14ac:dyDescent="0.25"/>
  <cols>
    <col min="1" max="1" width="16.1640625" style="91" customWidth="1"/>
    <col min="2" max="2" width="15.33203125" style="92" customWidth="1"/>
    <col min="3" max="3" width="14.6640625" style="92" customWidth="1"/>
    <col min="4" max="4" width="62" style="93" customWidth="1"/>
    <col min="5" max="5" width="22.33203125" style="77" customWidth="1"/>
    <col min="6" max="6" width="22.5" style="77" customWidth="1"/>
    <col min="7" max="7" width="22.1640625" style="77" customWidth="1"/>
    <col min="8" max="8" width="22.5" style="77" customWidth="1"/>
    <col min="9" max="9" width="20" style="77" customWidth="1"/>
    <col min="10" max="10" width="22.33203125" style="77" customWidth="1"/>
    <col min="11" max="11" width="23.1640625" style="77" customWidth="1"/>
    <col min="12" max="12" width="20" style="77" customWidth="1"/>
    <col min="13" max="13" width="19.5" style="77" customWidth="1"/>
    <col min="14" max="14" width="18.83203125" style="77" customWidth="1"/>
    <col min="15" max="15" width="23.6640625" style="77" customWidth="1"/>
    <col min="16" max="16" width="27.83203125" style="223" customWidth="1"/>
    <col min="17" max="17" width="6.6640625" style="157" customWidth="1"/>
    <col min="18" max="18" width="19.33203125" style="95" bestFit="1" customWidth="1"/>
    <col min="19" max="525" width="9.1640625" style="95"/>
    <col min="526" max="16384" width="9.1640625" style="96"/>
  </cols>
  <sheetData>
    <row r="1" spans="1:525" ht="29.25" x14ac:dyDescent="0.4">
      <c r="K1" s="94" t="s">
        <v>749</v>
      </c>
      <c r="L1" s="94"/>
      <c r="M1" s="94"/>
      <c r="N1" s="94"/>
      <c r="O1" s="94"/>
      <c r="P1" s="94"/>
      <c r="Q1" s="259">
        <v>15</v>
      </c>
    </row>
    <row r="2" spans="1:525" ht="29.25" x14ac:dyDescent="0.25">
      <c r="K2" s="242" t="s">
        <v>746</v>
      </c>
      <c r="L2" s="242"/>
      <c r="M2" s="242"/>
      <c r="N2" s="242"/>
      <c r="O2" s="242"/>
      <c r="P2" s="242"/>
      <c r="Q2" s="259"/>
    </row>
    <row r="3" spans="1:525" ht="26.25" customHeight="1" x14ac:dyDescent="0.25">
      <c r="K3" s="280" t="s">
        <v>745</v>
      </c>
      <c r="L3" s="280"/>
      <c r="M3" s="280"/>
      <c r="N3" s="280"/>
      <c r="O3" s="242"/>
      <c r="P3" s="242"/>
      <c r="Q3" s="259"/>
    </row>
    <row r="4" spans="1:525" ht="29.25" x14ac:dyDescent="0.4">
      <c r="K4" s="270" t="s">
        <v>752</v>
      </c>
      <c r="L4" s="270"/>
      <c r="M4" s="270"/>
      <c r="N4" s="270"/>
      <c r="O4" s="270"/>
      <c r="P4" s="270"/>
      <c r="Q4" s="259"/>
    </row>
    <row r="5" spans="1:525" ht="60" customHeight="1" x14ac:dyDescent="0.4">
      <c r="K5" s="278"/>
      <c r="L5" s="278"/>
      <c r="M5" s="278"/>
      <c r="N5" s="278"/>
      <c r="O5" s="94"/>
      <c r="P5" s="94"/>
      <c r="Q5" s="259"/>
    </row>
    <row r="6" spans="1:525" s="98" customFormat="1" ht="71.25" customHeight="1" x14ac:dyDescent="0.3">
      <c r="A6" s="271" t="s">
        <v>606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59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</row>
    <row r="7" spans="1:525" s="98" customFormat="1" ht="23.25" customHeight="1" x14ac:dyDescent="0.35">
      <c r="A7" s="277" t="s">
        <v>690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59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</row>
    <row r="8" spans="1:525" s="98" customFormat="1" ht="19.5" customHeight="1" x14ac:dyDescent="0.3">
      <c r="A8" s="281" t="s">
        <v>534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59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</row>
    <row r="9" spans="1:525" s="104" customFormat="1" ht="22.5" customHeight="1" x14ac:dyDescent="0.3">
      <c r="A9" s="99"/>
      <c r="B9" s="100"/>
      <c r="C9" s="100"/>
      <c r="D9" s="10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02" t="s">
        <v>353</v>
      </c>
      <c r="Q9" s="259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</row>
    <row r="10" spans="1:525" s="106" customFormat="1" ht="20.25" customHeight="1" x14ac:dyDescent="0.2">
      <c r="A10" s="272" t="s">
        <v>331</v>
      </c>
      <c r="B10" s="273" t="s">
        <v>332</v>
      </c>
      <c r="C10" s="273" t="s">
        <v>322</v>
      </c>
      <c r="D10" s="273" t="s">
        <v>333</v>
      </c>
      <c r="E10" s="275" t="s">
        <v>221</v>
      </c>
      <c r="F10" s="275"/>
      <c r="G10" s="275"/>
      <c r="H10" s="275"/>
      <c r="I10" s="275"/>
      <c r="J10" s="275" t="s">
        <v>222</v>
      </c>
      <c r="K10" s="275"/>
      <c r="L10" s="275"/>
      <c r="M10" s="275"/>
      <c r="N10" s="275"/>
      <c r="O10" s="275"/>
      <c r="P10" s="275" t="s">
        <v>223</v>
      </c>
      <c r="Q10" s="259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</row>
    <row r="11" spans="1:525" s="106" customFormat="1" ht="19.5" customHeight="1" x14ac:dyDescent="0.2">
      <c r="A11" s="272"/>
      <c r="B11" s="273"/>
      <c r="C11" s="273"/>
      <c r="D11" s="273"/>
      <c r="E11" s="276" t="s">
        <v>323</v>
      </c>
      <c r="F11" s="276" t="s">
        <v>224</v>
      </c>
      <c r="G11" s="274" t="s">
        <v>225</v>
      </c>
      <c r="H11" s="274"/>
      <c r="I11" s="276" t="s">
        <v>226</v>
      </c>
      <c r="J11" s="276" t="s">
        <v>323</v>
      </c>
      <c r="K11" s="276" t="s">
        <v>324</v>
      </c>
      <c r="L11" s="276" t="s">
        <v>224</v>
      </c>
      <c r="M11" s="274" t="s">
        <v>225</v>
      </c>
      <c r="N11" s="274"/>
      <c r="O11" s="276" t="s">
        <v>226</v>
      </c>
      <c r="P11" s="275"/>
      <c r="Q11" s="259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</row>
    <row r="12" spans="1:525" s="106" customFormat="1" ht="72.75" customHeight="1" x14ac:dyDescent="0.2">
      <c r="A12" s="272"/>
      <c r="B12" s="273"/>
      <c r="C12" s="273"/>
      <c r="D12" s="273"/>
      <c r="E12" s="276"/>
      <c r="F12" s="276"/>
      <c r="G12" s="209" t="s">
        <v>227</v>
      </c>
      <c r="H12" s="209" t="s">
        <v>228</v>
      </c>
      <c r="I12" s="276"/>
      <c r="J12" s="276"/>
      <c r="K12" s="276"/>
      <c r="L12" s="276"/>
      <c r="M12" s="209" t="s">
        <v>227</v>
      </c>
      <c r="N12" s="209" t="s">
        <v>228</v>
      </c>
      <c r="O12" s="276"/>
      <c r="P12" s="275"/>
      <c r="Q12" s="259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</row>
    <row r="13" spans="1:525" s="111" customFormat="1" ht="24" customHeight="1" x14ac:dyDescent="0.25">
      <c r="A13" s="107" t="s">
        <v>146</v>
      </c>
      <c r="B13" s="108"/>
      <c r="C13" s="108"/>
      <c r="D13" s="109" t="s">
        <v>34</v>
      </c>
      <c r="E13" s="79">
        <f>E14</f>
        <v>379759628.69999999</v>
      </c>
      <c r="F13" s="79">
        <f t="shared" ref="F13:J13" si="0">F14</f>
        <v>297286185.69999999</v>
      </c>
      <c r="G13" s="79">
        <f t="shared" si="0"/>
        <v>105950671</v>
      </c>
      <c r="H13" s="79">
        <f t="shared" si="0"/>
        <v>14962747</v>
      </c>
      <c r="I13" s="79">
        <f t="shared" si="0"/>
        <v>82473443</v>
      </c>
      <c r="J13" s="79">
        <f t="shared" si="0"/>
        <v>141317002.63</v>
      </c>
      <c r="K13" s="79">
        <f t="shared" ref="K13" si="1">K14</f>
        <v>140552712</v>
      </c>
      <c r="L13" s="79">
        <f t="shared" ref="L13" si="2">L14</f>
        <v>764290.63</v>
      </c>
      <c r="M13" s="79">
        <f t="shared" ref="M13" si="3">M14</f>
        <v>296610</v>
      </c>
      <c r="N13" s="79">
        <f t="shared" ref="N13" si="4">N14</f>
        <v>98700</v>
      </c>
      <c r="O13" s="79">
        <f t="shared" ref="O13:P13" si="5">O14</f>
        <v>140552712</v>
      </c>
      <c r="P13" s="79">
        <f t="shared" si="5"/>
        <v>521076631.32999998</v>
      </c>
      <c r="Q13" s="259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</row>
    <row r="14" spans="1:525" s="116" customFormat="1" ht="31.5" customHeight="1" x14ac:dyDescent="0.25">
      <c r="A14" s="112" t="s">
        <v>147</v>
      </c>
      <c r="B14" s="113"/>
      <c r="C14" s="113"/>
      <c r="D14" s="114" t="s">
        <v>678</v>
      </c>
      <c r="E14" s="80">
        <f>E17+E18+E19+E20+E22+E23+E24+E25+E27+E28+E29+E30+E31+E32+E33+E34+E35+E36+E37+E38+E40+E41+E42+E44+E46+E47+E48+E50+E51+E52+E53+E54+E55+E57+E59+E60+E43+E45+E64+E61+E39+E26+E62+E58+E63+E49</f>
        <v>379759628.69999999</v>
      </c>
      <c r="F14" s="80">
        <f t="shared" ref="F14:P14" si="6">F17+F18+F19+F20+F22+F23+F24+F25+F27+F28+F29+F30+F31+F32+F33+F34+F35+F36+F37+F38+F40+F41+F42+F44+F46+F47+F48+F50+F51+F52+F53+F54+F55+F57+F59+F60+F43+F45+F64+F61+F39+F26+F62+F58+F63+F49</f>
        <v>297286185.69999999</v>
      </c>
      <c r="G14" s="80">
        <f t="shared" si="6"/>
        <v>105950671</v>
      </c>
      <c r="H14" s="80">
        <f t="shared" si="6"/>
        <v>14962747</v>
      </c>
      <c r="I14" s="80">
        <f t="shared" si="6"/>
        <v>82473443</v>
      </c>
      <c r="J14" s="80">
        <f t="shared" si="6"/>
        <v>141317002.63</v>
      </c>
      <c r="K14" s="80">
        <f t="shared" si="6"/>
        <v>140552712</v>
      </c>
      <c r="L14" s="80">
        <f t="shared" si="6"/>
        <v>764290.63</v>
      </c>
      <c r="M14" s="80">
        <f t="shared" si="6"/>
        <v>296610</v>
      </c>
      <c r="N14" s="80">
        <f t="shared" si="6"/>
        <v>98700</v>
      </c>
      <c r="O14" s="80">
        <f t="shared" si="6"/>
        <v>140552712</v>
      </c>
      <c r="P14" s="80">
        <f t="shared" si="6"/>
        <v>521076631.32999998</v>
      </c>
      <c r="Q14" s="259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</row>
    <row r="15" spans="1:525" s="116" customFormat="1" ht="63" customHeight="1" x14ac:dyDescent="0.25">
      <c r="A15" s="112"/>
      <c r="B15" s="113"/>
      <c r="C15" s="113"/>
      <c r="D15" s="114" t="s">
        <v>377</v>
      </c>
      <c r="E15" s="80">
        <f>E56</f>
        <v>458400</v>
      </c>
      <c r="F15" s="80">
        <f t="shared" ref="F15:P15" si="7">F56</f>
        <v>458400</v>
      </c>
      <c r="G15" s="80">
        <f t="shared" si="7"/>
        <v>375680</v>
      </c>
      <c r="H15" s="80">
        <f t="shared" si="7"/>
        <v>0</v>
      </c>
      <c r="I15" s="80">
        <f t="shared" si="7"/>
        <v>0</v>
      </c>
      <c r="J15" s="80">
        <f t="shared" si="7"/>
        <v>0</v>
      </c>
      <c r="K15" s="80">
        <f t="shared" si="7"/>
        <v>0</v>
      </c>
      <c r="L15" s="80">
        <f t="shared" si="7"/>
        <v>0</v>
      </c>
      <c r="M15" s="80">
        <f t="shared" si="7"/>
        <v>0</v>
      </c>
      <c r="N15" s="80">
        <f t="shared" si="7"/>
        <v>0</v>
      </c>
      <c r="O15" s="80">
        <f t="shared" si="7"/>
        <v>0</v>
      </c>
      <c r="P15" s="80">
        <f t="shared" si="7"/>
        <v>458400</v>
      </c>
      <c r="Q15" s="259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63" hidden="1" customHeight="1" x14ac:dyDescent="0.25">
      <c r="A16" s="112"/>
      <c r="B16" s="113"/>
      <c r="C16" s="113"/>
      <c r="D16" s="114" t="str">
        <f>'дод 6'!C20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6" s="80">
        <f>E21</f>
        <v>0</v>
      </c>
      <c r="F16" s="80">
        <f t="shared" ref="F16:P16" si="8">F21</f>
        <v>0</v>
      </c>
      <c r="G16" s="80">
        <f t="shared" si="8"/>
        <v>0</v>
      </c>
      <c r="H16" s="80">
        <f t="shared" si="8"/>
        <v>0</v>
      </c>
      <c r="I16" s="80">
        <f t="shared" si="8"/>
        <v>0</v>
      </c>
      <c r="J16" s="80">
        <f t="shared" si="8"/>
        <v>0</v>
      </c>
      <c r="K16" s="80">
        <f t="shared" si="8"/>
        <v>0</v>
      </c>
      <c r="L16" s="80">
        <f t="shared" si="8"/>
        <v>0</v>
      </c>
      <c r="M16" s="80">
        <f t="shared" si="8"/>
        <v>0</v>
      </c>
      <c r="N16" s="80">
        <f t="shared" si="8"/>
        <v>0</v>
      </c>
      <c r="O16" s="80">
        <f t="shared" si="8"/>
        <v>0</v>
      </c>
      <c r="P16" s="80">
        <f t="shared" si="8"/>
        <v>0</v>
      </c>
      <c r="Q16" s="259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21" customFormat="1" ht="45.75" customHeight="1" x14ac:dyDescent="0.25">
      <c r="A17" s="117" t="s">
        <v>148</v>
      </c>
      <c r="B17" s="118" t="str">
        <f>'дод 6'!A16</f>
        <v>0160</v>
      </c>
      <c r="C17" s="118" t="str">
        <f>'дод 6'!B16</f>
        <v>0111</v>
      </c>
      <c r="D17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17" s="81">
        <f t="shared" ref="E17:E61" si="9">F17+I17</f>
        <v>105635459</v>
      </c>
      <c r="F17" s="81">
        <f>112314500+175579+152000+65000+300000+264700-300000-101320-164700-5527200-836100+97000-110000+140000-57600-741400-35000</f>
        <v>105635459</v>
      </c>
      <c r="G17" s="81">
        <f>80351600+217000-4530500-560500</f>
        <v>75477600</v>
      </c>
      <c r="H17" s="81">
        <f>5783800-101320-836100-110000-57600-9500-35000</f>
        <v>4634280</v>
      </c>
      <c r="I17" s="81"/>
      <c r="J17" s="81">
        <f>L17+O17</f>
        <v>3573506</v>
      </c>
      <c r="K17" s="81">
        <f>787000+261806+164700+2000000+360000</f>
        <v>3573506</v>
      </c>
      <c r="L17" s="81"/>
      <c r="M17" s="81"/>
      <c r="N17" s="81"/>
      <c r="O17" s="81">
        <f>787000+261806+164700+2000000+360000</f>
        <v>3573506</v>
      </c>
      <c r="P17" s="81">
        <f t="shared" ref="P17:P64" si="10">E17+J17</f>
        <v>109208965</v>
      </c>
      <c r="Q17" s="259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1" customFormat="1" ht="35.25" hidden="1" customHeight="1" x14ac:dyDescent="0.25">
      <c r="A18" s="117" t="s">
        <v>433</v>
      </c>
      <c r="B18" s="117" t="s">
        <v>89</v>
      </c>
      <c r="C18" s="117" t="s">
        <v>443</v>
      </c>
      <c r="D18" s="119" t="s">
        <v>434</v>
      </c>
      <c r="E18" s="81">
        <f t="shared" si="9"/>
        <v>0</v>
      </c>
      <c r="F18" s="81"/>
      <c r="G18" s="81"/>
      <c r="H18" s="81"/>
      <c r="I18" s="81"/>
      <c r="J18" s="81">
        <f>L18+O18</f>
        <v>0</v>
      </c>
      <c r="K18" s="81"/>
      <c r="L18" s="81"/>
      <c r="M18" s="81"/>
      <c r="N18" s="81"/>
      <c r="O18" s="81"/>
      <c r="P18" s="81">
        <f t="shared" si="10"/>
        <v>0</v>
      </c>
      <c r="Q18" s="259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1" customFormat="1" ht="22.5" customHeight="1" x14ac:dyDescent="0.25">
      <c r="A19" s="117" t="s">
        <v>238</v>
      </c>
      <c r="B19" s="118" t="str">
        <f>'дод 6'!A18</f>
        <v>0180</v>
      </c>
      <c r="C19" s="118" t="str">
        <f>'дод 6'!B18</f>
        <v>0133</v>
      </c>
      <c r="D19" s="122" t="str">
        <f>'дод 6'!C18</f>
        <v>Інша діяльність у сфері державного управління</v>
      </c>
      <c r="E19" s="81">
        <f t="shared" si="9"/>
        <v>2071100</v>
      </c>
      <c r="F19" s="81">
        <f>520800+1800000+32800+50500+150000+252000-735000</f>
        <v>2071100</v>
      </c>
      <c r="G19" s="81"/>
      <c r="H19" s="81"/>
      <c r="I19" s="81"/>
      <c r="J19" s="81">
        <f t="shared" ref="J19:J21" si="11">L19+O19</f>
        <v>0</v>
      </c>
      <c r="K19" s="81"/>
      <c r="L19" s="81"/>
      <c r="M19" s="81"/>
      <c r="N19" s="81"/>
      <c r="O19" s="81"/>
      <c r="P19" s="81">
        <f t="shared" si="10"/>
        <v>2071100</v>
      </c>
      <c r="Q19" s="259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</row>
    <row r="20" spans="1:525" s="121" customFormat="1" ht="15.75" hidden="1" customHeight="1" x14ac:dyDescent="0.25">
      <c r="A20" s="117" t="s">
        <v>421</v>
      </c>
      <c r="B20" s="117" t="s">
        <v>422</v>
      </c>
      <c r="C20" s="117" t="s">
        <v>117</v>
      </c>
      <c r="D20" s="122" t="s">
        <v>423</v>
      </c>
      <c r="E20" s="81">
        <f t="shared" si="9"/>
        <v>0</v>
      </c>
      <c r="F20" s="81"/>
      <c r="G20" s="81"/>
      <c r="H20" s="81"/>
      <c r="I20" s="81"/>
      <c r="J20" s="81">
        <f t="shared" si="11"/>
        <v>0</v>
      </c>
      <c r="K20" s="81"/>
      <c r="L20" s="81"/>
      <c r="M20" s="81"/>
      <c r="N20" s="81"/>
      <c r="O20" s="81"/>
      <c r="P20" s="81">
        <f t="shared" si="10"/>
        <v>0</v>
      </c>
      <c r="Q20" s="259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</row>
    <row r="21" spans="1:525" s="127" customFormat="1" ht="60" hidden="1" customHeight="1" x14ac:dyDescent="0.25">
      <c r="A21" s="123"/>
      <c r="B21" s="124"/>
      <c r="C21" s="124"/>
      <c r="D21" s="125" t="str">
        <f>'дод 6'!C20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2">
        <f t="shared" si="9"/>
        <v>0</v>
      </c>
      <c r="F21" s="82"/>
      <c r="G21" s="82"/>
      <c r="H21" s="82"/>
      <c r="I21" s="82"/>
      <c r="J21" s="82">
        <f t="shared" si="11"/>
        <v>0</v>
      </c>
      <c r="K21" s="82"/>
      <c r="L21" s="82"/>
      <c r="M21" s="82"/>
      <c r="N21" s="82"/>
      <c r="O21" s="82"/>
      <c r="P21" s="82">
        <f t="shared" si="10"/>
        <v>0</v>
      </c>
      <c r="Q21" s="259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  <c r="IW21" s="126"/>
      <c r="IX21" s="126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6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6"/>
      <c r="SD21" s="126"/>
      <c r="SE21" s="126"/>
      <c r="SF21" s="126"/>
      <c r="SG21" s="126"/>
      <c r="SH21" s="126"/>
      <c r="SI21" s="126"/>
      <c r="SJ21" s="126"/>
      <c r="SK21" s="126"/>
      <c r="SL21" s="126"/>
      <c r="SM21" s="126"/>
      <c r="SN21" s="126"/>
      <c r="SO21" s="126"/>
      <c r="SP21" s="126"/>
      <c r="SQ21" s="126"/>
      <c r="SR21" s="126"/>
      <c r="SS21" s="126"/>
      <c r="ST21" s="126"/>
      <c r="SU21" s="126"/>
      <c r="SV21" s="126"/>
      <c r="SW21" s="126"/>
      <c r="SX21" s="126"/>
      <c r="SY21" s="126"/>
      <c r="SZ21" s="126"/>
      <c r="TA21" s="126"/>
      <c r="TB21" s="126"/>
      <c r="TC21" s="126"/>
      <c r="TD21" s="126"/>
      <c r="TE21" s="126"/>
    </row>
    <row r="22" spans="1:525" s="121" customFormat="1" ht="47.25" customHeight="1" x14ac:dyDescent="0.25">
      <c r="A22" s="117" t="s">
        <v>254</v>
      </c>
      <c r="B22" s="118" t="str">
        <f>'дод 6'!A122</f>
        <v>3033</v>
      </c>
      <c r="C22" s="118" t="str">
        <f>'дод 6'!B122</f>
        <v>1070</v>
      </c>
      <c r="D22" s="122" t="s">
        <v>402</v>
      </c>
      <c r="E22" s="81">
        <f t="shared" si="9"/>
        <v>515700</v>
      </c>
      <c r="F22" s="81">
        <v>515700</v>
      </c>
      <c r="G22" s="81"/>
      <c r="H22" s="81"/>
      <c r="I22" s="81"/>
      <c r="J22" s="81">
        <f t="shared" ref="J22:J61" si="12">L22+O22</f>
        <v>0</v>
      </c>
      <c r="K22" s="81"/>
      <c r="L22" s="81"/>
      <c r="M22" s="81"/>
      <c r="N22" s="81"/>
      <c r="O22" s="81"/>
      <c r="P22" s="81">
        <f t="shared" si="10"/>
        <v>515700</v>
      </c>
      <c r="Q22" s="259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</row>
    <row r="23" spans="1:525" s="121" customFormat="1" ht="31.5" customHeight="1" x14ac:dyDescent="0.25">
      <c r="A23" s="117" t="s">
        <v>149</v>
      </c>
      <c r="B23" s="118" t="str">
        <f>'дод 6'!A125</f>
        <v>3036</v>
      </c>
      <c r="C23" s="118" t="str">
        <f>'дод 6'!B125</f>
        <v>1070</v>
      </c>
      <c r="D23" s="122" t="str">
        <f>'дод 6'!C125</f>
        <v>Компенсаційні виплати на пільговий проїзд електротранспортом окремим категоріям громадян</v>
      </c>
      <c r="E23" s="81">
        <f t="shared" si="9"/>
        <v>780380</v>
      </c>
      <c r="F23" s="81">
        <f>675200+105180</f>
        <v>780380</v>
      </c>
      <c r="G23" s="81"/>
      <c r="H23" s="81"/>
      <c r="I23" s="81"/>
      <c r="J23" s="81">
        <f t="shared" si="12"/>
        <v>0</v>
      </c>
      <c r="K23" s="81"/>
      <c r="L23" s="81"/>
      <c r="M23" s="81"/>
      <c r="N23" s="81"/>
      <c r="O23" s="81"/>
      <c r="P23" s="81">
        <f t="shared" si="10"/>
        <v>780380</v>
      </c>
      <c r="Q23" s="259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</row>
    <row r="24" spans="1:525" s="121" customFormat="1" ht="36" customHeight="1" x14ac:dyDescent="0.25">
      <c r="A24" s="117" t="s">
        <v>150</v>
      </c>
      <c r="B24" s="118" t="str">
        <f>'дод 6'!A133</f>
        <v>3121</v>
      </c>
      <c r="C24" s="118" t="str">
        <f>'дод 6'!B133</f>
        <v>1040</v>
      </c>
      <c r="D24" s="122" t="str">
        <f>'дод 6'!C133</f>
        <v>Утримання та забезпечення діяльності центрів соціальних служб</v>
      </c>
      <c r="E24" s="81">
        <f t="shared" si="9"/>
        <v>3596500</v>
      </c>
      <c r="F24" s="81">
        <f>3599300+1500-4300</f>
        <v>3596500</v>
      </c>
      <c r="G24" s="81">
        <v>2642600</v>
      </c>
      <c r="H24" s="81">
        <f>89600-4300</f>
        <v>85300</v>
      </c>
      <c r="I24" s="81"/>
      <c r="J24" s="81">
        <f t="shared" si="12"/>
        <v>350000</v>
      </c>
      <c r="K24" s="81">
        <v>350000</v>
      </c>
      <c r="L24" s="81"/>
      <c r="M24" s="81"/>
      <c r="N24" s="81"/>
      <c r="O24" s="81">
        <v>350000</v>
      </c>
      <c r="P24" s="81">
        <f t="shared" si="10"/>
        <v>3946500</v>
      </c>
      <c r="Q24" s="259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</row>
    <row r="25" spans="1:525" s="121" customFormat="1" ht="48.75" customHeight="1" x14ac:dyDescent="0.25">
      <c r="A25" s="117" t="s">
        <v>151</v>
      </c>
      <c r="B25" s="118" t="str">
        <f>'дод 6'!A134</f>
        <v>3131</v>
      </c>
      <c r="C25" s="118" t="str">
        <f>'дод 6'!B134</f>
        <v>1040</v>
      </c>
      <c r="D25" s="122" t="str">
        <f>'дод 6'!C134</f>
        <v>Здійснення заходів та реалізація проектів на виконання Державної цільової соціальної програми "Молодь України"</v>
      </c>
      <c r="E25" s="81">
        <f t="shared" si="9"/>
        <v>860000</v>
      </c>
      <c r="F25" s="81">
        <f>1000000-140000</f>
        <v>860000</v>
      </c>
      <c r="G25" s="81"/>
      <c r="H25" s="81"/>
      <c r="I25" s="81"/>
      <c r="J25" s="81">
        <f t="shared" si="12"/>
        <v>0</v>
      </c>
      <c r="K25" s="81"/>
      <c r="L25" s="81"/>
      <c r="M25" s="81"/>
      <c r="N25" s="81"/>
      <c r="O25" s="81"/>
      <c r="P25" s="81">
        <f t="shared" si="10"/>
        <v>860000</v>
      </c>
      <c r="Q25" s="259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</row>
    <row r="26" spans="1:525" s="121" customFormat="1" ht="18.75" customHeight="1" x14ac:dyDescent="0.25">
      <c r="A26" s="117" t="s">
        <v>551</v>
      </c>
      <c r="B26" s="118">
        <v>3133</v>
      </c>
      <c r="C26" s="118">
        <v>1040</v>
      </c>
      <c r="D26" s="122" t="str">
        <f>'дод 6'!C135</f>
        <v>Інші заходи та заклади молодіжної політики</v>
      </c>
      <c r="E26" s="81">
        <f t="shared" si="9"/>
        <v>5510100</v>
      </c>
      <c r="F26" s="81">
        <f>5570500+4800-65200</f>
        <v>5510100</v>
      </c>
      <c r="G26" s="81">
        <v>3000900</v>
      </c>
      <c r="H26" s="81">
        <f>1020200-65200</f>
        <v>955000</v>
      </c>
      <c r="I26" s="81"/>
      <c r="J26" s="81">
        <f t="shared" si="12"/>
        <v>10000</v>
      </c>
      <c r="K26" s="81"/>
      <c r="L26" s="81">
        <f>10000</f>
        <v>10000</v>
      </c>
      <c r="M26" s="81"/>
      <c r="N26" s="81">
        <v>3330</v>
      </c>
      <c r="O26" s="81"/>
      <c r="P26" s="81">
        <f t="shared" si="10"/>
        <v>5520100</v>
      </c>
      <c r="Q26" s="259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</row>
    <row r="27" spans="1:525" s="121" customFormat="1" ht="78.75" hidden="1" customHeight="1" x14ac:dyDescent="0.25">
      <c r="A27" s="117" t="s">
        <v>152</v>
      </c>
      <c r="B27" s="118" t="str">
        <f>'дод 6'!A136</f>
        <v>3140</v>
      </c>
      <c r="C27" s="118" t="str">
        <f>'дод 6'!B136</f>
        <v>1040</v>
      </c>
      <c r="D27" s="122" t="str">
        <f>'дод 6'!C136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7" s="81">
        <f t="shared" si="9"/>
        <v>0</v>
      </c>
      <c r="F27" s="81"/>
      <c r="G27" s="81"/>
      <c r="H27" s="81"/>
      <c r="I27" s="81"/>
      <c r="J27" s="81">
        <f t="shared" si="12"/>
        <v>0</v>
      </c>
      <c r="K27" s="81"/>
      <c r="L27" s="81"/>
      <c r="M27" s="81"/>
      <c r="N27" s="81"/>
      <c r="O27" s="81"/>
      <c r="P27" s="81">
        <f t="shared" si="10"/>
        <v>0</v>
      </c>
      <c r="Q27" s="259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</row>
    <row r="28" spans="1:525" s="121" customFormat="1" ht="32.25" customHeight="1" x14ac:dyDescent="0.25">
      <c r="A28" s="117" t="s">
        <v>300</v>
      </c>
      <c r="B28" s="118" t="str">
        <f>'дод 6'!A153</f>
        <v>3241</v>
      </c>
      <c r="C28" s="118" t="str">
        <f>'дод 6'!B153</f>
        <v>1090</v>
      </c>
      <c r="D28" s="128" t="str">
        <f>'дод 6'!C153</f>
        <v>Забезпечення діяльності інших закладів у сфері соціального захисту і соціального забезпечення</v>
      </c>
      <c r="E28" s="81">
        <f t="shared" si="9"/>
        <v>1565000</v>
      </c>
      <c r="F28" s="81">
        <f>1579300-14300</f>
        <v>1565000</v>
      </c>
      <c r="G28" s="81">
        <v>1057800</v>
      </c>
      <c r="H28" s="81">
        <f>218000-14300</f>
        <v>203700</v>
      </c>
      <c r="I28" s="81"/>
      <c r="J28" s="81">
        <f t="shared" si="12"/>
        <v>0</v>
      </c>
      <c r="K28" s="81"/>
      <c r="L28" s="81"/>
      <c r="M28" s="81"/>
      <c r="N28" s="81"/>
      <c r="O28" s="81"/>
      <c r="P28" s="81">
        <f t="shared" si="10"/>
        <v>1565000</v>
      </c>
      <c r="Q28" s="259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</row>
    <row r="29" spans="1:525" s="121" customFormat="1" ht="33.75" customHeight="1" x14ac:dyDescent="0.25">
      <c r="A29" s="117" t="s">
        <v>301</v>
      </c>
      <c r="B29" s="118" t="str">
        <f>'дод 6'!A154</f>
        <v>3242</v>
      </c>
      <c r="C29" s="118" t="str">
        <f>'дод 6'!B154</f>
        <v>1090</v>
      </c>
      <c r="D29" s="122" t="s">
        <v>403</v>
      </c>
      <c r="E29" s="81">
        <f t="shared" si="9"/>
        <v>173000</v>
      </c>
      <c r="F29" s="81">
        <f>141000+32000</f>
        <v>173000</v>
      </c>
      <c r="G29" s="81"/>
      <c r="H29" s="81"/>
      <c r="I29" s="81"/>
      <c r="J29" s="81">
        <f t="shared" si="12"/>
        <v>0</v>
      </c>
      <c r="K29" s="81"/>
      <c r="L29" s="81"/>
      <c r="M29" s="81"/>
      <c r="N29" s="81"/>
      <c r="O29" s="81"/>
      <c r="P29" s="81">
        <f t="shared" si="10"/>
        <v>173000</v>
      </c>
      <c r="Q29" s="259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</row>
    <row r="30" spans="1:525" s="121" customFormat="1" ht="50.25" hidden="1" customHeight="1" x14ac:dyDescent="0.25">
      <c r="A30" s="117" t="s">
        <v>313</v>
      </c>
      <c r="B30" s="118" t="str">
        <f>'дод 6'!A158</f>
        <v>4060</v>
      </c>
      <c r="C30" s="118" t="str">
        <f>'дод 6'!B158</f>
        <v>0828</v>
      </c>
      <c r="D30" s="122" t="str">
        <f>'дод 6'!C158</f>
        <v>Забезпечення діяльності палаців i будинків культури, клубів, центрів дозвілля та iнших клубних закладів</v>
      </c>
      <c r="E30" s="81">
        <f t="shared" si="9"/>
        <v>0</v>
      </c>
      <c r="F30" s="83"/>
      <c r="G30" s="81"/>
      <c r="H30" s="81"/>
      <c r="I30" s="81"/>
      <c r="J30" s="81">
        <f t="shared" si="12"/>
        <v>0</v>
      </c>
      <c r="K30" s="81"/>
      <c r="L30" s="81"/>
      <c r="M30" s="81"/>
      <c r="N30" s="81"/>
      <c r="O30" s="81"/>
      <c r="P30" s="81">
        <f t="shared" si="10"/>
        <v>0</v>
      </c>
      <c r="Q30" s="259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</row>
    <row r="31" spans="1:525" s="121" customFormat="1" ht="30.75" customHeight="1" x14ac:dyDescent="0.25">
      <c r="A31" s="117" t="s">
        <v>298</v>
      </c>
      <c r="B31" s="118" t="str">
        <f>'дод 6'!A159</f>
        <v>4081</v>
      </c>
      <c r="C31" s="118" t="str">
        <f>'дод 6'!B159</f>
        <v>0829</v>
      </c>
      <c r="D31" s="122" t="str">
        <f>'дод 6'!C159</f>
        <v>Забезпечення діяльності інших закладів в галузі культури і мистецтва</v>
      </c>
      <c r="E31" s="81">
        <f t="shared" si="9"/>
        <v>2678200</v>
      </c>
      <c r="F31" s="81">
        <f>2668100-12900+23000</f>
        <v>2678200</v>
      </c>
      <c r="G31" s="81">
        <f>1775500-13800</f>
        <v>1761700</v>
      </c>
      <c r="H31" s="81">
        <f>163600-12900+23000</f>
        <v>173700</v>
      </c>
      <c r="I31" s="81"/>
      <c r="J31" s="81">
        <f t="shared" si="12"/>
        <v>0</v>
      </c>
      <c r="K31" s="81"/>
      <c r="L31" s="81"/>
      <c r="M31" s="81"/>
      <c r="N31" s="81"/>
      <c r="O31" s="81"/>
      <c r="P31" s="81">
        <f t="shared" si="10"/>
        <v>2678200</v>
      </c>
      <c r="Q31" s="259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</row>
    <row r="32" spans="1:525" s="121" customFormat="1" ht="25.5" hidden="1" customHeight="1" x14ac:dyDescent="0.25">
      <c r="A32" s="117" t="s">
        <v>299</v>
      </c>
      <c r="B32" s="118">
        <v>4082</v>
      </c>
      <c r="C32" s="118" t="str">
        <f>'дод 6'!B160</f>
        <v>0829</v>
      </c>
      <c r="D32" s="122" t="str">
        <f>'дод 6'!C160</f>
        <v>Інші заходи в галузі культури і мистецтва</v>
      </c>
      <c r="E32" s="81">
        <f t="shared" si="9"/>
        <v>0</v>
      </c>
      <c r="F32" s="81"/>
      <c r="G32" s="81"/>
      <c r="H32" s="81"/>
      <c r="I32" s="81"/>
      <c r="J32" s="81">
        <f t="shared" si="12"/>
        <v>0</v>
      </c>
      <c r="K32" s="81"/>
      <c r="L32" s="81"/>
      <c r="M32" s="81"/>
      <c r="N32" s="81"/>
      <c r="O32" s="81"/>
      <c r="P32" s="81">
        <f t="shared" si="10"/>
        <v>0</v>
      </c>
      <c r="Q32" s="259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</row>
    <row r="33" spans="1:525" s="121" customFormat="1" ht="36.75" customHeight="1" x14ac:dyDescent="0.25">
      <c r="A33" s="129" t="s">
        <v>153</v>
      </c>
      <c r="B33" s="130" t="str">
        <f>'дод 6'!A163</f>
        <v>5011</v>
      </c>
      <c r="C33" s="130" t="str">
        <f>'дод 6'!B163</f>
        <v>0810</v>
      </c>
      <c r="D33" s="119" t="str">
        <f>'дод 6'!C163</f>
        <v>Проведення навчально-тренувальних зборів і змагань з олімпійських видів спорту</v>
      </c>
      <c r="E33" s="81">
        <f t="shared" si="9"/>
        <v>1965000</v>
      </c>
      <c r="F33" s="81">
        <f>400000+1000000+1300000-500000-235000</f>
        <v>1965000</v>
      </c>
      <c r="G33" s="81"/>
      <c r="H33" s="81"/>
      <c r="I33" s="81"/>
      <c r="J33" s="81">
        <f t="shared" si="12"/>
        <v>0</v>
      </c>
      <c r="K33" s="81"/>
      <c r="L33" s="81"/>
      <c r="M33" s="81"/>
      <c r="N33" s="81"/>
      <c r="O33" s="81"/>
      <c r="P33" s="81">
        <f t="shared" si="10"/>
        <v>1965000</v>
      </c>
      <c r="Q33" s="259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</row>
    <row r="34" spans="1:525" s="121" customFormat="1" ht="34.5" customHeight="1" x14ac:dyDescent="0.25">
      <c r="A34" s="129" t="s">
        <v>154</v>
      </c>
      <c r="B34" s="130" t="str">
        <f>'дод 6'!A164</f>
        <v>5012</v>
      </c>
      <c r="C34" s="130" t="str">
        <f>'дод 6'!B164</f>
        <v>0810</v>
      </c>
      <c r="D34" s="119" t="str">
        <f>'дод 6'!C164</f>
        <v>Проведення навчально-тренувальних зборів і змагань з неолімпійських видів спорту</v>
      </c>
      <c r="E34" s="81">
        <f t="shared" si="9"/>
        <v>750000</v>
      </c>
      <c r="F34" s="81">
        <f>400000+300000+50000</f>
        <v>750000</v>
      </c>
      <c r="G34" s="81"/>
      <c r="H34" s="81"/>
      <c r="I34" s="81"/>
      <c r="J34" s="81">
        <f t="shared" si="12"/>
        <v>0</v>
      </c>
      <c r="K34" s="81"/>
      <c r="L34" s="81"/>
      <c r="M34" s="81"/>
      <c r="N34" s="81"/>
      <c r="O34" s="81"/>
      <c r="P34" s="81">
        <f t="shared" si="10"/>
        <v>750000</v>
      </c>
      <c r="Q34" s="259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</row>
    <row r="35" spans="1:525" s="121" customFormat="1" ht="31.5" x14ac:dyDescent="0.25">
      <c r="A35" s="129" t="s">
        <v>155</v>
      </c>
      <c r="B35" s="130" t="str">
        <f>'дод 6'!A165</f>
        <v>5031</v>
      </c>
      <c r="C35" s="130" t="str">
        <f>'дод 6'!B165</f>
        <v>0810</v>
      </c>
      <c r="D35" s="119" t="str">
        <f>'дод 6'!C165</f>
        <v>Утримання та навчально-тренувальна робота комунальних дитячо-юнацьких спортивних шкіл</v>
      </c>
      <c r="E35" s="81">
        <f t="shared" si="9"/>
        <v>23955841</v>
      </c>
      <c r="F35" s="81">
        <f>21445700+15900+1098141+935000+455000-178900+185000</f>
        <v>23955841</v>
      </c>
      <c r="G35" s="81">
        <f>15832000+913471</f>
        <v>16745471</v>
      </c>
      <c r="H35" s="81">
        <f>1709100+15900-178900</f>
        <v>1546100</v>
      </c>
      <c r="I35" s="81"/>
      <c r="J35" s="81">
        <f t="shared" si="12"/>
        <v>190000</v>
      </c>
      <c r="K35" s="81">
        <v>190000</v>
      </c>
      <c r="L35" s="81"/>
      <c r="M35" s="81"/>
      <c r="N35" s="81"/>
      <c r="O35" s="81">
        <v>190000</v>
      </c>
      <c r="P35" s="81">
        <f t="shared" si="10"/>
        <v>24145841</v>
      </c>
      <c r="Q35" s="259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</row>
    <row r="36" spans="1:525" s="121" customFormat="1" ht="49.5" customHeight="1" x14ac:dyDescent="0.25">
      <c r="A36" s="129" t="s">
        <v>352</v>
      </c>
      <c r="B36" s="130" t="str">
        <f>'дод 6'!A167</f>
        <v>5032</v>
      </c>
      <c r="C36" s="130" t="str">
        <f>'дод 6'!B167</f>
        <v>0810</v>
      </c>
      <c r="D36" s="119" t="str">
        <f>'дод 6'!C167</f>
        <v>Фінансова підтримка дитячо-юнацьких спортивних шкіл фізкультурно-спортивних товариств</v>
      </c>
      <c r="E36" s="81">
        <f t="shared" si="9"/>
        <v>18547495</v>
      </c>
      <c r="F36" s="81">
        <f>15404200+4700+432000+1901859+200000+79736+525000+520000-520000</f>
        <v>18547495</v>
      </c>
      <c r="G36" s="81"/>
      <c r="H36" s="81"/>
      <c r="I36" s="81"/>
      <c r="J36" s="81">
        <f t="shared" si="12"/>
        <v>1495100</v>
      </c>
      <c r="K36" s="81">
        <f>147100+163000+500000+165000+520000</f>
        <v>1495100</v>
      </c>
      <c r="L36" s="81"/>
      <c r="M36" s="81"/>
      <c r="N36" s="81"/>
      <c r="O36" s="81">
        <f>147100+163000+500000+165000+520000</f>
        <v>1495100</v>
      </c>
      <c r="P36" s="81">
        <f t="shared" si="10"/>
        <v>20042595</v>
      </c>
      <c r="Q36" s="260">
        <v>16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</row>
    <row r="37" spans="1:525" s="121" customFormat="1" ht="64.5" customHeight="1" x14ac:dyDescent="0.25">
      <c r="A37" s="129" t="s">
        <v>156</v>
      </c>
      <c r="B37" s="130" t="str">
        <f>'дод 6'!A168</f>
        <v>5061</v>
      </c>
      <c r="C37" s="130" t="str">
        <f>'дод 6'!B168</f>
        <v>0810</v>
      </c>
      <c r="D37" s="119" t="str">
        <f>'дод 6'!C168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1">
        <f t="shared" si="9"/>
        <v>5764400</v>
      </c>
      <c r="F37" s="81">
        <f>5285100+4100-68400+543600</f>
        <v>5764400</v>
      </c>
      <c r="G37" s="81">
        <v>3265100</v>
      </c>
      <c r="H37" s="81">
        <f>621400+4100-68400</f>
        <v>557100</v>
      </c>
      <c r="I37" s="81"/>
      <c r="J37" s="81">
        <f t="shared" si="12"/>
        <v>478110</v>
      </c>
      <c r="K37" s="81"/>
      <c r="L37" s="81">
        <v>478110</v>
      </c>
      <c r="M37" s="81">
        <v>296610</v>
      </c>
      <c r="N37" s="81">
        <v>93770</v>
      </c>
      <c r="O37" s="81"/>
      <c r="P37" s="81">
        <f t="shared" si="10"/>
        <v>6242510</v>
      </c>
      <c r="Q37" s="26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</row>
    <row r="38" spans="1:525" s="121" customFormat="1" ht="47.25" x14ac:dyDescent="0.25">
      <c r="A38" s="129" t="s">
        <v>344</v>
      </c>
      <c r="B38" s="130" t="str">
        <f>'дод 6'!A169</f>
        <v>5062</v>
      </c>
      <c r="C38" s="130" t="str">
        <f>'дод 6'!B169</f>
        <v>0810</v>
      </c>
      <c r="D38" s="119" t="str">
        <f>'дод 6'!C169</f>
        <v>Підтримка спорту вищих досягнень та організацій, які здійснюють фізкультурно-спортивну діяльність в регіоні</v>
      </c>
      <c r="E38" s="81">
        <f t="shared" si="9"/>
        <v>14446532</v>
      </c>
      <c r="F38" s="81">
        <f>13810500+18300-3000000+1900000+1017732+700000</f>
        <v>14446532</v>
      </c>
      <c r="G38" s="81"/>
      <c r="H38" s="81"/>
      <c r="I38" s="81"/>
      <c r="J38" s="81">
        <f t="shared" si="12"/>
        <v>0</v>
      </c>
      <c r="K38" s="81"/>
      <c r="L38" s="81"/>
      <c r="M38" s="81"/>
      <c r="N38" s="81"/>
      <c r="O38" s="81"/>
      <c r="P38" s="81">
        <f t="shared" si="10"/>
        <v>14446532</v>
      </c>
      <c r="Q38" s="26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</row>
    <row r="39" spans="1:525" s="121" customFormat="1" ht="37.5" hidden="1" customHeight="1" x14ac:dyDescent="0.25">
      <c r="A39" s="129" t="s">
        <v>550</v>
      </c>
      <c r="B39" s="130">
        <v>7323</v>
      </c>
      <c r="C39" s="129" t="s">
        <v>110</v>
      </c>
      <c r="D39" s="119" t="str">
        <f>'дод 6'!C203</f>
        <v>Будівництво1 установ та закладів соціальної сфери</v>
      </c>
      <c r="E39" s="81"/>
      <c r="F39" s="81"/>
      <c r="G39" s="81"/>
      <c r="H39" s="81"/>
      <c r="I39" s="81"/>
      <c r="J39" s="81">
        <f t="shared" si="12"/>
        <v>0</v>
      </c>
      <c r="K39" s="81"/>
      <c r="L39" s="81"/>
      <c r="M39" s="81"/>
      <c r="N39" s="81"/>
      <c r="O39" s="81"/>
      <c r="P39" s="81">
        <f t="shared" si="10"/>
        <v>0</v>
      </c>
      <c r="Q39" s="26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</row>
    <row r="40" spans="1:525" s="121" customFormat="1" ht="31.5" hidden="1" customHeight="1" x14ac:dyDescent="0.25">
      <c r="A40" s="129" t="s">
        <v>405</v>
      </c>
      <c r="B40" s="130">
        <v>7325</v>
      </c>
      <c r="C40" s="131" t="s">
        <v>110</v>
      </c>
      <c r="D40" s="132" t="str">
        <f>'дод 6'!C205</f>
        <v>Будівництво1 споруд, установ та закладів фізичної культури і спорту</v>
      </c>
      <c r="E40" s="81">
        <f t="shared" si="9"/>
        <v>0</v>
      </c>
      <c r="F40" s="81"/>
      <c r="G40" s="81"/>
      <c r="H40" s="81"/>
      <c r="I40" s="81"/>
      <c r="J40" s="81">
        <f t="shared" si="12"/>
        <v>0</v>
      </c>
      <c r="K40" s="81"/>
      <c r="L40" s="81"/>
      <c r="M40" s="81"/>
      <c r="N40" s="81"/>
      <c r="O40" s="81"/>
      <c r="P40" s="81">
        <f t="shared" si="10"/>
        <v>0</v>
      </c>
      <c r="Q40" s="26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</row>
    <row r="41" spans="1:525" s="121" customFormat="1" ht="15.75" hidden="1" customHeight="1" x14ac:dyDescent="0.25">
      <c r="A41" s="129" t="s">
        <v>406</v>
      </c>
      <c r="B41" s="130">
        <v>7330</v>
      </c>
      <c r="C41" s="131" t="s">
        <v>110</v>
      </c>
      <c r="D41" s="132" t="str">
        <f>'дод 6'!C206</f>
        <v>Будівництво1 інших об'єктів комунальної власності</v>
      </c>
      <c r="E41" s="81">
        <f t="shared" si="9"/>
        <v>0</v>
      </c>
      <c r="F41" s="81"/>
      <c r="G41" s="81"/>
      <c r="H41" s="81"/>
      <c r="I41" s="81"/>
      <c r="J41" s="81">
        <f t="shared" si="12"/>
        <v>0</v>
      </c>
      <c r="K41" s="81"/>
      <c r="L41" s="81"/>
      <c r="M41" s="81"/>
      <c r="N41" s="81"/>
      <c r="O41" s="81"/>
      <c r="P41" s="81">
        <f t="shared" si="10"/>
        <v>0</v>
      </c>
      <c r="Q41" s="26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</row>
    <row r="42" spans="1:525" s="121" customFormat="1" ht="33" customHeight="1" x14ac:dyDescent="0.25">
      <c r="A42" s="129" t="s">
        <v>157</v>
      </c>
      <c r="B42" s="130" t="str">
        <f>'дод 6'!A225</f>
        <v>7412</v>
      </c>
      <c r="C42" s="130" t="str">
        <f>'дод 6'!B225</f>
        <v>0451</v>
      </c>
      <c r="D42" s="119" t="str">
        <f>'дод 6'!C225</f>
        <v>Регулювання цін на послуги місцевого автотранспорту</v>
      </c>
      <c r="E42" s="81">
        <f>F42+I42</f>
        <v>15185800</v>
      </c>
      <c r="F42" s="81"/>
      <c r="G42" s="81"/>
      <c r="H42" s="81"/>
      <c r="I42" s="81">
        <f>14205800+980000</f>
        <v>15185800</v>
      </c>
      <c r="J42" s="81">
        <f t="shared" si="12"/>
        <v>0</v>
      </c>
      <c r="K42" s="81"/>
      <c r="L42" s="81"/>
      <c r="M42" s="81"/>
      <c r="N42" s="81"/>
      <c r="O42" s="81"/>
      <c r="P42" s="81">
        <f t="shared" si="10"/>
        <v>15185800</v>
      </c>
      <c r="Q42" s="26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</row>
    <row r="43" spans="1:525" s="121" customFormat="1" ht="24" customHeight="1" x14ac:dyDescent="0.25">
      <c r="A43" s="129" t="s">
        <v>372</v>
      </c>
      <c r="B43" s="130">
        <f>'дод 6'!A226</f>
        <v>7413</v>
      </c>
      <c r="C43" s="130" t="str">
        <f>'дод 6'!B226</f>
        <v>0451</v>
      </c>
      <c r="D43" s="133" t="str">
        <f>'дод 6'!C226</f>
        <v>Інші заходи у сфері автотранспорту</v>
      </c>
      <c r="E43" s="81">
        <f t="shared" si="9"/>
        <v>5937700</v>
      </c>
      <c r="F43" s="81"/>
      <c r="G43" s="81"/>
      <c r="H43" s="81"/>
      <c r="I43" s="81">
        <f>4937700+1000000</f>
        <v>5937700</v>
      </c>
      <c r="J43" s="81">
        <f t="shared" si="12"/>
        <v>0</v>
      </c>
      <c r="K43" s="81"/>
      <c r="L43" s="81"/>
      <c r="M43" s="81"/>
      <c r="N43" s="81"/>
      <c r="O43" s="81"/>
      <c r="P43" s="81">
        <f t="shared" si="10"/>
        <v>5937700</v>
      </c>
      <c r="Q43" s="26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</row>
    <row r="44" spans="1:525" s="121" customFormat="1" ht="33" customHeight="1" x14ac:dyDescent="0.25">
      <c r="A44" s="129" t="s">
        <v>525</v>
      </c>
      <c r="B44" s="130">
        <v>7422</v>
      </c>
      <c r="C44" s="129" t="s">
        <v>404</v>
      </c>
      <c r="D44" s="133" t="str">
        <f>'дод 6'!C227</f>
        <v>Регулювання цін на послуги місцевого наземного електротранспорту</v>
      </c>
      <c r="E44" s="81">
        <f t="shared" si="9"/>
        <v>43433200</v>
      </c>
      <c r="F44" s="81"/>
      <c r="G44" s="81"/>
      <c r="H44" s="81"/>
      <c r="I44" s="81">
        <f>41613200+1820000</f>
        <v>43433200</v>
      </c>
      <c r="J44" s="81">
        <f t="shared" si="12"/>
        <v>0</v>
      </c>
      <c r="K44" s="81"/>
      <c r="L44" s="81"/>
      <c r="M44" s="81"/>
      <c r="N44" s="81"/>
      <c r="O44" s="81"/>
      <c r="P44" s="81">
        <f t="shared" si="10"/>
        <v>43433200</v>
      </c>
      <c r="Q44" s="26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</row>
    <row r="45" spans="1:525" s="121" customFormat="1" ht="24" customHeight="1" x14ac:dyDescent="0.25">
      <c r="A45" s="129" t="s">
        <v>373</v>
      </c>
      <c r="B45" s="130">
        <f>'дод 6'!A228</f>
        <v>7426</v>
      </c>
      <c r="C45" s="129" t="s">
        <v>404</v>
      </c>
      <c r="D45" s="133" t="str">
        <f>'дод 6'!C228</f>
        <v>Інші заходи у сфері електротранспорту</v>
      </c>
      <c r="E45" s="81">
        <f t="shared" si="9"/>
        <v>17916743</v>
      </c>
      <c r="F45" s="81"/>
      <c r="G45" s="81"/>
      <c r="H45" s="81"/>
      <c r="I45" s="81">
        <f>10162300+3054443+4700000</f>
        <v>17916743</v>
      </c>
      <c r="J45" s="81">
        <f t="shared" si="12"/>
        <v>0</v>
      </c>
      <c r="K45" s="81"/>
      <c r="L45" s="81"/>
      <c r="M45" s="81"/>
      <c r="N45" s="81"/>
      <c r="O45" s="81"/>
      <c r="P45" s="81">
        <f t="shared" si="10"/>
        <v>17916743</v>
      </c>
      <c r="Q45" s="26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</row>
    <row r="46" spans="1:525" s="121" customFormat="1" ht="21.75" hidden="1" customHeight="1" x14ac:dyDescent="0.25">
      <c r="A46" s="129" t="s">
        <v>435</v>
      </c>
      <c r="B46" s="129" t="s">
        <v>436</v>
      </c>
      <c r="C46" s="129" t="s">
        <v>393</v>
      </c>
      <c r="D46" s="133" t="str">
        <f>'дод 6'!C230</f>
        <v>Інша діяльність у сфері транспорту</v>
      </c>
      <c r="E46" s="81">
        <f t="shared" si="9"/>
        <v>0</v>
      </c>
      <c r="F46" s="81">
        <f>2500000-2500000</f>
        <v>0</v>
      </c>
      <c r="G46" s="81"/>
      <c r="H46" s="81"/>
      <c r="I46" s="81"/>
      <c r="J46" s="81">
        <f t="shared" si="12"/>
        <v>0</v>
      </c>
      <c r="K46" s="81"/>
      <c r="L46" s="81"/>
      <c r="M46" s="81"/>
      <c r="N46" s="81"/>
      <c r="O46" s="81"/>
      <c r="P46" s="81">
        <f t="shared" si="10"/>
        <v>0</v>
      </c>
      <c r="Q46" s="26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</row>
    <row r="47" spans="1:525" s="121" customFormat="1" ht="30.75" customHeight="1" x14ac:dyDescent="0.25">
      <c r="A47" s="129" t="s">
        <v>230</v>
      </c>
      <c r="B47" s="130" t="str">
        <f>'дод 6'!A235</f>
        <v>7530</v>
      </c>
      <c r="C47" s="130" t="str">
        <f>'дод 6'!B235</f>
        <v>0460</v>
      </c>
      <c r="D47" s="119" t="str">
        <f>'дод 6'!C235</f>
        <v>Інші заходи у сфері зв'язку, телекомунікації та інформатики</v>
      </c>
      <c r="E47" s="81">
        <f t="shared" si="9"/>
        <v>6446348</v>
      </c>
      <c r="F47" s="81">
        <f>10000000+311348-1865000-2000000</f>
        <v>6446348</v>
      </c>
      <c r="G47" s="81"/>
      <c r="H47" s="81"/>
      <c r="I47" s="81"/>
      <c r="J47" s="81">
        <f t="shared" si="12"/>
        <v>3793854</v>
      </c>
      <c r="K47" s="81">
        <f>1818854+1865000+110000</f>
        <v>3793854</v>
      </c>
      <c r="L47" s="81"/>
      <c r="M47" s="81"/>
      <c r="N47" s="81"/>
      <c r="O47" s="81">
        <f>1818854+1865000+110000</f>
        <v>3793854</v>
      </c>
      <c r="P47" s="81">
        <f t="shared" si="10"/>
        <v>10240202</v>
      </c>
      <c r="Q47" s="26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</row>
    <row r="48" spans="1:525" s="121" customFormat="1" ht="31.5" hidden="1" customHeight="1" x14ac:dyDescent="0.25">
      <c r="A48" s="129" t="s">
        <v>158</v>
      </c>
      <c r="B48" s="130" t="str">
        <f>'дод 6'!A238</f>
        <v>7610</v>
      </c>
      <c r="C48" s="130" t="str">
        <f>'дод 6'!B238</f>
        <v>0411</v>
      </c>
      <c r="D48" s="119" t="str">
        <f>'дод 6'!C238</f>
        <v>Сприяння розвитку малого та середнього підприємництва</v>
      </c>
      <c r="E48" s="81">
        <f t="shared" si="9"/>
        <v>0</v>
      </c>
      <c r="F48" s="81"/>
      <c r="G48" s="81"/>
      <c r="H48" s="81"/>
      <c r="I48" s="81"/>
      <c r="J48" s="81">
        <f t="shared" si="12"/>
        <v>0</v>
      </c>
      <c r="K48" s="81"/>
      <c r="L48" s="81"/>
      <c r="M48" s="81"/>
      <c r="N48" s="81"/>
      <c r="O48" s="81"/>
      <c r="P48" s="81">
        <f t="shared" si="10"/>
        <v>0</v>
      </c>
      <c r="Q48" s="26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</row>
    <row r="49" spans="1:525" s="121" customFormat="1" ht="31.5" customHeight="1" x14ac:dyDescent="0.25">
      <c r="A49" s="129" t="s">
        <v>652</v>
      </c>
      <c r="B49" s="130" t="str">
        <f>'дод 6'!A239</f>
        <v>7640</v>
      </c>
      <c r="C49" s="130" t="str">
        <f>'дод 6'!B239</f>
        <v>0470</v>
      </c>
      <c r="D49" s="133" t="s">
        <v>413</v>
      </c>
      <c r="E49" s="81">
        <f t="shared" ref="E49" si="13">F49+I49</f>
        <v>0</v>
      </c>
      <c r="F49" s="81"/>
      <c r="G49" s="81"/>
      <c r="H49" s="81"/>
      <c r="I49" s="81"/>
      <c r="J49" s="81">
        <f t="shared" ref="J49" si="14">L49+O49</f>
        <v>20500000</v>
      </c>
      <c r="K49" s="81">
        <v>20500000</v>
      </c>
      <c r="L49" s="81"/>
      <c r="M49" s="81"/>
      <c r="N49" s="81"/>
      <c r="O49" s="81">
        <v>20500000</v>
      </c>
      <c r="P49" s="81">
        <f t="shared" ref="P49" si="15">E49+J49</f>
        <v>20500000</v>
      </c>
      <c r="Q49" s="26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</row>
    <row r="50" spans="1:525" s="121" customFormat="1" ht="33.75" customHeight="1" x14ac:dyDescent="0.25">
      <c r="A50" s="129" t="s">
        <v>159</v>
      </c>
      <c r="B50" s="130" t="str">
        <f>'дод 6'!A243</f>
        <v>7670</v>
      </c>
      <c r="C50" s="130" t="str">
        <f>'дод 6'!B243</f>
        <v>0490</v>
      </c>
      <c r="D50" s="119" t="str">
        <f>'дод 6'!C243</f>
        <v>Внески до статутного капіталу суб'єктів господарювання</v>
      </c>
      <c r="E50" s="81">
        <f t="shared" si="9"/>
        <v>0</v>
      </c>
      <c r="F50" s="81"/>
      <c r="G50" s="81"/>
      <c r="H50" s="81"/>
      <c r="I50" s="81"/>
      <c r="J50" s="81">
        <f t="shared" si="12"/>
        <v>1679790</v>
      </c>
      <c r="K50" s="81">
        <v>1679790</v>
      </c>
      <c r="L50" s="81"/>
      <c r="M50" s="81"/>
      <c r="N50" s="81"/>
      <c r="O50" s="81">
        <v>1679790</v>
      </c>
      <c r="P50" s="81">
        <f t="shared" si="10"/>
        <v>1679790</v>
      </c>
      <c r="Q50" s="26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</row>
    <row r="51" spans="1:525" s="121" customFormat="1" ht="34.5" customHeight="1" x14ac:dyDescent="0.25">
      <c r="A51" s="129" t="s">
        <v>244</v>
      </c>
      <c r="B51" s="130" t="str">
        <f>'дод 6'!A245</f>
        <v>7680</v>
      </c>
      <c r="C51" s="130" t="str">
        <f>'дод 6'!B245</f>
        <v>0490</v>
      </c>
      <c r="D51" s="119" t="str">
        <f>'дод 6'!C245</f>
        <v>Членські внески до асоціацій органів місцевого самоврядування</v>
      </c>
      <c r="E51" s="81">
        <f t="shared" si="9"/>
        <v>452139</v>
      </c>
      <c r="F51" s="81">
        <f>267000+50000+67500+67639</f>
        <v>452139</v>
      </c>
      <c r="G51" s="81"/>
      <c r="H51" s="81"/>
      <c r="I51" s="81"/>
      <c r="J51" s="81">
        <f t="shared" si="12"/>
        <v>0</v>
      </c>
      <c r="K51" s="81"/>
      <c r="L51" s="81"/>
      <c r="M51" s="81"/>
      <c r="N51" s="81"/>
      <c r="O51" s="81"/>
      <c r="P51" s="81">
        <f t="shared" si="10"/>
        <v>452139</v>
      </c>
      <c r="Q51" s="26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</row>
    <row r="52" spans="1:525" s="121" customFormat="1" ht="128.25" customHeight="1" x14ac:dyDescent="0.25">
      <c r="A52" s="129" t="s">
        <v>296</v>
      </c>
      <c r="B52" s="130" t="str">
        <f>'дод 6'!A246</f>
        <v>7691</v>
      </c>
      <c r="C52" s="130" t="str">
        <f>'дод 6'!B246</f>
        <v>0490</v>
      </c>
      <c r="D52" s="119" t="str">
        <f>'дод 6'!C246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81">
        <f t="shared" si="9"/>
        <v>0</v>
      </c>
      <c r="F52" s="81"/>
      <c r="G52" s="81"/>
      <c r="H52" s="81"/>
      <c r="I52" s="81"/>
      <c r="J52" s="81">
        <f t="shared" si="12"/>
        <v>170080.63</v>
      </c>
      <c r="K52" s="81"/>
      <c r="L52" s="81">
        <f>125000+45080.63</f>
        <v>170080.63</v>
      </c>
      <c r="M52" s="81"/>
      <c r="N52" s="81"/>
      <c r="O52" s="81"/>
      <c r="P52" s="81">
        <f t="shared" si="10"/>
        <v>170080.63</v>
      </c>
      <c r="Q52" s="26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</row>
    <row r="53" spans="1:525" s="121" customFormat="1" ht="23.25" customHeight="1" x14ac:dyDescent="0.25">
      <c r="A53" s="129" t="s">
        <v>237</v>
      </c>
      <c r="B53" s="130" t="str">
        <f>'дод 6'!A247</f>
        <v>7693</v>
      </c>
      <c r="C53" s="130" t="str">
        <f>'дод 6'!B247</f>
        <v>0490</v>
      </c>
      <c r="D53" s="119" t="str">
        <f>'дод 6'!C247</f>
        <v>Інші заходи, пов'язані з економічною діяльністю</v>
      </c>
      <c r="E53" s="81">
        <f t="shared" si="9"/>
        <v>1568830</v>
      </c>
      <c r="F53" s="81">
        <f>1686330+300000-417500</f>
        <v>1568830</v>
      </c>
      <c r="G53" s="81"/>
      <c r="H53" s="81"/>
      <c r="I53" s="81"/>
      <c r="J53" s="81">
        <f t="shared" si="12"/>
        <v>0</v>
      </c>
      <c r="K53" s="81"/>
      <c r="L53" s="81"/>
      <c r="M53" s="81"/>
      <c r="N53" s="81"/>
      <c r="O53" s="81"/>
      <c r="P53" s="81">
        <f t="shared" si="10"/>
        <v>1568830</v>
      </c>
      <c r="Q53" s="26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</row>
    <row r="54" spans="1:525" s="121" customFormat="1" ht="34.5" customHeight="1" x14ac:dyDescent="0.25">
      <c r="A54" s="129" t="s">
        <v>160</v>
      </c>
      <c r="B54" s="130" t="str">
        <f>'дод 6'!A256</f>
        <v>8110</v>
      </c>
      <c r="C54" s="130" t="str">
        <f>'дод 6'!B256</f>
        <v>0320</v>
      </c>
      <c r="D54" s="119" t="str">
        <f>'дод 6'!C256</f>
        <v>Заходи із запобігання та ліквідації надзвичайних ситуацій та наслідків стихійного лиха</v>
      </c>
      <c r="E54" s="81">
        <f t="shared" si="9"/>
        <v>3337611</v>
      </c>
      <c r="F54" s="81">
        <f>530920+3000000+5091+1060000+7200+10000000-2997000+500000+1231400-10000000</f>
        <v>3337611</v>
      </c>
      <c r="G54" s="81"/>
      <c r="H54" s="81">
        <v>20900</v>
      </c>
      <c r="I54" s="81"/>
      <c r="J54" s="81">
        <f t="shared" si="12"/>
        <v>14683601</v>
      </c>
      <c r="K54" s="81">
        <f>5100000+2000000+14650000+2810000-1060000-99999-5100000-4000000+880000-1231400+735000</f>
        <v>14683601</v>
      </c>
      <c r="L54" s="81"/>
      <c r="M54" s="81"/>
      <c r="N54" s="81"/>
      <c r="O54" s="81">
        <f>5100000+2000000+14650000+2810000-1060000-99999-5100000-4000000+880000-1231400+735000</f>
        <v>14683601</v>
      </c>
      <c r="P54" s="81">
        <f t="shared" si="10"/>
        <v>18021212</v>
      </c>
      <c r="Q54" s="26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</row>
    <row r="55" spans="1:525" s="121" customFormat="1" ht="30" customHeight="1" x14ac:dyDescent="0.25">
      <c r="A55" s="129" t="s">
        <v>220</v>
      </c>
      <c r="B55" s="130" t="str">
        <f>'дод 6'!A257</f>
        <v>8120</v>
      </c>
      <c r="C55" s="130" t="str">
        <f>'дод 6'!B257</f>
        <v>0320</v>
      </c>
      <c r="D55" s="119" t="str">
        <f>'дод 6'!C257</f>
        <v>Заходи з організації рятування на водах, у т.ч. за рахунок:</v>
      </c>
      <c r="E55" s="81">
        <f t="shared" si="9"/>
        <v>2599585</v>
      </c>
      <c r="F55" s="81">
        <f>2604200+336700-336700+2085+84200-84200+37500-37500-8200+1500</f>
        <v>2599585</v>
      </c>
      <c r="G55" s="81">
        <f>1999500+275980-275980+69000-69000+30700-30700</f>
        <v>1999500</v>
      </c>
      <c r="H55" s="81">
        <f>93800-8200+1500</f>
        <v>87100</v>
      </c>
      <c r="I55" s="81"/>
      <c r="J55" s="81">
        <f t="shared" si="12"/>
        <v>6100</v>
      </c>
      <c r="K55" s="81"/>
      <c r="L55" s="81">
        <v>6100</v>
      </c>
      <c r="M55" s="81"/>
      <c r="N55" s="81">
        <v>1600</v>
      </c>
      <c r="O55" s="81"/>
      <c r="P55" s="81">
        <f t="shared" si="10"/>
        <v>2605685</v>
      </c>
      <c r="Q55" s="26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</row>
    <row r="56" spans="1:525" s="127" customFormat="1" ht="63.75" customHeight="1" x14ac:dyDescent="0.25">
      <c r="A56" s="134"/>
      <c r="B56" s="135"/>
      <c r="C56" s="135"/>
      <c r="D56" s="125" t="str">
        <f>'дод 6'!C258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82">
        <f t="shared" si="9"/>
        <v>458400</v>
      </c>
      <c r="F56" s="82">
        <f>336700+84200+37500</f>
        <v>458400</v>
      </c>
      <c r="G56" s="82">
        <f>275980+69000+30700</f>
        <v>375680</v>
      </c>
      <c r="H56" s="82"/>
      <c r="I56" s="82"/>
      <c r="J56" s="82">
        <f t="shared" si="12"/>
        <v>0</v>
      </c>
      <c r="K56" s="82"/>
      <c r="L56" s="82"/>
      <c r="M56" s="82"/>
      <c r="N56" s="82"/>
      <c r="O56" s="82"/>
      <c r="P56" s="82">
        <f t="shared" si="10"/>
        <v>458400</v>
      </c>
      <c r="Q56" s="260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6"/>
      <c r="JV56" s="126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  <c r="ON56" s="126"/>
      <c r="OO56" s="126"/>
      <c r="OP56" s="126"/>
      <c r="OQ56" s="126"/>
      <c r="OR56" s="126"/>
      <c r="OS56" s="126"/>
      <c r="OT56" s="126"/>
      <c r="OU56" s="126"/>
      <c r="OV56" s="126"/>
      <c r="OW56" s="126"/>
      <c r="OX56" s="126"/>
      <c r="OY56" s="126"/>
      <c r="OZ56" s="126"/>
      <c r="PA56" s="126"/>
      <c r="PB56" s="126"/>
      <c r="PC56" s="126"/>
      <c r="PD56" s="126"/>
      <c r="PE56" s="126"/>
      <c r="PF56" s="126"/>
      <c r="PG56" s="126"/>
      <c r="PH56" s="126"/>
      <c r="PI56" s="126"/>
      <c r="PJ56" s="126"/>
      <c r="PK56" s="126"/>
      <c r="PL56" s="126"/>
      <c r="PM56" s="126"/>
      <c r="PN56" s="126"/>
      <c r="PO56" s="126"/>
      <c r="PP56" s="126"/>
      <c r="PQ56" s="126"/>
      <c r="PR56" s="126"/>
      <c r="PS56" s="126"/>
      <c r="PT56" s="126"/>
      <c r="PU56" s="126"/>
      <c r="PV56" s="126"/>
      <c r="PW56" s="126"/>
      <c r="PX56" s="126"/>
      <c r="PY56" s="126"/>
      <c r="PZ56" s="126"/>
      <c r="QA56" s="126"/>
      <c r="QB56" s="126"/>
      <c r="QC56" s="126"/>
      <c r="QD56" s="126"/>
      <c r="QE56" s="126"/>
      <c r="QF56" s="126"/>
      <c r="QG56" s="126"/>
      <c r="QH56" s="126"/>
      <c r="QI56" s="126"/>
      <c r="QJ56" s="126"/>
      <c r="QK56" s="126"/>
      <c r="QL56" s="126"/>
      <c r="QM56" s="126"/>
      <c r="QN56" s="126"/>
      <c r="QO56" s="126"/>
      <c r="QP56" s="126"/>
      <c r="QQ56" s="126"/>
      <c r="QR56" s="126"/>
      <c r="QS56" s="126"/>
      <c r="QT56" s="126"/>
      <c r="QU56" s="126"/>
      <c r="QV56" s="126"/>
      <c r="QW56" s="126"/>
      <c r="QX56" s="126"/>
      <c r="QY56" s="126"/>
      <c r="QZ56" s="126"/>
      <c r="RA56" s="126"/>
      <c r="RB56" s="126"/>
      <c r="RC56" s="126"/>
      <c r="RD56" s="126"/>
      <c r="RE56" s="126"/>
      <c r="RF56" s="126"/>
      <c r="RG56" s="126"/>
      <c r="RH56" s="126"/>
      <c r="RI56" s="126"/>
      <c r="RJ56" s="126"/>
      <c r="RK56" s="126"/>
      <c r="RL56" s="126"/>
      <c r="RM56" s="126"/>
      <c r="RN56" s="126"/>
      <c r="RO56" s="126"/>
      <c r="RP56" s="126"/>
      <c r="RQ56" s="126"/>
      <c r="RR56" s="126"/>
      <c r="RS56" s="126"/>
      <c r="RT56" s="126"/>
      <c r="RU56" s="126"/>
      <c r="RV56" s="126"/>
      <c r="RW56" s="126"/>
      <c r="RX56" s="126"/>
      <c r="RY56" s="126"/>
      <c r="RZ56" s="126"/>
      <c r="SA56" s="126"/>
      <c r="SB56" s="126"/>
      <c r="SC56" s="126"/>
      <c r="SD56" s="126"/>
      <c r="SE56" s="126"/>
      <c r="SF56" s="126"/>
      <c r="SG56" s="126"/>
      <c r="SH56" s="126"/>
      <c r="SI56" s="126"/>
      <c r="SJ56" s="126"/>
      <c r="SK56" s="126"/>
      <c r="SL56" s="126"/>
      <c r="SM56" s="126"/>
      <c r="SN56" s="126"/>
      <c r="SO56" s="126"/>
      <c r="SP56" s="126"/>
      <c r="SQ56" s="126"/>
      <c r="SR56" s="126"/>
      <c r="SS56" s="126"/>
      <c r="ST56" s="126"/>
      <c r="SU56" s="126"/>
      <c r="SV56" s="126"/>
      <c r="SW56" s="126"/>
      <c r="SX56" s="126"/>
      <c r="SY56" s="126"/>
      <c r="SZ56" s="126"/>
      <c r="TA56" s="126"/>
      <c r="TB56" s="126"/>
      <c r="TC56" s="126"/>
      <c r="TD56" s="126"/>
      <c r="TE56" s="126"/>
    </row>
    <row r="57" spans="1:525" s="121" customFormat="1" ht="27" customHeight="1" x14ac:dyDescent="0.25">
      <c r="A57" s="129" t="s">
        <v>240</v>
      </c>
      <c r="B57" s="130" t="str">
        <f>'дод 6'!A260</f>
        <v>8230</v>
      </c>
      <c r="C57" s="130" t="str">
        <f>'дод 6'!B260</f>
        <v>0380</v>
      </c>
      <c r="D57" s="119" t="str">
        <f>'дод 6'!C260</f>
        <v>Інші заходи громадського порядку та безпеки</v>
      </c>
      <c r="E57" s="81">
        <f t="shared" si="9"/>
        <v>671900</v>
      </c>
      <c r="F57" s="81">
        <f>665100+8500-69800+33100+35000</f>
        <v>671900</v>
      </c>
      <c r="G57" s="81"/>
      <c r="H57" s="81">
        <f>491175-69800+33100+35000</f>
        <v>489475</v>
      </c>
      <c r="I57" s="81"/>
      <c r="J57" s="81">
        <f t="shared" si="12"/>
        <v>0</v>
      </c>
      <c r="K57" s="81"/>
      <c r="L57" s="81"/>
      <c r="M57" s="81"/>
      <c r="N57" s="81"/>
      <c r="O57" s="81"/>
      <c r="P57" s="81">
        <f t="shared" si="10"/>
        <v>671900</v>
      </c>
      <c r="Q57" s="26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</row>
    <row r="58" spans="1:525" s="121" customFormat="1" ht="22.5" customHeight="1" x14ac:dyDescent="0.25">
      <c r="A58" s="129" t="s">
        <v>590</v>
      </c>
      <c r="B58" s="130">
        <f>'дод 6'!A261</f>
        <v>8240</v>
      </c>
      <c r="C58" s="130" t="str">
        <f>'дод 6'!B261</f>
        <v>0380</v>
      </c>
      <c r="D58" s="133" t="str">
        <f>'дод 6'!C261</f>
        <v>Заходи та роботи з територіальної оборони</v>
      </c>
      <c r="E58" s="81">
        <f t="shared" ref="E58" si="16">F58+I58</f>
        <v>42579429.700000003</v>
      </c>
      <c r="F58" s="81">
        <f>20000000+4884444+435265+260512+300000+664871+821000+414829+6850500+1000000+1614204+510800+3652000+400000+55996-84800+1840000+701000+268980+159000-761304-1295871.3-111996</f>
        <v>42579429.700000003</v>
      </c>
      <c r="G58" s="81"/>
      <c r="H58" s="81">
        <f>1000000+4884444+435265+260512+664871-300000-735000</f>
        <v>6210092</v>
      </c>
      <c r="I58" s="81"/>
      <c r="J58" s="81">
        <f t="shared" ref="J58" si="17">L58+O58</f>
        <v>10168615</v>
      </c>
      <c r="K58" s="81">
        <f>2000000+33700+99999+1375000+523200+850000+2348000+1000000+84800+99000+531020+842000+269900+111996</f>
        <v>10168615</v>
      </c>
      <c r="L58" s="81"/>
      <c r="M58" s="81"/>
      <c r="N58" s="81"/>
      <c r="O58" s="81">
        <f>2000000+33700+99999+1375000+523200+850000+2348000+1000000+84800+99000+531020+842000+269900+111996</f>
        <v>10168615</v>
      </c>
      <c r="P58" s="81">
        <f t="shared" ref="P58" si="18">E58+J58</f>
        <v>52748044.700000003</v>
      </c>
      <c r="Q58" s="26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</row>
    <row r="59" spans="1:525" s="121" customFormat="1" ht="31.5" x14ac:dyDescent="0.25">
      <c r="A59" s="117" t="s">
        <v>161</v>
      </c>
      <c r="B59" s="118" t="str">
        <f>'дод 6'!A265</f>
        <v>8340</v>
      </c>
      <c r="C59" s="118" t="str">
        <f>'дод 6'!B265</f>
        <v>0540</v>
      </c>
      <c r="D59" s="122" t="str">
        <f>'дод 6'!C265</f>
        <v>Природоохоронні заходи за рахунок цільових фондів</v>
      </c>
      <c r="E59" s="81">
        <f t="shared" si="9"/>
        <v>0</v>
      </c>
      <c r="F59" s="81"/>
      <c r="G59" s="81"/>
      <c r="H59" s="81"/>
      <c r="I59" s="81"/>
      <c r="J59" s="81">
        <f t="shared" si="12"/>
        <v>100000</v>
      </c>
      <c r="K59" s="81"/>
      <c r="L59" s="81">
        <v>100000</v>
      </c>
      <c r="M59" s="81"/>
      <c r="N59" s="81"/>
      <c r="O59" s="81"/>
      <c r="P59" s="81">
        <f t="shared" si="10"/>
        <v>100000</v>
      </c>
      <c r="Q59" s="26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</row>
    <row r="60" spans="1:525" s="121" customFormat="1" ht="15.75" hidden="1" customHeight="1" x14ac:dyDescent="0.25">
      <c r="A60" s="129" t="s">
        <v>251</v>
      </c>
      <c r="B60" s="130" t="str">
        <f>'дод 6'!A267</f>
        <v>8420</v>
      </c>
      <c r="C60" s="130" t="str">
        <f>'дод 6'!B267</f>
        <v>0830</v>
      </c>
      <c r="D60" s="119" t="str">
        <f>'дод 6'!C267</f>
        <v>Інші заходи у сфері засобів масової інформації</v>
      </c>
      <c r="E60" s="81">
        <f t="shared" si="9"/>
        <v>0</v>
      </c>
      <c r="F60" s="81"/>
      <c r="G60" s="81"/>
      <c r="H60" s="81"/>
      <c r="I60" s="81"/>
      <c r="J60" s="81">
        <f t="shared" si="12"/>
        <v>0</v>
      </c>
      <c r="K60" s="81"/>
      <c r="L60" s="81"/>
      <c r="M60" s="81"/>
      <c r="N60" s="81"/>
      <c r="O60" s="81"/>
      <c r="P60" s="81">
        <f t="shared" si="10"/>
        <v>0</v>
      </c>
      <c r="Q60" s="26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</row>
    <row r="61" spans="1:525" s="121" customFormat="1" ht="15.75" customHeight="1" x14ac:dyDescent="0.25">
      <c r="A61" s="129" t="s">
        <v>546</v>
      </c>
      <c r="B61" s="130">
        <v>9770</v>
      </c>
      <c r="C61" s="129" t="s">
        <v>44</v>
      </c>
      <c r="D61" s="119" t="s">
        <v>351</v>
      </c>
      <c r="E61" s="81">
        <f t="shared" si="9"/>
        <v>5450000</v>
      </c>
      <c r="F61" s="81">
        <f>2000000+450000+2000000+1000000</f>
        <v>5450000</v>
      </c>
      <c r="G61" s="81"/>
      <c r="H61" s="81"/>
      <c r="I61" s="81"/>
      <c r="J61" s="81">
        <f t="shared" si="12"/>
        <v>2900000</v>
      </c>
      <c r="K61" s="81">
        <v>2900000</v>
      </c>
      <c r="L61" s="81"/>
      <c r="M61" s="81"/>
      <c r="N61" s="81"/>
      <c r="O61" s="81">
        <v>2900000</v>
      </c>
      <c r="P61" s="81">
        <f t="shared" si="10"/>
        <v>8350000</v>
      </c>
      <c r="Q61" s="26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</row>
    <row r="62" spans="1:525" s="121" customFormat="1" ht="38.25" hidden="1" customHeight="1" x14ac:dyDescent="0.25">
      <c r="A62" s="129" t="s">
        <v>584</v>
      </c>
      <c r="B62" s="130">
        <v>8775</v>
      </c>
      <c r="C62" s="129" t="s">
        <v>92</v>
      </c>
      <c r="D62" s="119" t="s">
        <v>585</v>
      </c>
      <c r="E62" s="81">
        <f>F62</f>
        <v>0</v>
      </c>
      <c r="F62" s="81"/>
      <c r="G62" s="81"/>
      <c r="H62" s="81"/>
      <c r="I62" s="81"/>
      <c r="J62" s="81">
        <f t="shared" ref="J62:J63" si="19">L62+O62</f>
        <v>0</v>
      </c>
      <c r="K62" s="81"/>
      <c r="L62" s="81"/>
      <c r="M62" s="81"/>
      <c r="N62" s="81"/>
      <c r="O62" s="81"/>
      <c r="P62" s="81">
        <f t="shared" ref="P62:P63" si="20">E62+J62</f>
        <v>0</v>
      </c>
      <c r="Q62" s="26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</row>
    <row r="63" spans="1:525" s="121" customFormat="1" ht="15.75" hidden="1" customHeight="1" x14ac:dyDescent="0.25">
      <c r="A63" s="129" t="s">
        <v>546</v>
      </c>
      <c r="B63" s="130">
        <v>9770</v>
      </c>
      <c r="C63" s="129" t="s">
        <v>44</v>
      </c>
      <c r="D63" s="119" t="s">
        <v>351</v>
      </c>
      <c r="E63" s="81">
        <f>F63</f>
        <v>0</v>
      </c>
      <c r="F63" s="81">
        <f>2000000-2000000</f>
        <v>0</v>
      </c>
      <c r="G63" s="81"/>
      <c r="H63" s="81"/>
      <c r="I63" s="81"/>
      <c r="J63" s="81">
        <f t="shared" si="19"/>
        <v>0</v>
      </c>
      <c r="K63" s="81"/>
      <c r="L63" s="81"/>
      <c r="M63" s="81"/>
      <c r="N63" s="81"/>
      <c r="O63" s="81"/>
      <c r="P63" s="81">
        <f t="shared" si="20"/>
        <v>0</v>
      </c>
      <c r="Q63" s="26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</row>
    <row r="64" spans="1:525" s="121" customFormat="1" ht="47.25" customHeight="1" x14ac:dyDescent="0.25">
      <c r="A64" s="129" t="s">
        <v>376</v>
      </c>
      <c r="B64" s="130">
        <v>9800</v>
      </c>
      <c r="C64" s="129" t="s">
        <v>44</v>
      </c>
      <c r="D64" s="119" t="s">
        <v>362</v>
      </c>
      <c r="E64" s="81">
        <f>F64+I64</f>
        <v>45365636</v>
      </c>
      <c r="F64" s="81">
        <f>1068461+3000000+140000+50000+70000+5000000+766025+426000+4000000+600000+1500000+690000+1485000+1000000+100000+54000+9655000+98000+100000-4310137+1325930+49000+3000000+500000+10000000+2339854+500000+781439+1400000+99000+222074-8475116.22+7603066.22+3000000+1000000+100000+250000-2874000+82040+1320000-2440000+90000</f>
        <v>45365636</v>
      </c>
      <c r="G64" s="81"/>
      <c r="H64" s="81"/>
      <c r="I64" s="81"/>
      <c r="J64" s="81">
        <f>L64+O64</f>
        <v>81218246</v>
      </c>
      <c r="K64" s="81">
        <f>100000+680000+320000+3300000+6574000+685000+4000000+1800000+2515000+2300000+6900000+3266450+900000+4310137+4300000+990000+3700000+500000+3000000+7000000+2480000+3000000+660146-500000+1334334+3000000+5000000+1500000-222074-49950+922000-3000000+650000+2874000-82040+4000000+2440000+71243</f>
        <v>81218246</v>
      </c>
      <c r="L64" s="81"/>
      <c r="M64" s="81"/>
      <c r="N64" s="81"/>
      <c r="O64" s="81">
        <f>680000+100000+320000+3300000+6574000+685000+4000000+1800000+2515000+2300000+6900000+3266450+900000+4310137+4300000+990000+3700000+500000+3000000+7000000+2480000+3000000+660146-500000+1334334+3000000+5000000+1500000-222074-49950+922000-3000000+650000+2874000-82040+4000000+2440000+71243</f>
        <v>81218246</v>
      </c>
      <c r="P64" s="81">
        <f t="shared" si="10"/>
        <v>126583882</v>
      </c>
      <c r="Q64" s="26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</row>
    <row r="65" spans="1:525" s="111" customFormat="1" ht="37.5" customHeight="1" x14ac:dyDescent="0.25">
      <c r="A65" s="136" t="s">
        <v>162</v>
      </c>
      <c r="B65" s="137"/>
      <c r="C65" s="137"/>
      <c r="D65" s="138" t="s">
        <v>24</v>
      </c>
      <c r="E65" s="79">
        <f>E66</f>
        <v>1311228603.3099999</v>
      </c>
      <c r="F65" s="79">
        <f t="shared" ref="F65:I65" si="21">F66</f>
        <v>1310878603.3099999</v>
      </c>
      <c r="G65" s="79">
        <f t="shared" si="21"/>
        <v>900649728</v>
      </c>
      <c r="H65" s="79">
        <f t="shared" si="21"/>
        <v>118581360</v>
      </c>
      <c r="I65" s="79">
        <f t="shared" si="21"/>
        <v>350000</v>
      </c>
      <c r="J65" s="79">
        <f>J66</f>
        <v>337021368.01999998</v>
      </c>
      <c r="K65" s="79">
        <f t="shared" ref="K65" si="22">K66</f>
        <v>189065396.02000001</v>
      </c>
      <c r="L65" s="79">
        <f t="shared" ref="L65" si="23">L66</f>
        <v>93455448</v>
      </c>
      <c r="M65" s="79">
        <f t="shared" ref="M65" si="24">M66</f>
        <v>6365502</v>
      </c>
      <c r="N65" s="79">
        <f t="shared" ref="N65" si="25">N66</f>
        <v>6456855</v>
      </c>
      <c r="O65" s="79">
        <f t="shared" ref="O65:P65" si="26">O66</f>
        <v>243565920.02000001</v>
      </c>
      <c r="P65" s="79">
        <f t="shared" si="26"/>
        <v>1648249971.3299999</v>
      </c>
      <c r="Q65" s="26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</row>
    <row r="66" spans="1:525" s="116" customFormat="1" ht="33" customHeight="1" x14ac:dyDescent="0.25">
      <c r="A66" s="139" t="s">
        <v>163</v>
      </c>
      <c r="B66" s="140"/>
      <c r="C66" s="140"/>
      <c r="D66" s="114" t="s">
        <v>668</v>
      </c>
      <c r="E66" s="80">
        <f>E83+E84+E85+E87+E88+E89+E92+E94+E96+E99+E101+E106+E107+E108+E109+E111+E112+E113+E115+E117+E119+E121+E123+E130+E131+E133+E135+E140+E141+E146+E147+E149+E150+E102+E104+E137+E142+E145+E143+E124+E125+E138+E127+E128</f>
        <v>1311228603.3099999</v>
      </c>
      <c r="F66" s="80">
        <f t="shared" ref="F66:P66" si="27">F83+F84+F85+F87+F88+F89+F92+F94+F96+F99+F101+F106+F107+F108+F109+F111+F112+F113+F115+F117+F119+F121+F123+F130+F131+F133+F135+F140+F141+F146+F147+F149+F150+F102+F104+F137+F142+F145+F143+F124+F125+F138+F127+F128</f>
        <v>1310878603.3099999</v>
      </c>
      <c r="G66" s="80">
        <f t="shared" si="27"/>
        <v>900649728</v>
      </c>
      <c r="H66" s="80">
        <f t="shared" si="27"/>
        <v>118581360</v>
      </c>
      <c r="I66" s="80">
        <f t="shared" si="27"/>
        <v>350000</v>
      </c>
      <c r="J66" s="80">
        <f t="shared" si="27"/>
        <v>337021368.01999998</v>
      </c>
      <c r="K66" s="80">
        <f t="shared" si="27"/>
        <v>189065396.02000001</v>
      </c>
      <c r="L66" s="80">
        <f t="shared" si="27"/>
        <v>93455448</v>
      </c>
      <c r="M66" s="80">
        <f t="shared" si="27"/>
        <v>6365502</v>
      </c>
      <c r="N66" s="80">
        <f t="shared" si="27"/>
        <v>6456855</v>
      </c>
      <c r="O66" s="80">
        <f t="shared" si="27"/>
        <v>243565920.02000001</v>
      </c>
      <c r="P66" s="80">
        <f t="shared" si="27"/>
        <v>1648249971.3299999</v>
      </c>
      <c r="Q66" s="260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</row>
    <row r="67" spans="1:525" s="116" customFormat="1" ht="31.5" customHeight="1" x14ac:dyDescent="0.25">
      <c r="A67" s="139"/>
      <c r="B67" s="140"/>
      <c r="C67" s="140"/>
      <c r="D67" s="114" t="s">
        <v>384</v>
      </c>
      <c r="E67" s="80">
        <f>E90+E93+E95+E105</f>
        <v>473819800</v>
      </c>
      <c r="F67" s="80">
        <f t="shared" ref="F67:P67" si="28">F90+F93+F95+F105</f>
        <v>473819800</v>
      </c>
      <c r="G67" s="80">
        <f>G90+G93+G95+G105</f>
        <v>389369340</v>
      </c>
      <c r="H67" s="80">
        <f t="shared" si="28"/>
        <v>0</v>
      </c>
      <c r="I67" s="80">
        <f t="shared" si="28"/>
        <v>0</v>
      </c>
      <c r="J67" s="80">
        <f t="shared" si="28"/>
        <v>0</v>
      </c>
      <c r="K67" s="80">
        <f t="shared" si="28"/>
        <v>0</v>
      </c>
      <c r="L67" s="80">
        <f t="shared" si="28"/>
        <v>0</v>
      </c>
      <c r="M67" s="80">
        <f t="shared" si="28"/>
        <v>0</v>
      </c>
      <c r="N67" s="80">
        <f t="shared" si="28"/>
        <v>0</v>
      </c>
      <c r="O67" s="80">
        <f t="shared" si="28"/>
        <v>0</v>
      </c>
      <c r="P67" s="80">
        <f t="shared" si="28"/>
        <v>473819800</v>
      </c>
      <c r="Q67" s="260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</row>
    <row r="68" spans="1:525" s="116" customFormat="1" ht="63" hidden="1" customHeight="1" x14ac:dyDescent="0.25">
      <c r="A68" s="139"/>
      <c r="B68" s="140"/>
      <c r="C68" s="140"/>
      <c r="D68" s="114" t="s">
        <v>383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260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</row>
    <row r="69" spans="1:525" s="116" customFormat="1" ht="31.5" hidden="1" customHeight="1" x14ac:dyDescent="0.25">
      <c r="A69" s="139"/>
      <c r="B69" s="140"/>
      <c r="C69" s="140"/>
      <c r="D69" s="114" t="s">
        <v>603</v>
      </c>
      <c r="E69" s="80">
        <f>E100</f>
        <v>0</v>
      </c>
      <c r="F69" s="80">
        <f t="shared" ref="F69:P69" si="29">F100</f>
        <v>0</v>
      </c>
      <c r="G69" s="80">
        <f t="shared" si="29"/>
        <v>0</v>
      </c>
      <c r="H69" s="80">
        <f t="shared" si="29"/>
        <v>0</v>
      </c>
      <c r="I69" s="80">
        <f t="shared" si="29"/>
        <v>0</v>
      </c>
      <c r="J69" s="80">
        <f t="shared" si="29"/>
        <v>0</v>
      </c>
      <c r="K69" s="80">
        <f t="shared" si="29"/>
        <v>0</v>
      </c>
      <c r="L69" s="80">
        <f t="shared" si="29"/>
        <v>0</v>
      </c>
      <c r="M69" s="80">
        <f t="shared" si="29"/>
        <v>0</v>
      </c>
      <c r="N69" s="80">
        <f t="shared" si="29"/>
        <v>0</v>
      </c>
      <c r="O69" s="80">
        <f t="shared" si="29"/>
        <v>0</v>
      </c>
      <c r="P69" s="80">
        <f t="shared" si="29"/>
        <v>0</v>
      </c>
      <c r="Q69" s="260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</row>
    <row r="70" spans="1:525" s="116" customFormat="1" ht="47.25" x14ac:dyDescent="0.25">
      <c r="A70" s="139"/>
      <c r="B70" s="140"/>
      <c r="C70" s="140"/>
      <c r="D70" s="114" t="s">
        <v>379</v>
      </c>
      <c r="E70" s="80">
        <f>E91+E110+E129</f>
        <v>3348277.94</v>
      </c>
      <c r="F70" s="80">
        <f t="shared" ref="F70:P70" si="30">F91+F110+F129</f>
        <v>3348277.94</v>
      </c>
      <c r="G70" s="80">
        <f t="shared" si="30"/>
        <v>1429160</v>
      </c>
      <c r="H70" s="80">
        <f t="shared" si="30"/>
        <v>0</v>
      </c>
      <c r="I70" s="80">
        <f t="shared" si="30"/>
        <v>0</v>
      </c>
      <c r="J70" s="80">
        <f t="shared" si="30"/>
        <v>2797912</v>
      </c>
      <c r="K70" s="80">
        <f t="shared" si="30"/>
        <v>0</v>
      </c>
      <c r="L70" s="80">
        <f t="shared" si="30"/>
        <v>1922428</v>
      </c>
      <c r="M70" s="80">
        <f t="shared" si="30"/>
        <v>0</v>
      </c>
      <c r="N70" s="80">
        <f t="shared" si="30"/>
        <v>0</v>
      </c>
      <c r="O70" s="80">
        <f t="shared" si="30"/>
        <v>875484</v>
      </c>
      <c r="P70" s="80">
        <f t="shared" si="30"/>
        <v>6146189.9399999995</v>
      </c>
      <c r="Q70" s="260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</row>
    <row r="71" spans="1:525" s="116" customFormat="1" ht="47.25" hidden="1" x14ac:dyDescent="0.25">
      <c r="A71" s="139"/>
      <c r="B71" s="140"/>
      <c r="C71" s="140"/>
      <c r="D71" s="114" t="s">
        <v>381</v>
      </c>
      <c r="E71" s="80"/>
      <c r="F71" s="80"/>
      <c r="G71" s="80">
        <f t="shared" ref="G71:O71" si="31">+G107</f>
        <v>0</v>
      </c>
      <c r="H71" s="80">
        <f t="shared" si="31"/>
        <v>0</v>
      </c>
      <c r="I71" s="80">
        <f t="shared" si="31"/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0</v>
      </c>
      <c r="N71" s="80">
        <f t="shared" si="31"/>
        <v>0</v>
      </c>
      <c r="O71" s="80">
        <f t="shared" si="31"/>
        <v>0</v>
      </c>
      <c r="P71" s="80"/>
      <c r="Q71" s="19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</row>
    <row r="72" spans="1:525" s="116" customFormat="1" ht="63" customHeight="1" x14ac:dyDescent="0.25">
      <c r="A72" s="139"/>
      <c r="B72" s="140"/>
      <c r="C72" s="140"/>
      <c r="D72" s="114" t="s">
        <v>378</v>
      </c>
      <c r="E72" s="80">
        <f>E120</f>
        <v>1822724</v>
      </c>
      <c r="F72" s="80">
        <f t="shared" ref="F72:O72" si="32">F120</f>
        <v>1822724</v>
      </c>
      <c r="G72" s="80">
        <f t="shared" si="32"/>
        <v>1494036</v>
      </c>
      <c r="H72" s="80">
        <f t="shared" si="32"/>
        <v>0</v>
      </c>
      <c r="I72" s="80">
        <f t="shared" si="32"/>
        <v>0</v>
      </c>
      <c r="J72" s="80">
        <f t="shared" si="32"/>
        <v>0</v>
      </c>
      <c r="K72" s="80">
        <f t="shared" si="32"/>
        <v>0</v>
      </c>
      <c r="L72" s="80">
        <f t="shared" si="32"/>
        <v>0</v>
      </c>
      <c r="M72" s="80">
        <f t="shared" si="32"/>
        <v>0</v>
      </c>
      <c r="N72" s="80">
        <f t="shared" si="32"/>
        <v>0</v>
      </c>
      <c r="O72" s="80">
        <f t="shared" si="32"/>
        <v>0</v>
      </c>
      <c r="P72" s="80">
        <f>P120</f>
        <v>1822724</v>
      </c>
      <c r="Q72" s="196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</row>
    <row r="73" spans="1:525" s="116" customFormat="1" ht="31.5" hidden="1" x14ac:dyDescent="0.25">
      <c r="A73" s="139"/>
      <c r="B73" s="140"/>
      <c r="C73" s="140"/>
      <c r="D73" s="114" t="s">
        <v>505</v>
      </c>
      <c r="E73" s="80">
        <f t="shared" ref="E73:O73" si="33">E98+E100+E148</f>
        <v>0</v>
      </c>
      <c r="F73" s="80">
        <f t="shared" si="33"/>
        <v>0</v>
      </c>
      <c r="G73" s="80">
        <f t="shared" si="33"/>
        <v>0</v>
      </c>
      <c r="H73" s="80">
        <f t="shared" si="33"/>
        <v>0</v>
      </c>
      <c r="I73" s="80">
        <f t="shared" si="33"/>
        <v>0</v>
      </c>
      <c r="J73" s="80">
        <f t="shared" si="33"/>
        <v>0</v>
      </c>
      <c r="K73" s="80">
        <f t="shared" si="33"/>
        <v>0</v>
      </c>
      <c r="L73" s="80">
        <f t="shared" si="33"/>
        <v>0</v>
      </c>
      <c r="M73" s="80">
        <f t="shared" si="33"/>
        <v>0</v>
      </c>
      <c r="N73" s="80">
        <f t="shared" si="33"/>
        <v>0</v>
      </c>
      <c r="O73" s="80">
        <f t="shared" si="33"/>
        <v>0</v>
      </c>
      <c r="P73" s="80">
        <f t="shared" ref="P73:P75" si="34">P121</f>
        <v>208630.37</v>
      </c>
      <c r="Q73" s="196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</row>
    <row r="74" spans="1:525" s="116" customFormat="1" ht="78.75" hidden="1" x14ac:dyDescent="0.25">
      <c r="A74" s="139"/>
      <c r="B74" s="140"/>
      <c r="C74" s="140"/>
      <c r="D74" s="114" t="s">
        <v>522</v>
      </c>
      <c r="E74" s="80">
        <f>E118</f>
        <v>0</v>
      </c>
      <c r="F74" s="80">
        <f t="shared" ref="F74:O74" si="35">F118</f>
        <v>0</v>
      </c>
      <c r="G74" s="80">
        <f t="shared" si="35"/>
        <v>0</v>
      </c>
      <c r="H74" s="80">
        <f t="shared" si="35"/>
        <v>0</v>
      </c>
      <c r="I74" s="80">
        <f t="shared" si="35"/>
        <v>0</v>
      </c>
      <c r="J74" s="80">
        <f t="shared" si="35"/>
        <v>0</v>
      </c>
      <c r="K74" s="80">
        <f t="shared" si="35"/>
        <v>0</v>
      </c>
      <c r="L74" s="80">
        <f t="shared" si="35"/>
        <v>0</v>
      </c>
      <c r="M74" s="80">
        <f t="shared" si="35"/>
        <v>0</v>
      </c>
      <c r="N74" s="80">
        <f t="shared" si="35"/>
        <v>0</v>
      </c>
      <c r="O74" s="80">
        <f t="shared" si="35"/>
        <v>0</v>
      </c>
      <c r="P74" s="80">
        <f t="shared" si="34"/>
        <v>208630.37</v>
      </c>
      <c r="Q74" s="196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</row>
    <row r="75" spans="1:525" s="116" customFormat="1" ht="47.25" hidden="1" x14ac:dyDescent="0.25">
      <c r="A75" s="112"/>
      <c r="B75" s="141"/>
      <c r="C75" s="142"/>
      <c r="D75" s="114" t="s">
        <v>542</v>
      </c>
      <c r="E75" s="80">
        <f>E114</f>
        <v>0</v>
      </c>
      <c r="F75" s="80">
        <f t="shared" ref="F75:O75" si="36">F114</f>
        <v>0</v>
      </c>
      <c r="G75" s="80">
        <f t="shared" si="36"/>
        <v>0</v>
      </c>
      <c r="H75" s="80">
        <f t="shared" si="36"/>
        <v>0</v>
      </c>
      <c r="I75" s="80">
        <f t="shared" si="36"/>
        <v>0</v>
      </c>
      <c r="J75" s="80">
        <f t="shared" si="36"/>
        <v>0</v>
      </c>
      <c r="K75" s="80">
        <f t="shared" si="36"/>
        <v>0</v>
      </c>
      <c r="L75" s="80">
        <f t="shared" si="36"/>
        <v>0</v>
      </c>
      <c r="M75" s="80">
        <f t="shared" si="36"/>
        <v>0</v>
      </c>
      <c r="N75" s="80">
        <f t="shared" si="36"/>
        <v>0</v>
      </c>
      <c r="O75" s="80">
        <f t="shared" si="36"/>
        <v>0</v>
      </c>
      <c r="P75" s="80">
        <f t="shared" si="34"/>
        <v>0</v>
      </c>
      <c r="Q75" s="196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</row>
    <row r="76" spans="1:525" s="116" customFormat="1" ht="63" x14ac:dyDescent="0.25">
      <c r="A76" s="139"/>
      <c r="B76" s="140"/>
      <c r="C76" s="140"/>
      <c r="D76" s="250" t="s">
        <v>602</v>
      </c>
      <c r="E76" s="80">
        <f t="shared" ref="E76:P76" si="37">E86+E136</f>
        <v>0</v>
      </c>
      <c r="F76" s="80">
        <f t="shared" si="37"/>
        <v>0</v>
      </c>
      <c r="G76" s="80">
        <f t="shared" si="37"/>
        <v>0</v>
      </c>
      <c r="H76" s="80">
        <f t="shared" si="37"/>
        <v>0</v>
      </c>
      <c r="I76" s="80">
        <f t="shared" si="37"/>
        <v>0</v>
      </c>
      <c r="J76" s="80">
        <f t="shared" si="37"/>
        <v>8554.02</v>
      </c>
      <c r="K76" s="80">
        <f t="shared" si="37"/>
        <v>8554.02</v>
      </c>
      <c r="L76" s="80">
        <f t="shared" si="37"/>
        <v>0</v>
      </c>
      <c r="M76" s="80">
        <f t="shared" si="37"/>
        <v>0</v>
      </c>
      <c r="N76" s="80">
        <f t="shared" si="37"/>
        <v>0</v>
      </c>
      <c r="O76" s="80">
        <f t="shared" si="37"/>
        <v>8554.02</v>
      </c>
      <c r="P76" s="80">
        <f t="shared" si="37"/>
        <v>8554.02</v>
      </c>
      <c r="Q76" s="196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</row>
    <row r="77" spans="1:525" s="116" customFormat="1" ht="15.75" hidden="1" x14ac:dyDescent="0.25">
      <c r="A77" s="139"/>
      <c r="B77" s="140"/>
      <c r="C77" s="140"/>
      <c r="D77" s="114" t="s">
        <v>389</v>
      </c>
      <c r="E77" s="80">
        <f t="shared" ref="E77:P77" si="38">E116+E132+E134</f>
        <v>0</v>
      </c>
      <c r="F77" s="80">
        <f t="shared" si="38"/>
        <v>0</v>
      </c>
      <c r="G77" s="80">
        <f t="shared" si="38"/>
        <v>0</v>
      </c>
      <c r="H77" s="80">
        <f t="shared" si="38"/>
        <v>0</v>
      </c>
      <c r="I77" s="80">
        <f t="shared" si="38"/>
        <v>0</v>
      </c>
      <c r="J77" s="80">
        <f t="shared" si="38"/>
        <v>0</v>
      </c>
      <c r="K77" s="80">
        <f t="shared" si="38"/>
        <v>0</v>
      </c>
      <c r="L77" s="80">
        <f t="shared" si="38"/>
        <v>0</v>
      </c>
      <c r="M77" s="80">
        <f t="shared" si="38"/>
        <v>0</v>
      </c>
      <c r="N77" s="80">
        <f t="shared" si="38"/>
        <v>0</v>
      </c>
      <c r="O77" s="80">
        <f t="shared" si="38"/>
        <v>0</v>
      </c>
      <c r="P77" s="80">
        <f t="shared" si="38"/>
        <v>0</v>
      </c>
      <c r="Q77" s="196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</row>
    <row r="78" spans="1:525" s="116" customFormat="1" ht="71.25" customHeight="1" x14ac:dyDescent="0.25">
      <c r="A78" s="139"/>
      <c r="B78" s="140"/>
      <c r="C78" s="140"/>
      <c r="D78" s="114" t="s">
        <v>704</v>
      </c>
      <c r="E78" s="80">
        <f>E126</f>
        <v>0</v>
      </c>
      <c r="F78" s="80">
        <f t="shared" ref="F78:P78" si="39">F126</f>
        <v>0</v>
      </c>
      <c r="G78" s="80">
        <f t="shared" si="39"/>
        <v>0</v>
      </c>
      <c r="H78" s="80">
        <f t="shared" si="39"/>
        <v>0</v>
      </c>
      <c r="I78" s="80">
        <f t="shared" si="39"/>
        <v>0</v>
      </c>
      <c r="J78" s="80">
        <f t="shared" si="39"/>
        <v>22175500</v>
      </c>
      <c r="K78" s="80">
        <f t="shared" si="39"/>
        <v>22175500</v>
      </c>
      <c r="L78" s="80">
        <f t="shared" si="39"/>
        <v>0</v>
      </c>
      <c r="M78" s="80">
        <f t="shared" si="39"/>
        <v>0</v>
      </c>
      <c r="N78" s="80">
        <f t="shared" si="39"/>
        <v>0</v>
      </c>
      <c r="O78" s="80">
        <f t="shared" si="39"/>
        <v>22175500</v>
      </c>
      <c r="P78" s="80">
        <f t="shared" si="39"/>
        <v>22175500</v>
      </c>
      <c r="Q78" s="196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</row>
    <row r="79" spans="1:525" s="116" customFormat="1" ht="126" customHeight="1" x14ac:dyDescent="0.25">
      <c r="A79" s="139"/>
      <c r="B79" s="140"/>
      <c r="C79" s="140"/>
      <c r="D79" s="114" t="str">
        <f>D139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E79" s="80">
        <f>E139</f>
        <v>0</v>
      </c>
      <c r="F79" s="80">
        <f t="shared" ref="F79:P79" si="40">F139</f>
        <v>0</v>
      </c>
      <c r="G79" s="80">
        <f t="shared" si="40"/>
        <v>0</v>
      </c>
      <c r="H79" s="80">
        <f t="shared" si="40"/>
        <v>0</v>
      </c>
      <c r="I79" s="80">
        <f t="shared" si="40"/>
        <v>0</v>
      </c>
      <c r="J79" s="80">
        <f t="shared" si="40"/>
        <v>52912282</v>
      </c>
      <c r="K79" s="80">
        <f t="shared" si="40"/>
        <v>0</v>
      </c>
      <c r="L79" s="80">
        <f t="shared" si="40"/>
        <v>0</v>
      </c>
      <c r="M79" s="80">
        <f t="shared" si="40"/>
        <v>0</v>
      </c>
      <c r="N79" s="80">
        <f t="shared" si="40"/>
        <v>0</v>
      </c>
      <c r="O79" s="80">
        <f t="shared" si="40"/>
        <v>52912282</v>
      </c>
      <c r="P79" s="80">
        <f t="shared" si="40"/>
        <v>52912282</v>
      </c>
      <c r="Q79" s="196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</row>
    <row r="80" spans="1:525" s="116" customFormat="1" ht="78" customHeight="1" x14ac:dyDescent="0.2">
      <c r="A80" s="139"/>
      <c r="B80" s="140"/>
      <c r="C80" s="140"/>
      <c r="D80" s="114" t="str">
        <f>D122</f>
        <v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v>
      </c>
      <c r="E80" s="234">
        <f t="shared" ref="E80:P80" si="41">E122</f>
        <v>208630.37</v>
      </c>
      <c r="F80" s="234">
        <f t="shared" si="41"/>
        <v>208630.37</v>
      </c>
      <c r="G80" s="234">
        <f t="shared" si="41"/>
        <v>171010</v>
      </c>
      <c r="H80" s="234">
        <f t="shared" si="41"/>
        <v>0</v>
      </c>
      <c r="I80" s="234">
        <f t="shared" si="41"/>
        <v>0</v>
      </c>
      <c r="J80" s="234">
        <f t="shared" si="41"/>
        <v>0</v>
      </c>
      <c r="K80" s="234">
        <f t="shared" si="41"/>
        <v>0</v>
      </c>
      <c r="L80" s="234">
        <f t="shared" si="41"/>
        <v>0</v>
      </c>
      <c r="M80" s="234">
        <f t="shared" si="41"/>
        <v>0</v>
      </c>
      <c r="N80" s="234">
        <f t="shared" si="41"/>
        <v>0</v>
      </c>
      <c r="O80" s="234">
        <f t="shared" si="41"/>
        <v>0</v>
      </c>
      <c r="P80" s="234">
        <f t="shared" si="41"/>
        <v>208630.37</v>
      </c>
      <c r="Q80" s="196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</row>
    <row r="81" spans="1:525" s="116" customFormat="1" ht="15.75" x14ac:dyDescent="0.25">
      <c r="A81" s="139"/>
      <c r="B81" s="140"/>
      <c r="C81" s="140"/>
      <c r="D81" s="114" t="str">
        <f>D103</f>
        <v>іншої субвенції з місцевого бюджету</v>
      </c>
      <c r="E81" s="234">
        <f t="shared" ref="E81:P81" si="42">E103</f>
        <v>199919</v>
      </c>
      <c r="F81" s="234">
        <f t="shared" si="42"/>
        <v>199919</v>
      </c>
      <c r="G81" s="234">
        <f t="shared" si="42"/>
        <v>0</v>
      </c>
      <c r="H81" s="234">
        <f t="shared" si="42"/>
        <v>0</v>
      </c>
      <c r="I81" s="234">
        <f t="shared" si="42"/>
        <v>0</v>
      </c>
      <c r="J81" s="80">
        <f t="shared" si="42"/>
        <v>980400</v>
      </c>
      <c r="K81" s="80">
        <f t="shared" si="42"/>
        <v>980400</v>
      </c>
      <c r="L81" s="80">
        <f t="shared" si="42"/>
        <v>0</v>
      </c>
      <c r="M81" s="80">
        <f t="shared" si="42"/>
        <v>0</v>
      </c>
      <c r="N81" s="80">
        <f t="shared" si="42"/>
        <v>0</v>
      </c>
      <c r="O81" s="80">
        <f t="shared" si="42"/>
        <v>980400</v>
      </c>
      <c r="P81" s="80">
        <f t="shared" si="42"/>
        <v>1180319</v>
      </c>
      <c r="Q81" s="196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</row>
    <row r="82" spans="1:525" s="116" customFormat="1" ht="39" customHeight="1" x14ac:dyDescent="0.25">
      <c r="A82" s="112"/>
      <c r="B82" s="141"/>
      <c r="C82" s="141"/>
      <c r="D82" s="149" t="s">
        <v>662</v>
      </c>
      <c r="E82" s="80">
        <f>E144</f>
        <v>0</v>
      </c>
      <c r="F82" s="80">
        <f t="shared" ref="F82:P82" si="43">F144</f>
        <v>0</v>
      </c>
      <c r="G82" s="80">
        <f t="shared" si="43"/>
        <v>0</v>
      </c>
      <c r="H82" s="80">
        <f t="shared" si="43"/>
        <v>0</v>
      </c>
      <c r="I82" s="80">
        <f t="shared" si="43"/>
        <v>0</v>
      </c>
      <c r="J82" s="80">
        <f t="shared" si="43"/>
        <v>390000</v>
      </c>
      <c r="K82" s="80">
        <f t="shared" si="43"/>
        <v>0</v>
      </c>
      <c r="L82" s="80">
        <f t="shared" si="43"/>
        <v>50000</v>
      </c>
      <c r="M82" s="80">
        <f t="shared" si="43"/>
        <v>0</v>
      </c>
      <c r="N82" s="80">
        <f t="shared" si="43"/>
        <v>0</v>
      </c>
      <c r="O82" s="80">
        <f t="shared" si="43"/>
        <v>340000</v>
      </c>
      <c r="P82" s="80">
        <f t="shared" si="43"/>
        <v>390000</v>
      </c>
      <c r="Q82" s="196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</row>
    <row r="83" spans="1:525" s="121" customFormat="1" ht="45.75" customHeight="1" x14ac:dyDescent="0.25">
      <c r="A83" s="117" t="s">
        <v>164</v>
      </c>
      <c r="B83" s="118" t="str">
        <f>'дод 6'!A16</f>
        <v>0160</v>
      </c>
      <c r="C83" s="118" t="str">
        <f>'дод 6'!B16</f>
        <v>0111</v>
      </c>
      <c r="D8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83" s="81">
        <f t="shared" ref="E83:E150" si="44">F83+I83</f>
        <v>3724440</v>
      </c>
      <c r="F83" s="81">
        <f>3849900+740+12600+30000-198800-13000+43000</f>
        <v>3724440</v>
      </c>
      <c r="G83" s="81">
        <f>2888100-162900</f>
        <v>2725200</v>
      </c>
      <c r="H83" s="81">
        <f>91000-13000</f>
        <v>78000</v>
      </c>
      <c r="I83" s="81"/>
      <c r="J83" s="81">
        <f>L83+O83</f>
        <v>0</v>
      </c>
      <c r="K83" s="81">
        <v>0</v>
      </c>
      <c r="L83" s="81"/>
      <c r="M83" s="81"/>
      <c r="N83" s="81"/>
      <c r="O83" s="81">
        <v>0</v>
      </c>
      <c r="P83" s="81">
        <f t="shared" ref="P83:P150" si="45">E83+J83</f>
        <v>3724440</v>
      </c>
      <c r="Q83" s="260">
        <v>17</v>
      </c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</row>
    <row r="84" spans="1:525" s="121" customFormat="1" ht="21.75" customHeight="1" x14ac:dyDescent="0.25">
      <c r="A84" s="117" t="s">
        <v>165</v>
      </c>
      <c r="B84" s="118" t="str">
        <f>'дод 6'!A36</f>
        <v>1010</v>
      </c>
      <c r="C84" s="118" t="str">
        <f>'дод 6'!B36</f>
        <v>0910</v>
      </c>
      <c r="D84" s="122" t="str">
        <f>'дод 6'!C36</f>
        <v>Надання дошкільної освіти</v>
      </c>
      <c r="E84" s="81">
        <f t="shared" si="44"/>
        <v>327930983</v>
      </c>
      <c r="F84" s="81">
        <f>343462000+53489+82600-271804+271804-114730-30000-1819380-6400000-6147400+348000-111626-73730-311000-7240-1000000</f>
        <v>327930983</v>
      </c>
      <c r="G84" s="81">
        <f>226074000-250718</f>
        <v>225823282</v>
      </c>
      <c r="H84" s="81">
        <f>43244500-200000-114730-30000-6147400-73730</f>
        <v>36678640</v>
      </c>
      <c r="I84" s="81"/>
      <c r="J84" s="81">
        <f>L84+O84</f>
        <v>61083785</v>
      </c>
      <c r="K84" s="81">
        <f>18138600+1100000+63902-53489-1000000+10000000-5000000+25000000-25000000-5148500+7000000+4000000+5648500+692746+159999+6900000-1471773</f>
        <v>41029985</v>
      </c>
      <c r="L84" s="81">
        <v>20053800</v>
      </c>
      <c r="M84" s="81"/>
      <c r="N84" s="81"/>
      <c r="O84" s="81">
        <f>18138600+1100000+63902-53489-1000000+10000000-5000000+25000000-25000000-5148500+7000000+4000000+5648500+692746+159999+6900000-1471773</f>
        <v>41029985</v>
      </c>
      <c r="P84" s="81">
        <f t="shared" si="45"/>
        <v>389014768</v>
      </c>
      <c r="Q84" s="26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</row>
    <row r="85" spans="1:525" s="121" customFormat="1" ht="54" customHeight="1" x14ac:dyDescent="0.25">
      <c r="A85" s="117" t="s">
        <v>448</v>
      </c>
      <c r="B85" s="117">
        <f>'дод 6'!A38</f>
        <v>1021</v>
      </c>
      <c r="C85" s="118" t="str">
        <f>'дод 6'!B38</f>
        <v>0921</v>
      </c>
      <c r="D85" s="122" t="str">
        <f>'дод 6'!C38</f>
        <v>Надання загальної середньої освіти закладами загальної середньої освіти за рахунок коштів місцевого бюджету</v>
      </c>
      <c r="E85" s="81">
        <f t="shared" si="44"/>
        <v>241238047</v>
      </c>
      <c r="F85" s="81">
        <f>235067000+354011+123900+9234000-12600+200000+473050+300000+114730-300000-1200000+30600+159794-17041+7200000-1900000-8583000-43000+150000-947987+834590</f>
        <v>241238047</v>
      </c>
      <c r="G85" s="81">
        <f>121599000+7575000+5900000</f>
        <v>135074000</v>
      </c>
      <c r="H85" s="81">
        <f>60900000-12600-419770-300000-8583000-43000+1474000</f>
        <v>53015630</v>
      </c>
      <c r="I85" s="81"/>
      <c r="J85" s="81">
        <f t="shared" ref="J85:J150" si="46">L85+O85</f>
        <v>94970329.020000011</v>
      </c>
      <c r="K85" s="81">
        <f>8031200+1100000+199947+47168269-150000-7000000+45000-30600-850000-159794-3550000-12392560+1000000-100000+1000000+68300+8554.02+1471773</f>
        <v>35860089.020000003</v>
      </c>
      <c r="L85" s="81">
        <v>59110240</v>
      </c>
      <c r="M85" s="81">
        <v>3250000</v>
      </c>
      <c r="N85" s="81">
        <v>1318160</v>
      </c>
      <c r="O85" s="81">
        <f>8031200+1100000+199947+47168269-150000-7000000+45000-30600-850000-159794-3550000-12392560+1000000-100000+1000000+68300+8554.02+1471773</f>
        <v>35860089.020000003</v>
      </c>
      <c r="P85" s="81">
        <f t="shared" si="45"/>
        <v>336208376.01999998</v>
      </c>
      <c r="Q85" s="26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</row>
    <row r="86" spans="1:525" s="121" customFormat="1" ht="63" x14ac:dyDescent="0.25">
      <c r="A86" s="117"/>
      <c r="B86" s="117"/>
      <c r="C86" s="118"/>
      <c r="D86" s="143" t="s">
        <v>602</v>
      </c>
      <c r="E86" s="81"/>
      <c r="F86" s="81"/>
      <c r="G86" s="81"/>
      <c r="H86" s="81"/>
      <c r="I86" s="81"/>
      <c r="J86" s="82">
        <f t="shared" si="46"/>
        <v>8554.02</v>
      </c>
      <c r="K86" s="82">
        <v>8554.02</v>
      </c>
      <c r="L86" s="82"/>
      <c r="M86" s="82"/>
      <c r="N86" s="82"/>
      <c r="O86" s="82">
        <v>8554.02</v>
      </c>
      <c r="P86" s="82">
        <f t="shared" si="45"/>
        <v>8554.02</v>
      </c>
      <c r="Q86" s="26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</row>
    <row r="87" spans="1:525" s="121" customFormat="1" ht="80.25" customHeight="1" x14ac:dyDescent="0.25">
      <c r="A87" s="117" t="s">
        <v>450</v>
      </c>
      <c r="B87" s="118">
        <v>1022</v>
      </c>
      <c r="C87" s="117" t="s">
        <v>54</v>
      </c>
      <c r="D87" s="119" t="str">
        <f>'дод 6'!C46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81">
        <f t="shared" si="44"/>
        <v>16255341</v>
      </c>
      <c r="F87" s="81">
        <f>16738700+766000-725500+17041-270900-270000</f>
        <v>16255341</v>
      </c>
      <c r="G87" s="81">
        <f>9525000+627900</f>
        <v>10152900</v>
      </c>
      <c r="H87" s="81">
        <f>2560200-270900+127700</f>
        <v>2417000</v>
      </c>
      <c r="I87" s="81"/>
      <c r="J87" s="81">
        <f t="shared" si="46"/>
        <v>0</v>
      </c>
      <c r="K87" s="81"/>
      <c r="L87" s="81"/>
      <c r="M87" s="81"/>
      <c r="N87" s="81"/>
      <c r="O87" s="81"/>
      <c r="P87" s="81">
        <f t="shared" si="45"/>
        <v>16255341</v>
      </c>
      <c r="Q87" s="26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</row>
    <row r="88" spans="1:525" s="121" customFormat="1" ht="83.25" customHeight="1" x14ac:dyDescent="0.25">
      <c r="A88" s="117" t="s">
        <v>539</v>
      </c>
      <c r="B88" s="118">
        <v>1025</v>
      </c>
      <c r="C88" s="117" t="s">
        <v>54</v>
      </c>
      <c r="D88" s="119" t="str">
        <f>'дод 6'!C48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81">
        <f t="shared" si="44"/>
        <v>12011900</v>
      </c>
      <c r="F88" s="81">
        <f>12270100-103000-155200</f>
        <v>12011900</v>
      </c>
      <c r="G88" s="81">
        <v>8367700</v>
      </c>
      <c r="H88" s="81">
        <f>1262000-155200</f>
        <v>1106800</v>
      </c>
      <c r="I88" s="81"/>
      <c r="J88" s="81">
        <f t="shared" si="46"/>
        <v>0</v>
      </c>
      <c r="K88" s="81"/>
      <c r="L88" s="81"/>
      <c r="M88" s="81"/>
      <c r="N88" s="81"/>
      <c r="O88" s="81"/>
      <c r="P88" s="81">
        <f t="shared" si="45"/>
        <v>12011900</v>
      </c>
      <c r="Q88" s="26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</row>
    <row r="89" spans="1:525" s="121" customFormat="1" ht="54" customHeight="1" x14ac:dyDescent="0.25">
      <c r="A89" s="117" t="s">
        <v>452</v>
      </c>
      <c r="B89" s="118">
        <v>1031</v>
      </c>
      <c r="C89" s="117" t="s">
        <v>50</v>
      </c>
      <c r="D89" s="122" t="str">
        <f>'дод 6'!C49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81">
        <f t="shared" si="44"/>
        <v>439541077.94</v>
      </c>
      <c r="F89" s="81">
        <f>434093700+1809120-178302.06+3816560</f>
        <v>439541077.94</v>
      </c>
      <c r="G89" s="81">
        <f>355814500+26100+3728740+350000</f>
        <v>359919340</v>
      </c>
      <c r="H89" s="81"/>
      <c r="I89" s="81"/>
      <c r="J89" s="81">
        <f t="shared" si="46"/>
        <v>0</v>
      </c>
      <c r="K89" s="81"/>
      <c r="L89" s="81"/>
      <c r="M89" s="81"/>
      <c r="N89" s="81"/>
      <c r="O89" s="81"/>
      <c r="P89" s="81">
        <f t="shared" si="45"/>
        <v>439541077.94</v>
      </c>
      <c r="Q89" s="26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</row>
    <row r="90" spans="1:525" s="127" customFormat="1" ht="31.5" customHeight="1" x14ac:dyDescent="0.25">
      <c r="A90" s="123"/>
      <c r="B90" s="144"/>
      <c r="C90" s="144"/>
      <c r="D90" s="125" t="s">
        <v>384</v>
      </c>
      <c r="E90" s="82">
        <f>F90+I90</f>
        <v>437936360</v>
      </c>
      <c r="F90" s="82">
        <f>434093700+26100+3816560</f>
        <v>437936360</v>
      </c>
      <c r="G90" s="82">
        <f>355814500+26100+3728740+350000</f>
        <v>359919340</v>
      </c>
      <c r="H90" s="82"/>
      <c r="I90" s="82"/>
      <c r="J90" s="82">
        <f t="shared" si="46"/>
        <v>0</v>
      </c>
      <c r="K90" s="82"/>
      <c r="L90" s="82"/>
      <c r="M90" s="82"/>
      <c r="N90" s="82"/>
      <c r="O90" s="82"/>
      <c r="P90" s="82">
        <f t="shared" si="45"/>
        <v>437936360</v>
      </c>
      <c r="Q90" s="260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  <c r="IW90" s="126"/>
      <c r="IX90" s="126"/>
      <c r="IY90" s="126"/>
      <c r="IZ90" s="126"/>
      <c r="JA90" s="126"/>
      <c r="JB90" s="126"/>
      <c r="JC90" s="126"/>
      <c r="JD90" s="126"/>
      <c r="JE90" s="126"/>
      <c r="JF90" s="126"/>
      <c r="JG90" s="126"/>
      <c r="JH90" s="126"/>
      <c r="JI90" s="126"/>
      <c r="JJ90" s="126"/>
      <c r="JK90" s="126"/>
      <c r="JL90" s="126"/>
      <c r="JM90" s="126"/>
      <c r="JN90" s="126"/>
      <c r="JO90" s="126"/>
      <c r="JP90" s="126"/>
      <c r="JQ90" s="126"/>
      <c r="JR90" s="126"/>
      <c r="JS90" s="126"/>
      <c r="JT90" s="126"/>
      <c r="JU90" s="126"/>
      <c r="JV90" s="126"/>
      <c r="JW90" s="126"/>
      <c r="JX90" s="126"/>
      <c r="JY90" s="126"/>
      <c r="JZ90" s="126"/>
      <c r="KA90" s="126"/>
      <c r="KB90" s="126"/>
      <c r="KC90" s="126"/>
      <c r="KD90" s="126"/>
      <c r="KE90" s="126"/>
      <c r="KF90" s="126"/>
      <c r="KG90" s="126"/>
      <c r="KH90" s="126"/>
      <c r="KI90" s="126"/>
      <c r="KJ90" s="126"/>
      <c r="KK90" s="126"/>
      <c r="KL90" s="126"/>
      <c r="KM90" s="126"/>
      <c r="KN90" s="126"/>
      <c r="KO90" s="126"/>
      <c r="KP90" s="126"/>
      <c r="KQ90" s="126"/>
      <c r="KR90" s="126"/>
      <c r="KS90" s="126"/>
      <c r="KT90" s="126"/>
      <c r="KU90" s="126"/>
      <c r="KV90" s="126"/>
      <c r="KW90" s="126"/>
      <c r="KX90" s="126"/>
      <c r="KY90" s="126"/>
      <c r="KZ90" s="126"/>
      <c r="LA90" s="126"/>
      <c r="LB90" s="126"/>
      <c r="LC90" s="126"/>
      <c r="LD90" s="126"/>
      <c r="LE90" s="126"/>
      <c r="LF90" s="126"/>
      <c r="LG90" s="126"/>
      <c r="LH90" s="126"/>
      <c r="LI90" s="126"/>
      <c r="LJ90" s="126"/>
      <c r="LK90" s="126"/>
      <c r="LL90" s="126"/>
      <c r="LM90" s="126"/>
      <c r="LN90" s="126"/>
      <c r="LO90" s="126"/>
      <c r="LP90" s="126"/>
      <c r="LQ90" s="126"/>
      <c r="LR90" s="126"/>
      <c r="LS90" s="126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6"/>
      <c r="MU90" s="126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6"/>
      <c r="NT90" s="126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126"/>
      <c r="OT90" s="126"/>
      <c r="OU90" s="126"/>
      <c r="OV90" s="126"/>
      <c r="OW90" s="126"/>
      <c r="OX90" s="126"/>
      <c r="OY90" s="126"/>
      <c r="OZ90" s="126"/>
      <c r="PA90" s="126"/>
      <c r="PB90" s="126"/>
      <c r="PC90" s="126"/>
      <c r="PD90" s="126"/>
      <c r="PE90" s="126"/>
      <c r="PF90" s="126"/>
      <c r="PG90" s="126"/>
      <c r="PH90" s="126"/>
      <c r="PI90" s="126"/>
      <c r="PJ90" s="126"/>
      <c r="PK90" s="126"/>
      <c r="PL90" s="126"/>
      <c r="PM90" s="126"/>
      <c r="PN90" s="126"/>
      <c r="PO90" s="126"/>
      <c r="PP90" s="126"/>
      <c r="PQ90" s="126"/>
      <c r="PR90" s="126"/>
      <c r="PS90" s="126"/>
      <c r="PT90" s="126"/>
      <c r="PU90" s="126"/>
      <c r="PV90" s="126"/>
      <c r="PW90" s="126"/>
      <c r="PX90" s="126"/>
      <c r="PY90" s="126"/>
      <c r="PZ90" s="126"/>
      <c r="QA90" s="126"/>
      <c r="QB90" s="126"/>
      <c r="QC90" s="126"/>
      <c r="QD90" s="126"/>
      <c r="QE90" s="126"/>
      <c r="QF90" s="126"/>
      <c r="QG90" s="126"/>
      <c r="QH90" s="126"/>
      <c r="QI90" s="126"/>
      <c r="QJ90" s="126"/>
      <c r="QK90" s="126"/>
      <c r="QL90" s="126"/>
      <c r="QM90" s="126"/>
      <c r="QN90" s="126"/>
      <c r="QO90" s="126"/>
      <c r="QP90" s="126"/>
      <c r="QQ90" s="126"/>
      <c r="QR90" s="126"/>
      <c r="QS90" s="126"/>
      <c r="QT90" s="126"/>
      <c r="QU90" s="126"/>
      <c r="QV90" s="126"/>
      <c r="QW90" s="126"/>
      <c r="QX90" s="126"/>
      <c r="QY90" s="126"/>
      <c r="QZ90" s="126"/>
      <c r="RA90" s="126"/>
      <c r="RB90" s="126"/>
      <c r="RC90" s="126"/>
      <c r="RD90" s="126"/>
      <c r="RE90" s="126"/>
      <c r="RF90" s="126"/>
      <c r="RG90" s="126"/>
      <c r="RH90" s="126"/>
      <c r="RI90" s="126"/>
      <c r="RJ90" s="126"/>
      <c r="RK90" s="126"/>
      <c r="RL90" s="126"/>
      <c r="RM90" s="126"/>
      <c r="RN90" s="126"/>
      <c r="RO90" s="126"/>
      <c r="RP90" s="126"/>
      <c r="RQ90" s="126"/>
      <c r="RR90" s="126"/>
      <c r="RS90" s="126"/>
      <c r="RT90" s="126"/>
      <c r="RU90" s="126"/>
      <c r="RV90" s="126"/>
      <c r="RW90" s="126"/>
      <c r="RX90" s="126"/>
      <c r="RY90" s="126"/>
      <c r="RZ90" s="126"/>
      <c r="SA90" s="126"/>
      <c r="SB90" s="126"/>
      <c r="SC90" s="126"/>
      <c r="SD90" s="126"/>
      <c r="SE90" s="126"/>
      <c r="SF90" s="126"/>
      <c r="SG90" s="126"/>
      <c r="SH90" s="126"/>
      <c r="SI90" s="126"/>
      <c r="SJ90" s="126"/>
      <c r="SK90" s="126"/>
      <c r="SL90" s="126"/>
      <c r="SM90" s="126"/>
      <c r="SN90" s="126"/>
      <c r="SO90" s="126"/>
      <c r="SP90" s="126"/>
      <c r="SQ90" s="126"/>
      <c r="SR90" s="126"/>
      <c r="SS90" s="126"/>
      <c r="ST90" s="126"/>
      <c r="SU90" s="126"/>
      <c r="SV90" s="126"/>
      <c r="SW90" s="126"/>
      <c r="SX90" s="126"/>
      <c r="SY90" s="126"/>
      <c r="SZ90" s="126"/>
      <c r="TA90" s="126"/>
      <c r="TB90" s="126"/>
      <c r="TC90" s="126"/>
      <c r="TD90" s="126"/>
      <c r="TE90" s="126"/>
    </row>
    <row r="91" spans="1:525" s="127" customFormat="1" ht="47.25" x14ac:dyDescent="0.25">
      <c r="A91" s="123"/>
      <c r="B91" s="144"/>
      <c r="C91" s="144"/>
      <c r="D91" s="125" t="s">
        <v>379</v>
      </c>
      <c r="E91" s="82">
        <f t="shared" si="44"/>
        <v>1604717.94</v>
      </c>
      <c r="F91" s="82">
        <f>1783020-178302.06</f>
        <v>1604717.94</v>
      </c>
      <c r="G91" s="82"/>
      <c r="H91" s="82"/>
      <c r="I91" s="82"/>
      <c r="J91" s="82">
        <f t="shared" si="46"/>
        <v>0</v>
      </c>
      <c r="K91" s="82"/>
      <c r="L91" s="82"/>
      <c r="M91" s="82"/>
      <c r="N91" s="82"/>
      <c r="O91" s="82"/>
      <c r="P91" s="82">
        <f t="shared" si="45"/>
        <v>1604717.94</v>
      </c>
      <c r="Q91" s="260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  <c r="IW91" s="126"/>
      <c r="IX91" s="126"/>
      <c r="IY91" s="126"/>
      <c r="IZ91" s="126"/>
      <c r="JA91" s="126"/>
      <c r="JB91" s="126"/>
      <c r="JC91" s="126"/>
      <c r="JD91" s="126"/>
      <c r="JE91" s="126"/>
      <c r="JF91" s="126"/>
      <c r="JG91" s="126"/>
      <c r="JH91" s="126"/>
      <c r="JI91" s="126"/>
      <c r="JJ91" s="126"/>
      <c r="JK91" s="126"/>
      <c r="JL91" s="126"/>
      <c r="JM91" s="126"/>
      <c r="JN91" s="126"/>
      <c r="JO91" s="126"/>
      <c r="JP91" s="126"/>
      <c r="JQ91" s="126"/>
      <c r="JR91" s="126"/>
      <c r="JS91" s="126"/>
      <c r="JT91" s="126"/>
      <c r="JU91" s="126"/>
      <c r="JV91" s="126"/>
      <c r="JW91" s="126"/>
      <c r="JX91" s="126"/>
      <c r="JY91" s="126"/>
      <c r="JZ91" s="126"/>
      <c r="KA91" s="126"/>
      <c r="KB91" s="126"/>
      <c r="KC91" s="126"/>
      <c r="KD91" s="126"/>
      <c r="KE91" s="126"/>
      <c r="KF91" s="126"/>
      <c r="KG91" s="126"/>
      <c r="KH91" s="126"/>
      <c r="KI91" s="126"/>
      <c r="KJ91" s="126"/>
      <c r="KK91" s="126"/>
      <c r="KL91" s="126"/>
      <c r="KM91" s="126"/>
      <c r="KN91" s="126"/>
      <c r="KO91" s="126"/>
      <c r="KP91" s="126"/>
      <c r="KQ91" s="126"/>
      <c r="KR91" s="126"/>
      <c r="KS91" s="126"/>
      <c r="KT91" s="126"/>
      <c r="KU91" s="126"/>
      <c r="KV91" s="126"/>
      <c r="KW91" s="126"/>
      <c r="KX91" s="126"/>
      <c r="KY91" s="126"/>
      <c r="KZ91" s="126"/>
      <c r="LA91" s="126"/>
      <c r="LB91" s="126"/>
      <c r="LC91" s="126"/>
      <c r="LD91" s="126"/>
      <c r="LE91" s="126"/>
      <c r="LF91" s="126"/>
      <c r="LG91" s="126"/>
      <c r="LH91" s="126"/>
      <c r="LI91" s="126"/>
      <c r="LJ91" s="126"/>
      <c r="LK91" s="126"/>
      <c r="LL91" s="126"/>
      <c r="LM91" s="126"/>
      <c r="LN91" s="126"/>
      <c r="LO91" s="126"/>
      <c r="LP91" s="126"/>
      <c r="LQ91" s="126"/>
      <c r="LR91" s="126"/>
      <c r="LS91" s="126"/>
      <c r="LT91" s="126"/>
      <c r="LU91" s="126"/>
      <c r="LV91" s="126"/>
      <c r="LW91" s="126"/>
      <c r="LX91" s="126"/>
      <c r="LY91" s="126"/>
      <c r="LZ91" s="126"/>
      <c r="MA91" s="126"/>
      <c r="MB91" s="126"/>
      <c r="MC91" s="126"/>
      <c r="MD91" s="126"/>
      <c r="ME91" s="126"/>
      <c r="MF91" s="126"/>
      <c r="MG91" s="126"/>
      <c r="MH91" s="126"/>
      <c r="MI91" s="126"/>
      <c r="MJ91" s="126"/>
      <c r="MK91" s="126"/>
      <c r="ML91" s="126"/>
      <c r="MM91" s="126"/>
      <c r="MN91" s="126"/>
      <c r="MO91" s="126"/>
      <c r="MP91" s="126"/>
      <c r="MQ91" s="126"/>
      <c r="MR91" s="126"/>
      <c r="MS91" s="126"/>
      <c r="MT91" s="126"/>
      <c r="MU91" s="126"/>
      <c r="MV91" s="126"/>
      <c r="MW91" s="126"/>
      <c r="MX91" s="126"/>
      <c r="MY91" s="126"/>
      <c r="MZ91" s="126"/>
      <c r="NA91" s="126"/>
      <c r="NB91" s="126"/>
      <c r="NC91" s="126"/>
      <c r="ND91" s="126"/>
      <c r="NE91" s="126"/>
      <c r="NF91" s="126"/>
      <c r="NG91" s="126"/>
      <c r="NH91" s="126"/>
      <c r="NI91" s="126"/>
      <c r="NJ91" s="126"/>
      <c r="NK91" s="126"/>
      <c r="NL91" s="126"/>
      <c r="NM91" s="126"/>
      <c r="NN91" s="126"/>
      <c r="NO91" s="126"/>
      <c r="NP91" s="126"/>
      <c r="NQ91" s="126"/>
      <c r="NR91" s="126"/>
      <c r="NS91" s="126"/>
      <c r="NT91" s="126"/>
      <c r="NU91" s="126"/>
      <c r="NV91" s="126"/>
      <c r="NW91" s="126"/>
      <c r="NX91" s="126"/>
      <c r="NY91" s="126"/>
      <c r="NZ91" s="126"/>
      <c r="OA91" s="126"/>
      <c r="OB91" s="126"/>
      <c r="OC91" s="126"/>
      <c r="OD91" s="126"/>
      <c r="OE91" s="126"/>
      <c r="OF91" s="126"/>
      <c r="OG91" s="126"/>
      <c r="OH91" s="126"/>
      <c r="OI91" s="126"/>
      <c r="OJ91" s="126"/>
      <c r="OK91" s="126"/>
      <c r="OL91" s="126"/>
      <c r="OM91" s="126"/>
      <c r="ON91" s="126"/>
      <c r="OO91" s="126"/>
      <c r="OP91" s="126"/>
      <c r="OQ91" s="126"/>
      <c r="OR91" s="126"/>
      <c r="OS91" s="126"/>
      <c r="OT91" s="126"/>
      <c r="OU91" s="126"/>
      <c r="OV91" s="126"/>
      <c r="OW91" s="126"/>
      <c r="OX91" s="126"/>
      <c r="OY91" s="126"/>
      <c r="OZ91" s="126"/>
      <c r="PA91" s="126"/>
      <c r="PB91" s="126"/>
      <c r="PC91" s="126"/>
      <c r="PD91" s="126"/>
      <c r="PE91" s="126"/>
      <c r="PF91" s="126"/>
      <c r="PG91" s="126"/>
      <c r="PH91" s="126"/>
      <c r="PI91" s="126"/>
      <c r="PJ91" s="126"/>
      <c r="PK91" s="126"/>
      <c r="PL91" s="126"/>
      <c r="PM91" s="126"/>
      <c r="PN91" s="126"/>
      <c r="PO91" s="126"/>
      <c r="PP91" s="126"/>
      <c r="PQ91" s="126"/>
      <c r="PR91" s="126"/>
      <c r="PS91" s="126"/>
      <c r="PT91" s="126"/>
      <c r="PU91" s="126"/>
      <c r="PV91" s="126"/>
      <c r="PW91" s="126"/>
      <c r="PX91" s="126"/>
      <c r="PY91" s="126"/>
      <c r="PZ91" s="126"/>
      <c r="QA91" s="126"/>
      <c r="QB91" s="126"/>
      <c r="QC91" s="126"/>
      <c r="QD91" s="126"/>
      <c r="QE91" s="126"/>
      <c r="QF91" s="126"/>
      <c r="QG91" s="126"/>
      <c r="QH91" s="126"/>
      <c r="QI91" s="126"/>
      <c r="QJ91" s="126"/>
      <c r="QK91" s="126"/>
      <c r="QL91" s="126"/>
      <c r="QM91" s="126"/>
      <c r="QN91" s="126"/>
      <c r="QO91" s="126"/>
      <c r="QP91" s="126"/>
      <c r="QQ91" s="126"/>
      <c r="QR91" s="126"/>
      <c r="QS91" s="126"/>
      <c r="QT91" s="126"/>
      <c r="QU91" s="126"/>
      <c r="QV91" s="126"/>
      <c r="QW91" s="126"/>
      <c r="QX91" s="126"/>
      <c r="QY91" s="126"/>
      <c r="QZ91" s="126"/>
      <c r="RA91" s="126"/>
      <c r="RB91" s="126"/>
      <c r="RC91" s="126"/>
      <c r="RD91" s="126"/>
      <c r="RE91" s="126"/>
      <c r="RF91" s="126"/>
      <c r="RG91" s="126"/>
      <c r="RH91" s="126"/>
      <c r="RI91" s="126"/>
      <c r="RJ91" s="126"/>
      <c r="RK91" s="126"/>
      <c r="RL91" s="126"/>
      <c r="RM91" s="126"/>
      <c r="RN91" s="126"/>
      <c r="RO91" s="126"/>
      <c r="RP91" s="126"/>
      <c r="RQ91" s="126"/>
      <c r="RR91" s="126"/>
      <c r="RS91" s="126"/>
      <c r="RT91" s="126"/>
      <c r="RU91" s="126"/>
      <c r="RV91" s="126"/>
      <c r="RW91" s="126"/>
      <c r="RX91" s="126"/>
      <c r="RY91" s="126"/>
      <c r="RZ91" s="126"/>
      <c r="SA91" s="126"/>
      <c r="SB91" s="126"/>
      <c r="SC91" s="126"/>
      <c r="SD91" s="126"/>
      <c r="SE91" s="126"/>
      <c r="SF91" s="126"/>
      <c r="SG91" s="126"/>
      <c r="SH91" s="126"/>
      <c r="SI91" s="126"/>
      <c r="SJ91" s="126"/>
      <c r="SK91" s="126"/>
      <c r="SL91" s="126"/>
      <c r="SM91" s="126"/>
      <c r="SN91" s="126"/>
      <c r="SO91" s="126"/>
      <c r="SP91" s="126"/>
      <c r="SQ91" s="126"/>
      <c r="SR91" s="126"/>
      <c r="SS91" s="126"/>
      <c r="ST91" s="126"/>
      <c r="SU91" s="126"/>
      <c r="SV91" s="126"/>
      <c r="SW91" s="126"/>
      <c r="SX91" s="126"/>
      <c r="SY91" s="126"/>
      <c r="SZ91" s="126"/>
      <c r="TA91" s="126"/>
      <c r="TB91" s="126"/>
      <c r="TC91" s="126"/>
      <c r="TD91" s="126"/>
      <c r="TE91" s="126"/>
    </row>
    <row r="92" spans="1:525" s="121" customFormat="1" ht="84" customHeight="1" x14ac:dyDescent="0.25">
      <c r="A92" s="117" t="s">
        <v>453</v>
      </c>
      <c r="B92" s="117" t="s">
        <v>454</v>
      </c>
      <c r="C92" s="117" t="s">
        <v>54</v>
      </c>
      <c r="D92" s="122" t="str">
        <f>'дод 6'!C52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81">
        <f t="shared" si="44"/>
        <v>15956780</v>
      </c>
      <c r="F92" s="81">
        <f>16318700-361920</f>
        <v>15956780</v>
      </c>
      <c r="G92" s="81">
        <f>13376000-300000</f>
        <v>13076000</v>
      </c>
      <c r="H92" s="81"/>
      <c r="I92" s="81"/>
      <c r="J92" s="81">
        <f t="shared" si="46"/>
        <v>0</v>
      </c>
      <c r="K92" s="81"/>
      <c r="L92" s="81"/>
      <c r="M92" s="81"/>
      <c r="N92" s="81"/>
      <c r="O92" s="81"/>
      <c r="P92" s="81">
        <f t="shared" si="45"/>
        <v>15956780</v>
      </c>
      <c r="Q92" s="26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</row>
    <row r="93" spans="1:525" s="127" customFormat="1" ht="33" customHeight="1" x14ac:dyDescent="0.25">
      <c r="A93" s="123"/>
      <c r="B93" s="144"/>
      <c r="C93" s="144"/>
      <c r="D93" s="125" t="s">
        <v>384</v>
      </c>
      <c r="E93" s="82">
        <f t="shared" ref="E93:E99" si="47">F93+I93</f>
        <v>15956780</v>
      </c>
      <c r="F93" s="82">
        <f>16318700-361920</f>
        <v>15956780</v>
      </c>
      <c r="G93" s="82">
        <f>13376000-300000</f>
        <v>13076000</v>
      </c>
      <c r="H93" s="82"/>
      <c r="I93" s="82"/>
      <c r="J93" s="82">
        <f t="shared" ref="J93:J95" si="48">L93+O93</f>
        <v>0</v>
      </c>
      <c r="K93" s="82"/>
      <c r="L93" s="82"/>
      <c r="M93" s="82"/>
      <c r="N93" s="82"/>
      <c r="O93" s="82"/>
      <c r="P93" s="82">
        <f t="shared" ref="P93:P95" si="49">E93+J93</f>
        <v>15956780</v>
      </c>
      <c r="Q93" s="260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  <c r="HN93" s="126"/>
      <c r="HO93" s="126"/>
      <c r="HP93" s="126"/>
      <c r="HQ93" s="126"/>
      <c r="HR93" s="126"/>
      <c r="HS93" s="126"/>
      <c r="HT93" s="126"/>
      <c r="HU93" s="126"/>
      <c r="HV93" s="126"/>
      <c r="HW93" s="126"/>
      <c r="HX93" s="126"/>
      <c r="HY93" s="126"/>
      <c r="HZ93" s="126"/>
      <c r="IA93" s="126"/>
      <c r="IB93" s="126"/>
      <c r="IC93" s="126"/>
      <c r="ID93" s="126"/>
      <c r="IE93" s="126"/>
      <c r="IF93" s="126"/>
      <c r="IG93" s="126"/>
      <c r="IH93" s="126"/>
      <c r="II93" s="126"/>
      <c r="IJ93" s="126"/>
      <c r="IK93" s="126"/>
      <c r="IL93" s="126"/>
      <c r="IM93" s="126"/>
      <c r="IN93" s="126"/>
      <c r="IO93" s="126"/>
      <c r="IP93" s="126"/>
      <c r="IQ93" s="126"/>
      <c r="IR93" s="126"/>
      <c r="IS93" s="126"/>
      <c r="IT93" s="126"/>
      <c r="IU93" s="126"/>
      <c r="IV93" s="126"/>
      <c r="IW93" s="126"/>
      <c r="IX93" s="126"/>
      <c r="IY93" s="126"/>
      <c r="IZ93" s="126"/>
      <c r="JA93" s="126"/>
      <c r="JB93" s="126"/>
      <c r="JC93" s="126"/>
      <c r="JD93" s="126"/>
      <c r="JE93" s="126"/>
      <c r="JF93" s="126"/>
      <c r="JG93" s="126"/>
      <c r="JH93" s="126"/>
      <c r="JI93" s="126"/>
      <c r="JJ93" s="126"/>
      <c r="JK93" s="126"/>
      <c r="JL93" s="126"/>
      <c r="JM93" s="126"/>
      <c r="JN93" s="126"/>
      <c r="JO93" s="126"/>
      <c r="JP93" s="126"/>
      <c r="JQ93" s="126"/>
      <c r="JR93" s="126"/>
      <c r="JS93" s="126"/>
      <c r="JT93" s="126"/>
      <c r="JU93" s="126"/>
      <c r="JV93" s="126"/>
      <c r="JW93" s="126"/>
      <c r="JX93" s="126"/>
      <c r="JY93" s="126"/>
      <c r="JZ93" s="126"/>
      <c r="KA93" s="126"/>
      <c r="KB93" s="126"/>
      <c r="KC93" s="126"/>
      <c r="KD93" s="126"/>
      <c r="KE93" s="126"/>
      <c r="KF93" s="126"/>
      <c r="KG93" s="126"/>
      <c r="KH93" s="126"/>
      <c r="KI93" s="126"/>
      <c r="KJ93" s="126"/>
      <c r="KK93" s="126"/>
      <c r="KL93" s="126"/>
      <c r="KM93" s="126"/>
      <c r="KN93" s="126"/>
      <c r="KO93" s="126"/>
      <c r="KP93" s="126"/>
      <c r="KQ93" s="126"/>
      <c r="KR93" s="126"/>
      <c r="KS93" s="126"/>
      <c r="KT93" s="126"/>
      <c r="KU93" s="126"/>
      <c r="KV93" s="126"/>
      <c r="KW93" s="126"/>
      <c r="KX93" s="126"/>
      <c r="KY93" s="126"/>
      <c r="KZ93" s="126"/>
      <c r="LA93" s="126"/>
      <c r="LB93" s="126"/>
      <c r="LC93" s="126"/>
      <c r="LD93" s="126"/>
      <c r="LE93" s="126"/>
      <c r="LF93" s="126"/>
      <c r="LG93" s="126"/>
      <c r="LH93" s="126"/>
      <c r="LI93" s="126"/>
      <c r="LJ93" s="126"/>
      <c r="LK93" s="126"/>
      <c r="LL93" s="126"/>
      <c r="LM93" s="126"/>
      <c r="LN93" s="126"/>
      <c r="LO93" s="126"/>
      <c r="LP93" s="126"/>
      <c r="LQ93" s="126"/>
      <c r="LR93" s="126"/>
      <c r="LS93" s="126"/>
      <c r="LT93" s="126"/>
      <c r="LU93" s="126"/>
      <c r="LV93" s="126"/>
      <c r="LW93" s="126"/>
      <c r="LX93" s="126"/>
      <c r="LY93" s="126"/>
      <c r="LZ93" s="126"/>
      <c r="MA93" s="126"/>
      <c r="MB93" s="126"/>
      <c r="MC93" s="126"/>
      <c r="MD93" s="126"/>
      <c r="ME93" s="126"/>
      <c r="MF93" s="126"/>
      <c r="MG93" s="126"/>
      <c r="MH93" s="126"/>
      <c r="MI93" s="126"/>
      <c r="MJ93" s="126"/>
      <c r="MK93" s="126"/>
      <c r="ML93" s="126"/>
      <c r="MM93" s="126"/>
      <c r="MN93" s="126"/>
      <c r="MO93" s="126"/>
      <c r="MP93" s="126"/>
      <c r="MQ93" s="126"/>
      <c r="MR93" s="126"/>
      <c r="MS93" s="126"/>
      <c r="MT93" s="126"/>
      <c r="MU93" s="126"/>
      <c r="MV93" s="126"/>
      <c r="MW93" s="126"/>
      <c r="MX93" s="126"/>
      <c r="MY93" s="126"/>
      <c r="MZ93" s="126"/>
      <c r="NA93" s="126"/>
      <c r="NB93" s="126"/>
      <c r="NC93" s="126"/>
      <c r="ND93" s="126"/>
      <c r="NE93" s="126"/>
      <c r="NF93" s="126"/>
      <c r="NG93" s="126"/>
      <c r="NH93" s="126"/>
      <c r="NI93" s="126"/>
      <c r="NJ93" s="126"/>
      <c r="NK93" s="126"/>
      <c r="NL93" s="126"/>
      <c r="NM93" s="126"/>
      <c r="NN93" s="126"/>
      <c r="NO93" s="126"/>
      <c r="NP93" s="126"/>
      <c r="NQ93" s="126"/>
      <c r="NR93" s="126"/>
      <c r="NS93" s="126"/>
      <c r="NT93" s="126"/>
      <c r="NU93" s="126"/>
      <c r="NV93" s="126"/>
      <c r="NW93" s="126"/>
      <c r="NX93" s="126"/>
      <c r="NY93" s="126"/>
      <c r="NZ93" s="126"/>
      <c r="OA93" s="126"/>
      <c r="OB93" s="126"/>
      <c r="OC93" s="126"/>
      <c r="OD93" s="126"/>
      <c r="OE93" s="126"/>
      <c r="OF93" s="126"/>
      <c r="OG93" s="126"/>
      <c r="OH93" s="126"/>
      <c r="OI93" s="126"/>
      <c r="OJ93" s="126"/>
      <c r="OK93" s="126"/>
      <c r="OL93" s="126"/>
      <c r="OM93" s="126"/>
      <c r="ON93" s="126"/>
      <c r="OO93" s="126"/>
      <c r="OP93" s="126"/>
      <c r="OQ93" s="126"/>
      <c r="OR93" s="126"/>
      <c r="OS93" s="126"/>
      <c r="OT93" s="126"/>
      <c r="OU93" s="126"/>
      <c r="OV93" s="126"/>
      <c r="OW93" s="126"/>
      <c r="OX93" s="126"/>
      <c r="OY93" s="126"/>
      <c r="OZ93" s="126"/>
      <c r="PA93" s="126"/>
      <c r="PB93" s="126"/>
      <c r="PC93" s="126"/>
      <c r="PD93" s="126"/>
      <c r="PE93" s="126"/>
      <c r="PF93" s="126"/>
      <c r="PG93" s="126"/>
      <c r="PH93" s="126"/>
      <c r="PI93" s="126"/>
      <c r="PJ93" s="126"/>
      <c r="PK93" s="126"/>
      <c r="PL93" s="126"/>
      <c r="PM93" s="126"/>
      <c r="PN93" s="126"/>
      <c r="PO93" s="126"/>
      <c r="PP93" s="126"/>
      <c r="PQ93" s="126"/>
      <c r="PR93" s="126"/>
      <c r="PS93" s="126"/>
      <c r="PT93" s="126"/>
      <c r="PU93" s="126"/>
      <c r="PV93" s="126"/>
      <c r="PW93" s="126"/>
      <c r="PX93" s="126"/>
      <c r="PY93" s="126"/>
      <c r="PZ93" s="126"/>
      <c r="QA93" s="126"/>
      <c r="QB93" s="126"/>
      <c r="QC93" s="126"/>
      <c r="QD93" s="126"/>
      <c r="QE93" s="126"/>
      <c r="QF93" s="126"/>
      <c r="QG93" s="126"/>
      <c r="QH93" s="126"/>
      <c r="QI93" s="126"/>
      <c r="QJ93" s="126"/>
      <c r="QK93" s="126"/>
      <c r="QL93" s="126"/>
      <c r="QM93" s="126"/>
      <c r="QN93" s="126"/>
      <c r="QO93" s="126"/>
      <c r="QP93" s="126"/>
      <c r="QQ93" s="126"/>
      <c r="QR93" s="126"/>
      <c r="QS93" s="126"/>
      <c r="QT93" s="126"/>
      <c r="QU93" s="126"/>
      <c r="QV93" s="126"/>
      <c r="QW93" s="126"/>
      <c r="QX93" s="126"/>
      <c r="QY93" s="126"/>
      <c r="QZ93" s="126"/>
      <c r="RA93" s="126"/>
      <c r="RB93" s="126"/>
      <c r="RC93" s="126"/>
      <c r="RD93" s="126"/>
      <c r="RE93" s="126"/>
      <c r="RF93" s="126"/>
      <c r="RG93" s="126"/>
      <c r="RH93" s="126"/>
      <c r="RI93" s="126"/>
      <c r="RJ93" s="126"/>
      <c r="RK93" s="126"/>
      <c r="RL93" s="126"/>
      <c r="RM93" s="126"/>
      <c r="RN93" s="126"/>
      <c r="RO93" s="126"/>
      <c r="RP93" s="126"/>
      <c r="RQ93" s="126"/>
      <c r="RR93" s="126"/>
      <c r="RS93" s="126"/>
      <c r="RT93" s="126"/>
      <c r="RU93" s="126"/>
      <c r="RV93" s="126"/>
      <c r="RW93" s="126"/>
      <c r="RX93" s="126"/>
      <c r="RY93" s="126"/>
      <c r="RZ93" s="126"/>
      <c r="SA93" s="126"/>
      <c r="SB93" s="126"/>
      <c r="SC93" s="126"/>
      <c r="SD93" s="126"/>
      <c r="SE93" s="126"/>
      <c r="SF93" s="126"/>
      <c r="SG93" s="126"/>
      <c r="SH93" s="126"/>
      <c r="SI93" s="126"/>
      <c r="SJ93" s="126"/>
      <c r="SK93" s="126"/>
      <c r="SL93" s="126"/>
      <c r="SM93" s="126"/>
      <c r="SN93" s="126"/>
      <c r="SO93" s="126"/>
      <c r="SP93" s="126"/>
      <c r="SQ93" s="126"/>
      <c r="SR93" s="126"/>
      <c r="SS93" s="126"/>
      <c r="ST93" s="126"/>
      <c r="SU93" s="126"/>
      <c r="SV93" s="126"/>
      <c r="SW93" s="126"/>
      <c r="SX93" s="126"/>
      <c r="SY93" s="126"/>
      <c r="SZ93" s="126"/>
      <c r="TA93" s="126"/>
      <c r="TB93" s="126"/>
      <c r="TC93" s="126"/>
      <c r="TD93" s="126"/>
      <c r="TE93" s="126"/>
    </row>
    <row r="94" spans="1:525" s="121" customFormat="1" ht="78.75" x14ac:dyDescent="0.25">
      <c r="A94" s="117" t="s">
        <v>540</v>
      </c>
      <c r="B94" s="118">
        <v>1035</v>
      </c>
      <c r="C94" s="117" t="s">
        <v>54</v>
      </c>
      <c r="D94" s="119" t="str">
        <f>'дод 6'!C54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81">
        <f t="shared" si="44"/>
        <v>1176620</v>
      </c>
      <c r="F94" s="81">
        <f>1301700-125080</f>
        <v>1176620</v>
      </c>
      <c r="G94" s="81">
        <f>1067000-91000</f>
        <v>976000</v>
      </c>
      <c r="H94" s="81"/>
      <c r="I94" s="81"/>
      <c r="J94" s="81">
        <f t="shared" si="46"/>
        <v>0</v>
      </c>
      <c r="K94" s="81"/>
      <c r="L94" s="81"/>
      <c r="M94" s="81"/>
      <c r="N94" s="81"/>
      <c r="O94" s="81"/>
      <c r="P94" s="81">
        <f t="shared" si="45"/>
        <v>1176620</v>
      </c>
      <c r="Q94" s="26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</row>
    <row r="95" spans="1:525" s="127" customFormat="1" ht="31.5" customHeight="1" x14ac:dyDescent="0.25">
      <c r="A95" s="123"/>
      <c r="B95" s="144"/>
      <c r="C95" s="123"/>
      <c r="D95" s="125" t="s">
        <v>384</v>
      </c>
      <c r="E95" s="82">
        <f t="shared" si="47"/>
        <v>1176620</v>
      </c>
      <c r="F95" s="82">
        <f>1301700-125080</f>
        <v>1176620</v>
      </c>
      <c r="G95" s="82">
        <f>1067000-91000</f>
        <v>976000</v>
      </c>
      <c r="H95" s="82"/>
      <c r="I95" s="82"/>
      <c r="J95" s="82">
        <f t="shared" si="48"/>
        <v>0</v>
      </c>
      <c r="K95" s="82"/>
      <c r="L95" s="82"/>
      <c r="M95" s="82"/>
      <c r="N95" s="82"/>
      <c r="O95" s="82"/>
      <c r="P95" s="82">
        <f t="shared" si="49"/>
        <v>1176620</v>
      </c>
      <c r="Q95" s="260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  <c r="IX95" s="126"/>
      <c r="IY95" s="126"/>
      <c r="IZ95" s="126"/>
      <c r="JA95" s="126"/>
      <c r="JB95" s="126"/>
      <c r="JC95" s="126"/>
      <c r="JD95" s="126"/>
      <c r="JE95" s="126"/>
      <c r="JF95" s="126"/>
      <c r="JG95" s="126"/>
      <c r="JH95" s="126"/>
      <c r="JI95" s="126"/>
      <c r="JJ95" s="126"/>
      <c r="JK95" s="126"/>
      <c r="JL95" s="126"/>
      <c r="JM95" s="126"/>
      <c r="JN95" s="126"/>
      <c r="JO95" s="126"/>
      <c r="JP95" s="126"/>
      <c r="JQ95" s="126"/>
      <c r="JR95" s="126"/>
      <c r="JS95" s="126"/>
      <c r="JT95" s="126"/>
      <c r="JU95" s="126"/>
      <c r="JV95" s="126"/>
      <c r="JW95" s="126"/>
      <c r="JX95" s="126"/>
      <c r="JY95" s="126"/>
      <c r="JZ95" s="126"/>
      <c r="KA95" s="126"/>
      <c r="KB95" s="126"/>
      <c r="KC95" s="126"/>
      <c r="KD95" s="126"/>
      <c r="KE95" s="126"/>
      <c r="KF95" s="126"/>
      <c r="KG95" s="126"/>
      <c r="KH95" s="126"/>
      <c r="KI95" s="126"/>
      <c r="KJ95" s="126"/>
      <c r="KK95" s="126"/>
      <c r="KL95" s="126"/>
      <c r="KM95" s="126"/>
      <c r="KN95" s="126"/>
      <c r="KO95" s="126"/>
      <c r="KP95" s="126"/>
      <c r="KQ95" s="126"/>
      <c r="KR95" s="126"/>
      <c r="KS95" s="126"/>
      <c r="KT95" s="126"/>
      <c r="KU95" s="126"/>
      <c r="KV95" s="126"/>
      <c r="KW95" s="126"/>
      <c r="KX95" s="126"/>
      <c r="KY95" s="126"/>
      <c r="KZ95" s="126"/>
      <c r="LA95" s="126"/>
      <c r="LB95" s="126"/>
      <c r="LC95" s="126"/>
      <c r="LD95" s="126"/>
      <c r="LE95" s="126"/>
      <c r="LF95" s="126"/>
      <c r="LG95" s="126"/>
      <c r="LH95" s="126"/>
      <c r="LI95" s="126"/>
      <c r="LJ95" s="126"/>
      <c r="LK95" s="126"/>
      <c r="LL95" s="126"/>
      <c r="LM95" s="126"/>
      <c r="LN95" s="126"/>
      <c r="LO95" s="126"/>
      <c r="LP95" s="126"/>
      <c r="LQ95" s="126"/>
      <c r="LR95" s="126"/>
      <c r="LS95" s="126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6"/>
      <c r="MU95" s="126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6"/>
      <c r="NT95" s="126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126"/>
      <c r="OT95" s="126"/>
      <c r="OU95" s="126"/>
      <c r="OV95" s="126"/>
      <c r="OW95" s="126"/>
      <c r="OX95" s="126"/>
      <c r="OY95" s="126"/>
      <c r="OZ95" s="126"/>
      <c r="PA95" s="126"/>
      <c r="PB95" s="126"/>
      <c r="PC95" s="126"/>
      <c r="PD95" s="126"/>
      <c r="PE95" s="126"/>
      <c r="PF95" s="126"/>
      <c r="PG95" s="126"/>
      <c r="PH95" s="126"/>
      <c r="PI95" s="126"/>
      <c r="PJ95" s="126"/>
      <c r="PK95" s="126"/>
      <c r="PL95" s="126"/>
      <c r="PM95" s="126"/>
      <c r="PN95" s="126"/>
      <c r="PO95" s="126"/>
      <c r="PP95" s="126"/>
      <c r="PQ95" s="126"/>
      <c r="PR95" s="126"/>
      <c r="PS95" s="126"/>
      <c r="PT95" s="126"/>
      <c r="PU95" s="126"/>
      <c r="PV95" s="126"/>
      <c r="PW95" s="126"/>
      <c r="PX95" s="126"/>
      <c r="PY95" s="126"/>
      <c r="PZ95" s="126"/>
      <c r="QA95" s="126"/>
      <c r="QB95" s="126"/>
      <c r="QC95" s="126"/>
      <c r="QD95" s="126"/>
      <c r="QE95" s="126"/>
      <c r="QF95" s="126"/>
      <c r="QG95" s="126"/>
      <c r="QH95" s="126"/>
      <c r="QI95" s="126"/>
      <c r="QJ95" s="126"/>
      <c r="QK95" s="126"/>
      <c r="QL95" s="126"/>
      <c r="QM95" s="126"/>
      <c r="QN95" s="126"/>
      <c r="QO95" s="126"/>
      <c r="QP95" s="126"/>
      <c r="QQ95" s="126"/>
      <c r="QR95" s="126"/>
      <c r="QS95" s="126"/>
      <c r="QT95" s="126"/>
      <c r="QU95" s="126"/>
      <c r="QV95" s="126"/>
      <c r="QW95" s="126"/>
      <c r="QX95" s="126"/>
      <c r="QY95" s="126"/>
      <c r="QZ95" s="126"/>
      <c r="RA95" s="126"/>
      <c r="RB95" s="126"/>
      <c r="RC95" s="126"/>
      <c r="RD95" s="126"/>
      <c r="RE95" s="126"/>
      <c r="RF95" s="126"/>
      <c r="RG95" s="126"/>
      <c r="RH95" s="126"/>
      <c r="RI95" s="126"/>
      <c r="RJ95" s="126"/>
      <c r="RK95" s="126"/>
      <c r="RL95" s="126"/>
      <c r="RM95" s="126"/>
      <c r="RN95" s="126"/>
      <c r="RO95" s="126"/>
      <c r="RP95" s="126"/>
      <c r="RQ95" s="126"/>
      <c r="RR95" s="126"/>
      <c r="RS95" s="126"/>
      <c r="RT95" s="126"/>
      <c r="RU95" s="126"/>
      <c r="RV95" s="126"/>
      <c r="RW95" s="126"/>
      <c r="RX95" s="126"/>
      <c r="RY95" s="126"/>
      <c r="RZ95" s="126"/>
      <c r="SA95" s="126"/>
      <c r="SB95" s="126"/>
      <c r="SC95" s="126"/>
      <c r="SD95" s="126"/>
      <c r="SE95" s="126"/>
      <c r="SF95" s="126"/>
      <c r="SG95" s="126"/>
      <c r="SH95" s="126"/>
      <c r="SI95" s="126"/>
      <c r="SJ95" s="126"/>
      <c r="SK95" s="126"/>
      <c r="SL95" s="126"/>
      <c r="SM95" s="126"/>
      <c r="SN95" s="126"/>
      <c r="SO95" s="126"/>
      <c r="SP95" s="126"/>
      <c r="SQ95" s="126"/>
      <c r="SR95" s="126"/>
      <c r="SS95" s="126"/>
      <c r="ST95" s="126"/>
      <c r="SU95" s="126"/>
      <c r="SV95" s="126"/>
      <c r="SW95" s="126"/>
      <c r="SX95" s="126"/>
      <c r="SY95" s="126"/>
      <c r="SZ95" s="126"/>
      <c r="TA95" s="126"/>
      <c r="TB95" s="126"/>
      <c r="TC95" s="126"/>
      <c r="TD95" s="126"/>
      <c r="TE95" s="126"/>
    </row>
    <row r="96" spans="1:525" s="127" customFormat="1" ht="31.5" hidden="1" customHeight="1" x14ac:dyDescent="0.25">
      <c r="A96" s="117" t="s">
        <v>496</v>
      </c>
      <c r="B96" s="118">
        <v>1061</v>
      </c>
      <c r="C96" s="117" t="s">
        <v>50</v>
      </c>
      <c r="D96" s="119" t="s">
        <v>449</v>
      </c>
      <c r="E96" s="81">
        <f t="shared" si="47"/>
        <v>0</v>
      </c>
      <c r="F96" s="81"/>
      <c r="G96" s="82"/>
      <c r="H96" s="82"/>
      <c r="I96" s="82"/>
      <c r="J96" s="81">
        <f t="shared" si="46"/>
        <v>0</v>
      </c>
      <c r="K96" s="81"/>
      <c r="L96" s="81"/>
      <c r="M96" s="81"/>
      <c r="N96" s="81"/>
      <c r="O96" s="81"/>
      <c r="P96" s="81">
        <f t="shared" si="45"/>
        <v>0</v>
      </c>
      <c r="Q96" s="260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  <c r="IX96" s="126"/>
      <c r="IY96" s="126"/>
      <c r="IZ96" s="126"/>
      <c r="JA96" s="126"/>
      <c r="JB96" s="126"/>
      <c r="JC96" s="126"/>
      <c r="JD96" s="126"/>
      <c r="JE96" s="126"/>
      <c r="JF96" s="126"/>
      <c r="JG96" s="126"/>
      <c r="JH96" s="126"/>
      <c r="JI96" s="126"/>
      <c r="JJ96" s="126"/>
      <c r="JK96" s="126"/>
      <c r="JL96" s="126"/>
      <c r="JM96" s="126"/>
      <c r="JN96" s="126"/>
      <c r="JO96" s="126"/>
      <c r="JP96" s="126"/>
      <c r="JQ96" s="126"/>
      <c r="JR96" s="126"/>
      <c r="JS96" s="126"/>
      <c r="JT96" s="126"/>
      <c r="JU96" s="126"/>
      <c r="JV96" s="126"/>
      <c r="JW96" s="126"/>
      <c r="JX96" s="126"/>
      <c r="JY96" s="126"/>
      <c r="JZ96" s="126"/>
      <c r="KA96" s="126"/>
      <c r="KB96" s="126"/>
      <c r="KC96" s="126"/>
      <c r="KD96" s="126"/>
      <c r="KE96" s="126"/>
      <c r="KF96" s="126"/>
      <c r="KG96" s="126"/>
      <c r="KH96" s="126"/>
      <c r="KI96" s="126"/>
      <c r="KJ96" s="126"/>
      <c r="KK96" s="126"/>
      <c r="KL96" s="126"/>
      <c r="KM96" s="126"/>
      <c r="KN96" s="126"/>
      <c r="KO96" s="126"/>
      <c r="KP96" s="126"/>
      <c r="KQ96" s="126"/>
      <c r="KR96" s="126"/>
      <c r="KS96" s="126"/>
      <c r="KT96" s="126"/>
      <c r="KU96" s="126"/>
      <c r="KV96" s="126"/>
      <c r="KW96" s="126"/>
      <c r="KX96" s="126"/>
      <c r="KY96" s="126"/>
      <c r="KZ96" s="126"/>
      <c r="LA96" s="126"/>
      <c r="LB96" s="126"/>
      <c r="LC96" s="126"/>
      <c r="LD96" s="126"/>
      <c r="LE96" s="126"/>
      <c r="LF96" s="126"/>
      <c r="LG96" s="126"/>
      <c r="LH96" s="126"/>
      <c r="LI96" s="126"/>
      <c r="LJ96" s="126"/>
      <c r="LK96" s="126"/>
      <c r="LL96" s="126"/>
      <c r="LM96" s="126"/>
      <c r="LN96" s="126"/>
      <c r="LO96" s="126"/>
      <c r="LP96" s="126"/>
      <c r="LQ96" s="126"/>
      <c r="LR96" s="126"/>
      <c r="LS96" s="126"/>
      <c r="LT96" s="126"/>
      <c r="LU96" s="126"/>
      <c r="LV96" s="126"/>
      <c r="LW96" s="126"/>
      <c r="LX96" s="126"/>
      <c r="LY96" s="126"/>
      <c r="LZ96" s="126"/>
      <c r="MA96" s="126"/>
      <c r="MB96" s="126"/>
      <c r="MC96" s="126"/>
      <c r="MD96" s="126"/>
      <c r="ME96" s="126"/>
      <c r="MF96" s="126"/>
      <c r="MG96" s="126"/>
      <c r="MH96" s="126"/>
      <c r="MI96" s="126"/>
      <c r="MJ96" s="126"/>
      <c r="MK96" s="126"/>
      <c r="ML96" s="126"/>
      <c r="MM96" s="126"/>
      <c r="MN96" s="126"/>
      <c r="MO96" s="126"/>
      <c r="MP96" s="126"/>
      <c r="MQ96" s="126"/>
      <c r="MR96" s="126"/>
      <c r="MS96" s="126"/>
      <c r="MT96" s="126"/>
      <c r="MU96" s="126"/>
      <c r="MV96" s="126"/>
      <c r="MW96" s="126"/>
      <c r="MX96" s="126"/>
      <c r="MY96" s="126"/>
      <c r="MZ96" s="126"/>
      <c r="NA96" s="126"/>
      <c r="NB96" s="126"/>
      <c r="NC96" s="126"/>
      <c r="ND96" s="126"/>
      <c r="NE96" s="126"/>
      <c r="NF96" s="126"/>
      <c r="NG96" s="126"/>
      <c r="NH96" s="126"/>
      <c r="NI96" s="126"/>
      <c r="NJ96" s="126"/>
      <c r="NK96" s="126"/>
      <c r="NL96" s="126"/>
      <c r="NM96" s="126"/>
      <c r="NN96" s="126"/>
      <c r="NO96" s="126"/>
      <c r="NP96" s="126"/>
      <c r="NQ96" s="126"/>
      <c r="NR96" s="126"/>
      <c r="NS96" s="126"/>
      <c r="NT96" s="126"/>
      <c r="NU96" s="126"/>
      <c r="NV96" s="126"/>
      <c r="NW96" s="126"/>
      <c r="NX96" s="126"/>
      <c r="NY96" s="126"/>
      <c r="NZ96" s="126"/>
      <c r="OA96" s="126"/>
      <c r="OB96" s="126"/>
      <c r="OC96" s="126"/>
      <c r="OD96" s="126"/>
      <c r="OE96" s="126"/>
      <c r="OF96" s="126"/>
      <c r="OG96" s="126"/>
      <c r="OH96" s="126"/>
      <c r="OI96" s="126"/>
      <c r="OJ96" s="126"/>
      <c r="OK96" s="126"/>
      <c r="OL96" s="126"/>
      <c r="OM96" s="126"/>
      <c r="ON96" s="126"/>
      <c r="OO96" s="126"/>
      <c r="OP96" s="126"/>
      <c r="OQ96" s="126"/>
      <c r="OR96" s="126"/>
      <c r="OS96" s="126"/>
      <c r="OT96" s="126"/>
      <c r="OU96" s="126"/>
      <c r="OV96" s="126"/>
      <c r="OW96" s="126"/>
      <c r="OX96" s="126"/>
      <c r="OY96" s="126"/>
      <c r="OZ96" s="126"/>
      <c r="PA96" s="126"/>
      <c r="PB96" s="126"/>
      <c r="PC96" s="126"/>
      <c r="PD96" s="126"/>
      <c r="PE96" s="126"/>
      <c r="PF96" s="126"/>
      <c r="PG96" s="126"/>
      <c r="PH96" s="126"/>
      <c r="PI96" s="126"/>
      <c r="PJ96" s="126"/>
      <c r="PK96" s="126"/>
      <c r="PL96" s="126"/>
      <c r="PM96" s="126"/>
      <c r="PN96" s="126"/>
      <c r="PO96" s="126"/>
      <c r="PP96" s="126"/>
      <c r="PQ96" s="126"/>
      <c r="PR96" s="126"/>
      <c r="PS96" s="126"/>
      <c r="PT96" s="126"/>
      <c r="PU96" s="126"/>
      <c r="PV96" s="126"/>
      <c r="PW96" s="126"/>
      <c r="PX96" s="126"/>
      <c r="PY96" s="126"/>
      <c r="PZ96" s="126"/>
      <c r="QA96" s="126"/>
      <c r="QB96" s="126"/>
      <c r="QC96" s="126"/>
      <c r="QD96" s="126"/>
      <c r="QE96" s="126"/>
      <c r="QF96" s="126"/>
      <c r="QG96" s="126"/>
      <c r="QH96" s="126"/>
      <c r="QI96" s="126"/>
      <c r="QJ96" s="126"/>
      <c r="QK96" s="126"/>
      <c r="QL96" s="126"/>
      <c r="QM96" s="126"/>
      <c r="QN96" s="126"/>
      <c r="QO96" s="126"/>
      <c r="QP96" s="126"/>
      <c r="QQ96" s="126"/>
      <c r="QR96" s="126"/>
      <c r="QS96" s="126"/>
      <c r="QT96" s="126"/>
      <c r="QU96" s="126"/>
      <c r="QV96" s="126"/>
      <c r="QW96" s="126"/>
      <c r="QX96" s="126"/>
      <c r="QY96" s="126"/>
      <c r="QZ96" s="126"/>
      <c r="RA96" s="126"/>
      <c r="RB96" s="126"/>
      <c r="RC96" s="126"/>
      <c r="RD96" s="126"/>
      <c r="RE96" s="126"/>
      <c r="RF96" s="126"/>
      <c r="RG96" s="126"/>
      <c r="RH96" s="126"/>
      <c r="RI96" s="126"/>
      <c r="RJ96" s="126"/>
      <c r="RK96" s="126"/>
      <c r="RL96" s="126"/>
      <c r="RM96" s="126"/>
      <c r="RN96" s="126"/>
      <c r="RO96" s="126"/>
      <c r="RP96" s="126"/>
      <c r="RQ96" s="126"/>
      <c r="RR96" s="126"/>
      <c r="RS96" s="126"/>
      <c r="RT96" s="126"/>
      <c r="RU96" s="126"/>
      <c r="RV96" s="126"/>
      <c r="RW96" s="126"/>
      <c r="RX96" s="126"/>
      <c r="RY96" s="126"/>
      <c r="RZ96" s="126"/>
      <c r="SA96" s="126"/>
      <c r="SB96" s="126"/>
      <c r="SC96" s="126"/>
      <c r="SD96" s="126"/>
      <c r="SE96" s="126"/>
      <c r="SF96" s="126"/>
      <c r="SG96" s="126"/>
      <c r="SH96" s="126"/>
      <c r="SI96" s="126"/>
      <c r="SJ96" s="126"/>
      <c r="SK96" s="126"/>
      <c r="SL96" s="126"/>
      <c r="SM96" s="126"/>
      <c r="SN96" s="126"/>
      <c r="SO96" s="126"/>
      <c r="SP96" s="126"/>
      <c r="SQ96" s="126"/>
      <c r="SR96" s="126"/>
      <c r="SS96" s="126"/>
      <c r="ST96" s="126"/>
      <c r="SU96" s="126"/>
      <c r="SV96" s="126"/>
      <c r="SW96" s="126"/>
      <c r="SX96" s="126"/>
      <c r="SY96" s="126"/>
      <c r="SZ96" s="126"/>
      <c r="TA96" s="126"/>
      <c r="TB96" s="126"/>
      <c r="TC96" s="126"/>
      <c r="TD96" s="126"/>
      <c r="TE96" s="126"/>
    </row>
    <row r="97" spans="1:525" s="127" customFormat="1" ht="47.25" hidden="1" customHeight="1" x14ac:dyDescent="0.25">
      <c r="A97" s="123"/>
      <c r="B97" s="144"/>
      <c r="C97" s="123"/>
      <c r="D97" s="125" t="s">
        <v>508</v>
      </c>
      <c r="E97" s="82">
        <f>F97+I97</f>
        <v>0</v>
      </c>
      <c r="F97" s="82"/>
      <c r="G97" s="82"/>
      <c r="H97" s="82"/>
      <c r="I97" s="82"/>
      <c r="J97" s="82">
        <f>L97+O97</f>
        <v>0</v>
      </c>
      <c r="K97" s="82"/>
      <c r="L97" s="82"/>
      <c r="M97" s="82"/>
      <c r="N97" s="82"/>
      <c r="O97" s="82"/>
      <c r="P97" s="82">
        <f t="shared" si="45"/>
        <v>0</v>
      </c>
      <c r="Q97" s="260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126"/>
      <c r="OO97" s="126"/>
      <c r="OP97" s="126"/>
      <c r="OQ97" s="126"/>
      <c r="OR97" s="126"/>
      <c r="OS97" s="126"/>
      <c r="OT97" s="126"/>
      <c r="OU97" s="126"/>
      <c r="OV97" s="126"/>
      <c r="OW97" s="126"/>
      <c r="OX97" s="126"/>
      <c r="OY97" s="126"/>
      <c r="OZ97" s="126"/>
      <c r="PA97" s="126"/>
      <c r="PB97" s="126"/>
      <c r="PC97" s="126"/>
      <c r="PD97" s="126"/>
      <c r="PE97" s="126"/>
      <c r="PF97" s="126"/>
      <c r="PG97" s="126"/>
      <c r="PH97" s="126"/>
      <c r="PI97" s="126"/>
      <c r="PJ97" s="126"/>
      <c r="PK97" s="126"/>
      <c r="PL97" s="126"/>
      <c r="PM97" s="126"/>
      <c r="PN97" s="126"/>
      <c r="PO97" s="126"/>
      <c r="PP97" s="126"/>
      <c r="PQ97" s="126"/>
      <c r="PR97" s="126"/>
      <c r="PS97" s="126"/>
      <c r="PT97" s="126"/>
      <c r="PU97" s="126"/>
      <c r="PV97" s="126"/>
      <c r="PW97" s="126"/>
      <c r="PX97" s="126"/>
      <c r="PY97" s="126"/>
      <c r="PZ97" s="126"/>
      <c r="QA97" s="126"/>
      <c r="QB97" s="126"/>
      <c r="QC97" s="126"/>
      <c r="QD97" s="126"/>
      <c r="QE97" s="126"/>
      <c r="QF97" s="126"/>
      <c r="QG97" s="126"/>
      <c r="QH97" s="126"/>
      <c r="QI97" s="126"/>
      <c r="QJ97" s="126"/>
      <c r="QK97" s="126"/>
      <c r="QL97" s="126"/>
      <c r="QM97" s="126"/>
      <c r="QN97" s="126"/>
      <c r="QO97" s="126"/>
      <c r="QP97" s="126"/>
      <c r="QQ97" s="126"/>
      <c r="QR97" s="126"/>
      <c r="QS97" s="126"/>
      <c r="QT97" s="126"/>
      <c r="QU97" s="126"/>
      <c r="QV97" s="126"/>
      <c r="QW97" s="126"/>
      <c r="QX97" s="126"/>
      <c r="QY97" s="126"/>
      <c r="QZ97" s="126"/>
      <c r="RA97" s="126"/>
      <c r="RB97" s="126"/>
      <c r="RC97" s="126"/>
      <c r="RD97" s="126"/>
      <c r="RE97" s="126"/>
      <c r="RF97" s="126"/>
      <c r="RG97" s="126"/>
      <c r="RH97" s="126"/>
      <c r="RI97" s="126"/>
      <c r="RJ97" s="126"/>
      <c r="RK97" s="126"/>
      <c r="RL97" s="126"/>
      <c r="RM97" s="126"/>
      <c r="RN97" s="126"/>
      <c r="RO97" s="126"/>
      <c r="RP97" s="126"/>
      <c r="RQ97" s="126"/>
      <c r="RR97" s="126"/>
      <c r="RS97" s="126"/>
      <c r="RT97" s="126"/>
      <c r="RU97" s="126"/>
      <c r="RV97" s="126"/>
      <c r="RW97" s="126"/>
      <c r="RX97" s="126"/>
      <c r="RY97" s="126"/>
      <c r="RZ97" s="126"/>
      <c r="SA97" s="126"/>
      <c r="SB97" s="126"/>
      <c r="SC97" s="126"/>
      <c r="SD97" s="126"/>
      <c r="SE97" s="126"/>
      <c r="SF97" s="126"/>
      <c r="SG97" s="126"/>
      <c r="SH97" s="126"/>
      <c r="SI97" s="126"/>
      <c r="SJ97" s="126"/>
      <c r="SK97" s="126"/>
      <c r="SL97" s="126"/>
      <c r="SM97" s="126"/>
      <c r="SN97" s="126"/>
      <c r="SO97" s="126"/>
      <c r="SP97" s="126"/>
      <c r="SQ97" s="126"/>
      <c r="SR97" s="126"/>
      <c r="SS97" s="126"/>
      <c r="ST97" s="126"/>
      <c r="SU97" s="126"/>
      <c r="SV97" s="126"/>
      <c r="SW97" s="126"/>
      <c r="SX97" s="126"/>
      <c r="SY97" s="126"/>
      <c r="SZ97" s="126"/>
      <c r="TA97" s="126"/>
      <c r="TB97" s="126"/>
      <c r="TC97" s="126"/>
      <c r="TD97" s="126"/>
      <c r="TE97" s="126"/>
    </row>
    <row r="98" spans="1:525" s="127" customFormat="1" ht="31.5" hidden="1" customHeight="1" x14ac:dyDescent="0.25">
      <c r="A98" s="123"/>
      <c r="B98" s="144"/>
      <c r="C98" s="123"/>
      <c r="D98" s="125" t="s">
        <v>505</v>
      </c>
      <c r="E98" s="82">
        <f t="shared" ref="E98:E100" si="50">F98+I98</f>
        <v>0</v>
      </c>
      <c r="F98" s="82"/>
      <c r="G98" s="82"/>
      <c r="H98" s="82"/>
      <c r="I98" s="82"/>
      <c r="J98" s="82">
        <f t="shared" ref="J98" si="51">L98+O98</f>
        <v>0</v>
      </c>
      <c r="K98" s="82"/>
      <c r="L98" s="82"/>
      <c r="M98" s="82"/>
      <c r="N98" s="82"/>
      <c r="O98" s="82"/>
      <c r="P98" s="82">
        <f t="shared" si="45"/>
        <v>0</v>
      </c>
      <c r="Q98" s="260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  <c r="IX98" s="126"/>
      <c r="IY98" s="126"/>
      <c r="IZ98" s="126"/>
      <c r="JA98" s="126"/>
      <c r="JB98" s="126"/>
      <c r="JC98" s="126"/>
      <c r="JD98" s="126"/>
      <c r="JE98" s="126"/>
      <c r="JF98" s="126"/>
      <c r="JG98" s="126"/>
      <c r="JH98" s="126"/>
      <c r="JI98" s="126"/>
      <c r="JJ98" s="126"/>
      <c r="JK98" s="126"/>
      <c r="JL98" s="126"/>
      <c r="JM98" s="126"/>
      <c r="JN98" s="126"/>
      <c r="JO98" s="126"/>
      <c r="JP98" s="126"/>
      <c r="JQ98" s="126"/>
      <c r="JR98" s="126"/>
      <c r="JS98" s="126"/>
      <c r="JT98" s="126"/>
      <c r="JU98" s="126"/>
      <c r="JV98" s="126"/>
      <c r="JW98" s="126"/>
      <c r="JX98" s="126"/>
      <c r="JY98" s="126"/>
      <c r="JZ98" s="126"/>
      <c r="KA98" s="126"/>
      <c r="KB98" s="126"/>
      <c r="KC98" s="126"/>
      <c r="KD98" s="126"/>
      <c r="KE98" s="126"/>
      <c r="KF98" s="126"/>
      <c r="KG98" s="126"/>
      <c r="KH98" s="126"/>
      <c r="KI98" s="126"/>
      <c r="KJ98" s="126"/>
      <c r="KK98" s="126"/>
      <c r="KL98" s="126"/>
      <c r="KM98" s="126"/>
      <c r="KN98" s="126"/>
      <c r="KO98" s="126"/>
      <c r="KP98" s="126"/>
      <c r="KQ98" s="126"/>
      <c r="KR98" s="126"/>
      <c r="KS98" s="126"/>
      <c r="KT98" s="126"/>
      <c r="KU98" s="126"/>
      <c r="KV98" s="126"/>
      <c r="KW98" s="126"/>
      <c r="KX98" s="126"/>
      <c r="KY98" s="126"/>
      <c r="KZ98" s="126"/>
      <c r="LA98" s="126"/>
      <c r="LB98" s="126"/>
      <c r="LC98" s="126"/>
      <c r="LD98" s="126"/>
      <c r="LE98" s="126"/>
      <c r="LF98" s="126"/>
      <c r="LG98" s="126"/>
      <c r="LH98" s="126"/>
      <c r="LI98" s="126"/>
      <c r="LJ98" s="126"/>
      <c r="LK98" s="126"/>
      <c r="LL98" s="126"/>
      <c r="LM98" s="126"/>
      <c r="LN98" s="126"/>
      <c r="LO98" s="126"/>
      <c r="LP98" s="126"/>
      <c r="LQ98" s="126"/>
      <c r="LR98" s="126"/>
      <c r="LS98" s="126"/>
      <c r="LT98" s="126"/>
      <c r="LU98" s="126"/>
      <c r="LV98" s="126"/>
      <c r="LW98" s="126"/>
      <c r="LX98" s="126"/>
      <c r="LY98" s="126"/>
      <c r="LZ98" s="126"/>
      <c r="MA98" s="126"/>
      <c r="MB98" s="126"/>
      <c r="MC98" s="126"/>
      <c r="MD98" s="126"/>
      <c r="ME98" s="126"/>
      <c r="MF98" s="126"/>
      <c r="MG98" s="126"/>
      <c r="MH98" s="126"/>
      <c r="MI98" s="126"/>
      <c r="MJ98" s="126"/>
      <c r="MK98" s="126"/>
      <c r="ML98" s="126"/>
      <c r="MM98" s="126"/>
      <c r="MN98" s="126"/>
      <c r="MO98" s="126"/>
      <c r="MP98" s="126"/>
      <c r="MQ98" s="126"/>
      <c r="MR98" s="126"/>
      <c r="MS98" s="126"/>
      <c r="MT98" s="126"/>
      <c r="MU98" s="126"/>
      <c r="MV98" s="126"/>
      <c r="MW98" s="126"/>
      <c r="MX98" s="126"/>
      <c r="MY98" s="126"/>
      <c r="MZ98" s="126"/>
      <c r="NA98" s="126"/>
      <c r="NB98" s="126"/>
      <c r="NC98" s="126"/>
      <c r="ND98" s="126"/>
      <c r="NE98" s="126"/>
      <c r="NF98" s="126"/>
      <c r="NG98" s="126"/>
      <c r="NH98" s="126"/>
      <c r="NI98" s="126"/>
      <c r="NJ98" s="126"/>
      <c r="NK98" s="126"/>
      <c r="NL98" s="126"/>
      <c r="NM98" s="126"/>
      <c r="NN98" s="126"/>
      <c r="NO98" s="126"/>
      <c r="NP98" s="126"/>
      <c r="NQ98" s="126"/>
      <c r="NR98" s="126"/>
      <c r="NS98" s="126"/>
      <c r="NT98" s="126"/>
      <c r="NU98" s="126"/>
      <c r="NV98" s="126"/>
      <c r="NW98" s="126"/>
      <c r="NX98" s="126"/>
      <c r="NY98" s="126"/>
      <c r="NZ98" s="126"/>
      <c r="OA98" s="126"/>
      <c r="OB98" s="126"/>
      <c r="OC98" s="126"/>
      <c r="OD98" s="126"/>
      <c r="OE98" s="126"/>
      <c r="OF98" s="126"/>
      <c r="OG98" s="126"/>
      <c r="OH98" s="126"/>
      <c r="OI98" s="126"/>
      <c r="OJ98" s="126"/>
      <c r="OK98" s="126"/>
      <c r="OL98" s="126"/>
      <c r="OM98" s="126"/>
      <c r="ON98" s="126"/>
      <c r="OO98" s="126"/>
      <c r="OP98" s="126"/>
      <c r="OQ98" s="126"/>
      <c r="OR98" s="126"/>
      <c r="OS98" s="126"/>
      <c r="OT98" s="126"/>
      <c r="OU98" s="126"/>
      <c r="OV98" s="126"/>
      <c r="OW98" s="126"/>
      <c r="OX98" s="126"/>
      <c r="OY98" s="126"/>
      <c r="OZ98" s="126"/>
      <c r="PA98" s="126"/>
      <c r="PB98" s="126"/>
      <c r="PC98" s="126"/>
      <c r="PD98" s="126"/>
      <c r="PE98" s="126"/>
      <c r="PF98" s="126"/>
      <c r="PG98" s="126"/>
      <c r="PH98" s="126"/>
      <c r="PI98" s="126"/>
      <c r="PJ98" s="126"/>
      <c r="PK98" s="126"/>
      <c r="PL98" s="126"/>
      <c r="PM98" s="126"/>
      <c r="PN98" s="126"/>
      <c r="PO98" s="126"/>
      <c r="PP98" s="126"/>
      <c r="PQ98" s="126"/>
      <c r="PR98" s="126"/>
      <c r="PS98" s="126"/>
      <c r="PT98" s="126"/>
      <c r="PU98" s="126"/>
      <c r="PV98" s="126"/>
      <c r="PW98" s="126"/>
      <c r="PX98" s="126"/>
      <c r="PY98" s="126"/>
      <c r="PZ98" s="126"/>
      <c r="QA98" s="126"/>
      <c r="QB98" s="126"/>
      <c r="QC98" s="126"/>
      <c r="QD98" s="126"/>
      <c r="QE98" s="126"/>
      <c r="QF98" s="126"/>
      <c r="QG98" s="126"/>
      <c r="QH98" s="126"/>
      <c r="QI98" s="126"/>
      <c r="QJ98" s="126"/>
      <c r="QK98" s="126"/>
      <c r="QL98" s="126"/>
      <c r="QM98" s="126"/>
      <c r="QN98" s="126"/>
      <c r="QO98" s="126"/>
      <c r="QP98" s="126"/>
      <c r="QQ98" s="126"/>
      <c r="QR98" s="126"/>
      <c r="QS98" s="126"/>
      <c r="QT98" s="126"/>
      <c r="QU98" s="126"/>
      <c r="QV98" s="126"/>
      <c r="QW98" s="126"/>
      <c r="QX98" s="126"/>
      <c r="QY98" s="126"/>
      <c r="QZ98" s="126"/>
      <c r="RA98" s="126"/>
      <c r="RB98" s="126"/>
      <c r="RC98" s="126"/>
      <c r="RD98" s="126"/>
      <c r="RE98" s="126"/>
      <c r="RF98" s="126"/>
      <c r="RG98" s="126"/>
      <c r="RH98" s="126"/>
      <c r="RI98" s="126"/>
      <c r="RJ98" s="126"/>
      <c r="RK98" s="126"/>
      <c r="RL98" s="126"/>
      <c r="RM98" s="126"/>
      <c r="RN98" s="126"/>
      <c r="RO98" s="126"/>
      <c r="RP98" s="126"/>
      <c r="RQ98" s="126"/>
      <c r="RR98" s="126"/>
      <c r="RS98" s="126"/>
      <c r="RT98" s="126"/>
      <c r="RU98" s="126"/>
      <c r="RV98" s="126"/>
      <c r="RW98" s="126"/>
      <c r="RX98" s="126"/>
      <c r="RY98" s="126"/>
      <c r="RZ98" s="126"/>
      <c r="SA98" s="126"/>
      <c r="SB98" s="126"/>
      <c r="SC98" s="126"/>
      <c r="SD98" s="126"/>
      <c r="SE98" s="126"/>
      <c r="SF98" s="126"/>
      <c r="SG98" s="126"/>
      <c r="SH98" s="126"/>
      <c r="SI98" s="126"/>
      <c r="SJ98" s="126"/>
      <c r="SK98" s="126"/>
      <c r="SL98" s="126"/>
      <c r="SM98" s="126"/>
      <c r="SN98" s="126"/>
      <c r="SO98" s="126"/>
      <c r="SP98" s="126"/>
      <c r="SQ98" s="126"/>
      <c r="SR98" s="126"/>
      <c r="SS98" s="126"/>
      <c r="ST98" s="126"/>
      <c r="SU98" s="126"/>
      <c r="SV98" s="126"/>
      <c r="SW98" s="126"/>
      <c r="SX98" s="126"/>
      <c r="SY98" s="126"/>
      <c r="SZ98" s="126"/>
      <c r="TA98" s="126"/>
      <c r="TB98" s="126"/>
      <c r="TC98" s="126"/>
      <c r="TD98" s="126"/>
      <c r="TE98" s="126"/>
    </row>
    <row r="99" spans="1:525" s="127" customFormat="1" ht="63" hidden="1" customHeight="1" x14ac:dyDescent="0.25">
      <c r="A99" s="117" t="s">
        <v>500</v>
      </c>
      <c r="B99" s="118">
        <v>1062</v>
      </c>
      <c r="C99" s="117" t="s">
        <v>54</v>
      </c>
      <c r="D99" s="122" t="s">
        <v>481</v>
      </c>
      <c r="E99" s="81">
        <f t="shared" si="47"/>
        <v>0</v>
      </c>
      <c r="F99" s="81"/>
      <c r="G99" s="82"/>
      <c r="H99" s="82"/>
      <c r="I99" s="82"/>
      <c r="J99" s="81">
        <f>L99+O99</f>
        <v>0</v>
      </c>
      <c r="K99" s="82"/>
      <c r="L99" s="82"/>
      <c r="M99" s="82"/>
      <c r="N99" s="82"/>
      <c r="O99" s="82"/>
      <c r="P99" s="81">
        <f t="shared" si="45"/>
        <v>0</v>
      </c>
      <c r="Q99" s="260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  <c r="IX99" s="126"/>
      <c r="IY99" s="126"/>
      <c r="IZ99" s="126"/>
      <c r="JA99" s="126"/>
      <c r="JB99" s="126"/>
      <c r="JC99" s="126"/>
      <c r="JD99" s="126"/>
      <c r="JE99" s="126"/>
      <c r="JF99" s="126"/>
      <c r="JG99" s="126"/>
      <c r="JH99" s="126"/>
      <c r="JI99" s="126"/>
      <c r="JJ99" s="126"/>
      <c r="JK99" s="126"/>
      <c r="JL99" s="126"/>
      <c r="JM99" s="126"/>
      <c r="JN99" s="126"/>
      <c r="JO99" s="126"/>
      <c r="JP99" s="126"/>
      <c r="JQ99" s="126"/>
      <c r="JR99" s="126"/>
      <c r="JS99" s="126"/>
      <c r="JT99" s="126"/>
      <c r="JU99" s="126"/>
      <c r="JV99" s="126"/>
      <c r="JW99" s="126"/>
      <c r="JX99" s="126"/>
      <c r="JY99" s="126"/>
      <c r="JZ99" s="126"/>
      <c r="KA99" s="126"/>
      <c r="KB99" s="126"/>
      <c r="KC99" s="126"/>
      <c r="KD99" s="126"/>
      <c r="KE99" s="126"/>
      <c r="KF99" s="126"/>
      <c r="KG99" s="126"/>
      <c r="KH99" s="126"/>
      <c r="KI99" s="126"/>
      <c r="KJ99" s="126"/>
      <c r="KK99" s="126"/>
      <c r="KL99" s="126"/>
      <c r="KM99" s="126"/>
      <c r="KN99" s="126"/>
      <c r="KO99" s="126"/>
      <c r="KP99" s="126"/>
      <c r="KQ99" s="126"/>
      <c r="KR99" s="126"/>
      <c r="KS99" s="126"/>
      <c r="KT99" s="126"/>
      <c r="KU99" s="126"/>
      <c r="KV99" s="126"/>
      <c r="KW99" s="126"/>
      <c r="KX99" s="126"/>
      <c r="KY99" s="126"/>
      <c r="KZ99" s="126"/>
      <c r="LA99" s="126"/>
      <c r="LB99" s="126"/>
      <c r="LC99" s="126"/>
      <c r="LD99" s="126"/>
      <c r="LE99" s="126"/>
      <c r="LF99" s="126"/>
      <c r="LG99" s="126"/>
      <c r="LH99" s="126"/>
      <c r="LI99" s="126"/>
      <c r="LJ99" s="126"/>
      <c r="LK99" s="126"/>
      <c r="LL99" s="126"/>
      <c r="LM99" s="126"/>
      <c r="LN99" s="126"/>
      <c r="LO99" s="126"/>
      <c r="LP99" s="126"/>
      <c r="LQ99" s="126"/>
      <c r="LR99" s="126"/>
      <c r="LS99" s="126"/>
      <c r="LT99" s="126"/>
      <c r="LU99" s="126"/>
      <c r="LV99" s="126"/>
      <c r="LW99" s="126"/>
      <c r="LX99" s="126"/>
      <c r="LY99" s="126"/>
      <c r="LZ99" s="126"/>
      <c r="MA99" s="126"/>
      <c r="MB99" s="126"/>
      <c r="MC99" s="126"/>
      <c r="MD99" s="126"/>
      <c r="ME99" s="126"/>
      <c r="MF99" s="126"/>
      <c r="MG99" s="126"/>
      <c r="MH99" s="126"/>
      <c r="MI99" s="126"/>
      <c r="MJ99" s="126"/>
      <c r="MK99" s="126"/>
      <c r="ML99" s="126"/>
      <c r="MM99" s="126"/>
      <c r="MN99" s="126"/>
      <c r="MO99" s="126"/>
      <c r="MP99" s="126"/>
      <c r="MQ99" s="126"/>
      <c r="MR99" s="126"/>
      <c r="MS99" s="126"/>
      <c r="MT99" s="126"/>
      <c r="MU99" s="126"/>
      <c r="MV99" s="126"/>
      <c r="MW99" s="126"/>
      <c r="MX99" s="126"/>
      <c r="MY99" s="126"/>
      <c r="MZ99" s="126"/>
      <c r="NA99" s="126"/>
      <c r="NB99" s="126"/>
      <c r="NC99" s="126"/>
      <c r="ND99" s="126"/>
      <c r="NE99" s="126"/>
      <c r="NF99" s="126"/>
      <c r="NG99" s="126"/>
      <c r="NH99" s="126"/>
      <c r="NI99" s="126"/>
      <c r="NJ99" s="126"/>
      <c r="NK99" s="126"/>
      <c r="NL99" s="126"/>
      <c r="NM99" s="126"/>
      <c r="NN99" s="126"/>
      <c r="NO99" s="126"/>
      <c r="NP99" s="126"/>
      <c r="NQ99" s="126"/>
      <c r="NR99" s="126"/>
      <c r="NS99" s="126"/>
      <c r="NT99" s="126"/>
      <c r="NU99" s="126"/>
      <c r="NV99" s="126"/>
      <c r="NW99" s="126"/>
      <c r="NX99" s="126"/>
      <c r="NY99" s="126"/>
      <c r="NZ99" s="126"/>
      <c r="OA99" s="126"/>
      <c r="OB99" s="126"/>
      <c r="OC99" s="126"/>
      <c r="OD99" s="126"/>
      <c r="OE99" s="126"/>
      <c r="OF99" s="126"/>
      <c r="OG99" s="126"/>
      <c r="OH99" s="126"/>
      <c r="OI99" s="126"/>
      <c r="OJ99" s="126"/>
      <c r="OK99" s="126"/>
      <c r="OL99" s="126"/>
      <c r="OM99" s="126"/>
      <c r="ON99" s="126"/>
      <c r="OO99" s="126"/>
      <c r="OP99" s="126"/>
      <c r="OQ99" s="126"/>
      <c r="OR99" s="126"/>
      <c r="OS99" s="126"/>
      <c r="OT99" s="126"/>
      <c r="OU99" s="126"/>
      <c r="OV99" s="126"/>
      <c r="OW99" s="126"/>
      <c r="OX99" s="126"/>
      <c r="OY99" s="126"/>
      <c r="OZ99" s="126"/>
      <c r="PA99" s="126"/>
      <c r="PB99" s="126"/>
      <c r="PC99" s="126"/>
      <c r="PD99" s="126"/>
      <c r="PE99" s="126"/>
      <c r="PF99" s="126"/>
      <c r="PG99" s="126"/>
      <c r="PH99" s="126"/>
      <c r="PI99" s="126"/>
      <c r="PJ99" s="126"/>
      <c r="PK99" s="126"/>
      <c r="PL99" s="126"/>
      <c r="PM99" s="126"/>
      <c r="PN99" s="126"/>
      <c r="PO99" s="126"/>
      <c r="PP99" s="126"/>
      <c r="PQ99" s="126"/>
      <c r="PR99" s="126"/>
      <c r="PS99" s="126"/>
      <c r="PT99" s="126"/>
      <c r="PU99" s="126"/>
      <c r="PV99" s="126"/>
      <c r="PW99" s="126"/>
      <c r="PX99" s="126"/>
      <c r="PY99" s="126"/>
      <c r="PZ99" s="126"/>
      <c r="QA99" s="126"/>
      <c r="QB99" s="126"/>
      <c r="QC99" s="126"/>
      <c r="QD99" s="126"/>
      <c r="QE99" s="126"/>
      <c r="QF99" s="126"/>
      <c r="QG99" s="126"/>
      <c r="QH99" s="126"/>
      <c r="QI99" s="126"/>
      <c r="QJ99" s="126"/>
      <c r="QK99" s="126"/>
      <c r="QL99" s="126"/>
      <c r="QM99" s="126"/>
      <c r="QN99" s="126"/>
      <c r="QO99" s="126"/>
      <c r="QP99" s="126"/>
      <c r="QQ99" s="126"/>
      <c r="QR99" s="126"/>
      <c r="QS99" s="126"/>
      <c r="QT99" s="126"/>
      <c r="QU99" s="126"/>
      <c r="QV99" s="126"/>
      <c r="QW99" s="126"/>
      <c r="QX99" s="126"/>
      <c r="QY99" s="126"/>
      <c r="QZ99" s="126"/>
      <c r="RA99" s="126"/>
      <c r="RB99" s="126"/>
      <c r="RC99" s="126"/>
      <c r="RD99" s="126"/>
      <c r="RE99" s="126"/>
      <c r="RF99" s="126"/>
      <c r="RG99" s="126"/>
      <c r="RH99" s="126"/>
      <c r="RI99" s="126"/>
      <c r="RJ99" s="126"/>
      <c r="RK99" s="126"/>
      <c r="RL99" s="126"/>
      <c r="RM99" s="126"/>
      <c r="RN99" s="126"/>
      <c r="RO99" s="126"/>
      <c r="RP99" s="126"/>
      <c r="RQ99" s="126"/>
      <c r="RR99" s="126"/>
      <c r="RS99" s="126"/>
      <c r="RT99" s="126"/>
      <c r="RU99" s="126"/>
      <c r="RV99" s="126"/>
      <c r="RW99" s="126"/>
      <c r="RX99" s="126"/>
      <c r="RY99" s="126"/>
      <c r="RZ99" s="126"/>
      <c r="SA99" s="126"/>
      <c r="SB99" s="126"/>
      <c r="SC99" s="126"/>
      <c r="SD99" s="126"/>
      <c r="SE99" s="126"/>
      <c r="SF99" s="126"/>
      <c r="SG99" s="126"/>
      <c r="SH99" s="126"/>
      <c r="SI99" s="126"/>
      <c r="SJ99" s="126"/>
      <c r="SK99" s="126"/>
      <c r="SL99" s="126"/>
      <c r="SM99" s="126"/>
      <c r="SN99" s="126"/>
      <c r="SO99" s="126"/>
      <c r="SP99" s="126"/>
      <c r="SQ99" s="126"/>
      <c r="SR99" s="126"/>
      <c r="SS99" s="126"/>
      <c r="ST99" s="126"/>
      <c r="SU99" s="126"/>
      <c r="SV99" s="126"/>
      <c r="SW99" s="126"/>
      <c r="SX99" s="126"/>
      <c r="SY99" s="126"/>
      <c r="SZ99" s="126"/>
      <c r="TA99" s="126"/>
      <c r="TB99" s="126"/>
      <c r="TC99" s="126"/>
      <c r="TD99" s="126"/>
      <c r="TE99" s="126"/>
    </row>
    <row r="100" spans="1:525" s="127" customFormat="1" ht="31.5" hidden="1" customHeight="1" x14ac:dyDescent="0.25">
      <c r="A100" s="123"/>
      <c r="B100" s="144"/>
      <c r="C100" s="123"/>
      <c r="D100" s="125" t="s">
        <v>505</v>
      </c>
      <c r="E100" s="82">
        <f t="shared" si="50"/>
        <v>0</v>
      </c>
      <c r="F100" s="82"/>
      <c r="G100" s="82"/>
      <c r="H100" s="82"/>
      <c r="I100" s="82"/>
      <c r="J100" s="82">
        <f>L100+O100</f>
        <v>0</v>
      </c>
      <c r="K100" s="81"/>
      <c r="L100" s="82"/>
      <c r="M100" s="82"/>
      <c r="N100" s="82"/>
      <c r="O100" s="81"/>
      <c r="P100" s="82">
        <f t="shared" si="45"/>
        <v>0</v>
      </c>
      <c r="Q100" s="260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  <c r="IX100" s="126"/>
      <c r="IY100" s="126"/>
      <c r="IZ100" s="126"/>
      <c r="JA100" s="126"/>
      <c r="JB100" s="126"/>
      <c r="JC100" s="126"/>
      <c r="JD100" s="126"/>
      <c r="JE100" s="126"/>
      <c r="JF100" s="126"/>
      <c r="JG100" s="126"/>
      <c r="JH100" s="126"/>
      <c r="JI100" s="126"/>
      <c r="JJ100" s="126"/>
      <c r="JK100" s="126"/>
      <c r="JL100" s="126"/>
      <c r="JM100" s="126"/>
      <c r="JN100" s="126"/>
      <c r="JO100" s="126"/>
      <c r="JP100" s="126"/>
      <c r="JQ100" s="126"/>
      <c r="JR100" s="126"/>
      <c r="JS100" s="126"/>
      <c r="JT100" s="126"/>
      <c r="JU100" s="126"/>
      <c r="JV100" s="126"/>
      <c r="JW100" s="126"/>
      <c r="JX100" s="126"/>
      <c r="JY100" s="126"/>
      <c r="JZ100" s="126"/>
      <c r="KA100" s="126"/>
      <c r="KB100" s="126"/>
      <c r="KC100" s="126"/>
      <c r="KD100" s="126"/>
      <c r="KE100" s="126"/>
      <c r="KF100" s="126"/>
      <c r="KG100" s="126"/>
      <c r="KH100" s="126"/>
      <c r="KI100" s="126"/>
      <c r="KJ100" s="126"/>
      <c r="KK100" s="126"/>
      <c r="KL100" s="126"/>
      <c r="KM100" s="126"/>
      <c r="KN100" s="126"/>
      <c r="KO100" s="126"/>
      <c r="KP100" s="126"/>
      <c r="KQ100" s="126"/>
      <c r="KR100" s="126"/>
      <c r="KS100" s="126"/>
      <c r="KT100" s="126"/>
      <c r="KU100" s="126"/>
      <c r="KV100" s="126"/>
      <c r="KW100" s="126"/>
      <c r="KX100" s="126"/>
      <c r="KY100" s="126"/>
      <c r="KZ100" s="126"/>
      <c r="LA100" s="126"/>
      <c r="LB100" s="126"/>
      <c r="LC100" s="126"/>
      <c r="LD100" s="126"/>
      <c r="LE100" s="126"/>
      <c r="LF100" s="126"/>
      <c r="LG100" s="126"/>
      <c r="LH100" s="126"/>
      <c r="LI100" s="126"/>
      <c r="LJ100" s="126"/>
      <c r="LK100" s="126"/>
      <c r="LL100" s="126"/>
      <c r="LM100" s="126"/>
      <c r="LN100" s="126"/>
      <c r="LO100" s="126"/>
      <c r="LP100" s="126"/>
      <c r="LQ100" s="126"/>
      <c r="LR100" s="126"/>
      <c r="LS100" s="126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6"/>
      <c r="MU100" s="126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6"/>
      <c r="NT100" s="126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126"/>
      <c r="OT100" s="126"/>
      <c r="OU100" s="126"/>
      <c r="OV100" s="126"/>
      <c r="OW100" s="126"/>
      <c r="OX100" s="126"/>
      <c r="OY100" s="126"/>
      <c r="OZ100" s="126"/>
      <c r="PA100" s="126"/>
      <c r="PB100" s="126"/>
      <c r="PC100" s="126"/>
      <c r="PD100" s="126"/>
      <c r="PE100" s="126"/>
      <c r="PF100" s="126"/>
      <c r="PG100" s="126"/>
      <c r="PH100" s="126"/>
      <c r="PI100" s="126"/>
      <c r="PJ100" s="126"/>
      <c r="PK100" s="126"/>
      <c r="PL100" s="126"/>
      <c r="PM100" s="126"/>
      <c r="PN100" s="126"/>
      <c r="PO100" s="126"/>
      <c r="PP100" s="126"/>
      <c r="PQ100" s="126"/>
      <c r="PR100" s="126"/>
      <c r="PS100" s="126"/>
      <c r="PT100" s="126"/>
      <c r="PU100" s="126"/>
      <c r="PV100" s="126"/>
      <c r="PW100" s="126"/>
      <c r="PX100" s="126"/>
      <c r="PY100" s="126"/>
      <c r="PZ100" s="126"/>
      <c r="QA100" s="126"/>
      <c r="QB100" s="126"/>
      <c r="QC100" s="126"/>
      <c r="QD100" s="126"/>
      <c r="QE100" s="126"/>
      <c r="QF100" s="126"/>
      <c r="QG100" s="126"/>
      <c r="QH100" s="126"/>
      <c r="QI100" s="126"/>
      <c r="QJ100" s="126"/>
      <c r="QK100" s="126"/>
      <c r="QL100" s="126"/>
      <c r="QM100" s="126"/>
      <c r="QN100" s="126"/>
      <c r="QO100" s="126"/>
      <c r="QP100" s="126"/>
      <c r="QQ100" s="126"/>
      <c r="QR100" s="126"/>
      <c r="QS100" s="126"/>
      <c r="QT100" s="126"/>
      <c r="QU100" s="126"/>
      <c r="QV100" s="126"/>
      <c r="QW100" s="126"/>
      <c r="QX100" s="126"/>
      <c r="QY100" s="126"/>
      <c r="QZ100" s="126"/>
      <c r="RA100" s="126"/>
      <c r="RB100" s="126"/>
      <c r="RC100" s="126"/>
      <c r="RD100" s="126"/>
      <c r="RE100" s="126"/>
      <c r="RF100" s="126"/>
      <c r="RG100" s="126"/>
      <c r="RH100" s="126"/>
      <c r="RI100" s="126"/>
      <c r="RJ100" s="126"/>
      <c r="RK100" s="126"/>
      <c r="RL100" s="126"/>
      <c r="RM100" s="126"/>
      <c r="RN100" s="126"/>
      <c r="RO100" s="126"/>
      <c r="RP100" s="126"/>
      <c r="RQ100" s="126"/>
      <c r="RR100" s="126"/>
      <c r="RS100" s="126"/>
      <c r="RT100" s="126"/>
      <c r="RU100" s="126"/>
      <c r="RV100" s="126"/>
      <c r="RW100" s="126"/>
      <c r="RX100" s="126"/>
      <c r="RY100" s="126"/>
      <c r="RZ100" s="126"/>
      <c r="SA100" s="126"/>
      <c r="SB100" s="126"/>
      <c r="SC100" s="126"/>
      <c r="SD100" s="126"/>
      <c r="SE100" s="126"/>
      <c r="SF100" s="126"/>
      <c r="SG100" s="126"/>
      <c r="SH100" s="126"/>
      <c r="SI100" s="126"/>
      <c r="SJ100" s="126"/>
      <c r="SK100" s="126"/>
      <c r="SL100" s="126"/>
      <c r="SM100" s="126"/>
      <c r="SN100" s="126"/>
      <c r="SO100" s="126"/>
      <c r="SP100" s="126"/>
      <c r="SQ100" s="126"/>
      <c r="SR100" s="126"/>
      <c r="SS100" s="126"/>
      <c r="ST100" s="126"/>
      <c r="SU100" s="126"/>
      <c r="SV100" s="126"/>
      <c r="SW100" s="126"/>
      <c r="SX100" s="126"/>
      <c r="SY100" s="126"/>
      <c r="SZ100" s="126"/>
      <c r="TA100" s="126"/>
      <c r="TB100" s="126"/>
      <c r="TC100" s="126"/>
      <c r="TD100" s="126"/>
      <c r="TE100" s="126"/>
    </row>
    <row r="101" spans="1:525" s="121" customFormat="1" ht="57.75" customHeight="1" x14ac:dyDescent="0.25">
      <c r="A101" s="117" t="s">
        <v>455</v>
      </c>
      <c r="B101" s="117" t="s">
        <v>53</v>
      </c>
      <c r="C101" s="117" t="s">
        <v>56</v>
      </c>
      <c r="D101" s="122" t="str">
        <f>'дод 6'!C61</f>
        <v>Надання позашкільної освіти закладами позашкільної освіти, заходи із позашкільної роботи з дітьми</v>
      </c>
      <c r="E101" s="81">
        <f t="shared" si="44"/>
        <v>41978210</v>
      </c>
      <c r="F101" s="81">
        <f>42397200-584400+165410</f>
        <v>41978210</v>
      </c>
      <c r="G101" s="81">
        <v>29446000</v>
      </c>
      <c r="H101" s="81">
        <f>5510400-584400+165410</f>
        <v>5091410</v>
      </c>
      <c r="I101" s="81"/>
      <c r="J101" s="81">
        <f t="shared" si="46"/>
        <v>3200000</v>
      </c>
      <c r="K101" s="81">
        <f>100000+1000000+2100000</f>
        <v>3200000</v>
      </c>
      <c r="L101" s="81"/>
      <c r="M101" s="81"/>
      <c r="N101" s="81"/>
      <c r="O101" s="81">
        <f>100000+1000000+2100000</f>
        <v>3200000</v>
      </c>
      <c r="P101" s="81">
        <f t="shared" si="45"/>
        <v>45178210</v>
      </c>
      <c r="Q101" s="26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</row>
    <row r="102" spans="1:525" s="121" customFormat="1" ht="66.75" customHeight="1" x14ac:dyDescent="0.25">
      <c r="A102" s="117" t="s">
        <v>570</v>
      </c>
      <c r="B102" s="118">
        <v>1091</v>
      </c>
      <c r="C102" s="117" t="s">
        <v>571</v>
      </c>
      <c r="D102" s="119" t="str">
        <f>'дод 6'!C63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81">
        <f t="shared" si="44"/>
        <v>149141967</v>
      </c>
      <c r="F102" s="81">
        <f>147991300+87148-2136400+1000000-1000000+3000000+199919</f>
        <v>149141967</v>
      </c>
      <c r="G102" s="81">
        <v>77072200</v>
      </c>
      <c r="H102" s="81">
        <f>19337700-2136400</f>
        <v>17201300</v>
      </c>
      <c r="I102" s="81"/>
      <c r="J102" s="81">
        <f t="shared" si="46"/>
        <v>13007038</v>
      </c>
      <c r="K102" s="81">
        <v>980400</v>
      </c>
      <c r="L102" s="81">
        <v>11878258</v>
      </c>
      <c r="M102" s="81">
        <v>3115502</v>
      </c>
      <c r="N102" s="81">
        <v>5138695</v>
      </c>
      <c r="O102" s="81">
        <f>148380+980400</f>
        <v>1128780</v>
      </c>
      <c r="P102" s="81">
        <f t="shared" si="45"/>
        <v>162149005</v>
      </c>
      <c r="Q102" s="26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</row>
    <row r="103" spans="1:525" s="121" customFormat="1" ht="15.75" x14ac:dyDescent="0.25">
      <c r="A103" s="117"/>
      <c r="B103" s="118"/>
      <c r="C103" s="117"/>
      <c r="D103" s="125" t="s">
        <v>388</v>
      </c>
      <c r="E103" s="82">
        <f t="shared" si="44"/>
        <v>199919</v>
      </c>
      <c r="F103" s="82">
        <v>199919</v>
      </c>
      <c r="G103" s="82"/>
      <c r="H103" s="82"/>
      <c r="I103" s="82"/>
      <c r="J103" s="82">
        <f t="shared" si="46"/>
        <v>980400</v>
      </c>
      <c r="K103" s="82">
        <v>980400</v>
      </c>
      <c r="L103" s="82"/>
      <c r="M103" s="82"/>
      <c r="N103" s="82"/>
      <c r="O103" s="82">
        <v>980400</v>
      </c>
      <c r="P103" s="82">
        <f t="shared" si="45"/>
        <v>1180319</v>
      </c>
      <c r="Q103" s="26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</row>
    <row r="104" spans="1:525" s="121" customFormat="1" ht="63" customHeight="1" x14ac:dyDescent="0.25">
      <c r="A104" s="117" t="s">
        <v>573</v>
      </c>
      <c r="B104" s="118">
        <v>1092</v>
      </c>
      <c r="C104" s="117" t="s">
        <v>571</v>
      </c>
      <c r="D104" s="119" t="str">
        <f>'дод 6'!C65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81">
        <f t="shared" si="44"/>
        <v>18750040</v>
      </c>
      <c r="F104" s="81">
        <f>22079600-3329560</f>
        <v>18750040</v>
      </c>
      <c r="G104" s="81">
        <f>18098000-2700000</f>
        <v>15398000</v>
      </c>
      <c r="H104" s="81"/>
      <c r="I104" s="81"/>
      <c r="J104" s="81">
        <f t="shared" si="46"/>
        <v>0</v>
      </c>
      <c r="K104" s="81"/>
      <c r="L104" s="81"/>
      <c r="M104" s="81"/>
      <c r="N104" s="81"/>
      <c r="O104" s="81"/>
      <c r="P104" s="81">
        <f t="shared" si="45"/>
        <v>18750040</v>
      </c>
      <c r="Q104" s="26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</row>
    <row r="105" spans="1:525" s="127" customFormat="1" ht="31.5" customHeight="1" x14ac:dyDescent="0.25">
      <c r="A105" s="123"/>
      <c r="B105" s="144"/>
      <c r="C105" s="123"/>
      <c r="D105" s="125" t="s">
        <v>384</v>
      </c>
      <c r="E105" s="82">
        <f t="shared" si="44"/>
        <v>18750040</v>
      </c>
      <c r="F105" s="82">
        <f>22079600-3329560</f>
        <v>18750040</v>
      </c>
      <c r="G105" s="82">
        <f>18098000-2700000</f>
        <v>15398000</v>
      </c>
      <c r="H105" s="82"/>
      <c r="I105" s="82"/>
      <c r="J105" s="82">
        <f t="shared" si="46"/>
        <v>0</v>
      </c>
      <c r="K105" s="82"/>
      <c r="L105" s="82"/>
      <c r="M105" s="82"/>
      <c r="N105" s="82"/>
      <c r="O105" s="82"/>
      <c r="P105" s="82">
        <f t="shared" si="45"/>
        <v>18750040</v>
      </c>
      <c r="Q105" s="260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</row>
    <row r="106" spans="1:525" s="121" customFormat="1" ht="34.5" customHeight="1" x14ac:dyDescent="0.25">
      <c r="A106" s="117" t="s">
        <v>456</v>
      </c>
      <c r="B106" s="117" t="s">
        <v>457</v>
      </c>
      <c r="C106" s="117" t="s">
        <v>57</v>
      </c>
      <c r="D106" s="119" t="str">
        <f>'дод 6'!C67</f>
        <v>Забезпечення діяльності інших закладів у сфері освіти</v>
      </c>
      <c r="E106" s="81">
        <f t="shared" si="44"/>
        <v>12601000</v>
      </c>
      <c r="F106" s="81">
        <f>12697300-96300</f>
        <v>12601000</v>
      </c>
      <c r="G106" s="81">
        <v>8889800</v>
      </c>
      <c r="H106" s="81">
        <f>1168000-96300</f>
        <v>1071700</v>
      </c>
      <c r="I106" s="81"/>
      <c r="J106" s="81">
        <f t="shared" si="46"/>
        <v>0</v>
      </c>
      <c r="K106" s="81"/>
      <c r="L106" s="81"/>
      <c r="M106" s="81"/>
      <c r="N106" s="81"/>
      <c r="O106" s="81"/>
      <c r="P106" s="81">
        <f t="shared" si="45"/>
        <v>12601000</v>
      </c>
      <c r="Q106" s="26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</row>
    <row r="107" spans="1:525" s="121" customFormat="1" ht="27.75" customHeight="1" x14ac:dyDescent="0.25">
      <c r="A107" s="117" t="s">
        <v>458</v>
      </c>
      <c r="B107" s="117" t="s">
        <v>459</v>
      </c>
      <c r="C107" s="117" t="s">
        <v>57</v>
      </c>
      <c r="D107" s="119" t="str">
        <f>'дод 6'!C68</f>
        <v>Інші програми та заходи у сфері освіти</v>
      </c>
      <c r="E107" s="81">
        <f t="shared" si="44"/>
        <v>119000</v>
      </c>
      <c r="F107" s="81">
        <v>119000</v>
      </c>
      <c r="G107" s="81"/>
      <c r="H107" s="81"/>
      <c r="I107" s="81"/>
      <c r="J107" s="81">
        <f t="shared" ref="J107" si="52">L107+O107</f>
        <v>0</v>
      </c>
      <c r="K107" s="81"/>
      <c r="L107" s="81"/>
      <c r="M107" s="81"/>
      <c r="N107" s="81"/>
      <c r="O107" s="81"/>
      <c r="P107" s="81">
        <f t="shared" ref="P107" si="53">E107+J107</f>
        <v>119000</v>
      </c>
      <c r="Q107" s="26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</row>
    <row r="108" spans="1:525" s="121" customFormat="1" ht="35.25" customHeight="1" x14ac:dyDescent="0.25">
      <c r="A108" s="117" t="s">
        <v>460</v>
      </c>
      <c r="B108" s="117" t="s">
        <v>461</v>
      </c>
      <c r="C108" s="117" t="s">
        <v>57</v>
      </c>
      <c r="D108" s="122" t="str">
        <f>'дод 6'!C69</f>
        <v>Забезпечення діяльності інклюзивно-ресурсних центрів за рахунок коштів місцевого бюджету</v>
      </c>
      <c r="E108" s="81">
        <f t="shared" si="44"/>
        <v>527800</v>
      </c>
      <c r="F108" s="81">
        <f>538100-10300</f>
        <v>527800</v>
      </c>
      <c r="G108" s="81">
        <v>319800</v>
      </c>
      <c r="H108" s="81">
        <f>97100-10300</f>
        <v>86800</v>
      </c>
      <c r="I108" s="81"/>
      <c r="J108" s="81">
        <f t="shared" si="46"/>
        <v>0</v>
      </c>
      <c r="K108" s="81"/>
      <c r="L108" s="81"/>
      <c r="M108" s="81"/>
      <c r="N108" s="81"/>
      <c r="O108" s="81"/>
      <c r="P108" s="81">
        <f t="shared" si="45"/>
        <v>527800</v>
      </c>
      <c r="Q108" s="26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</row>
    <row r="109" spans="1:525" s="121" customFormat="1" ht="47.25" x14ac:dyDescent="0.25">
      <c r="A109" s="117" t="s">
        <v>463</v>
      </c>
      <c r="B109" s="117" t="s">
        <v>464</v>
      </c>
      <c r="C109" s="117" t="str">
        <f>'дод 6'!B69</f>
        <v>0990</v>
      </c>
      <c r="D109" s="122" t="str">
        <f>'дод 6'!C70</f>
        <v>Забезпечення діяльності інклюзивно-ресурсних центрів за рахунок освітньої субвенції, у т.ч. за рахунок:</v>
      </c>
      <c r="E109" s="81">
        <f t="shared" si="44"/>
        <v>1743560</v>
      </c>
      <c r="F109" s="81">
        <v>1743560</v>
      </c>
      <c r="G109" s="81">
        <v>1429160</v>
      </c>
      <c r="H109" s="81"/>
      <c r="I109" s="81"/>
      <c r="J109" s="81">
        <f t="shared" si="46"/>
        <v>0</v>
      </c>
      <c r="K109" s="81"/>
      <c r="L109" s="81"/>
      <c r="M109" s="81"/>
      <c r="N109" s="81"/>
      <c r="O109" s="81"/>
      <c r="P109" s="81">
        <f t="shared" si="45"/>
        <v>1743560</v>
      </c>
      <c r="Q109" s="260">
        <v>18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</row>
    <row r="110" spans="1:525" s="127" customFormat="1" ht="47.25" x14ac:dyDescent="0.25">
      <c r="A110" s="123"/>
      <c r="B110" s="123"/>
      <c r="C110" s="123"/>
      <c r="D110" s="125" t="s">
        <v>379</v>
      </c>
      <c r="E110" s="82">
        <f t="shared" si="44"/>
        <v>1743560</v>
      </c>
      <c r="F110" s="82">
        <v>1743560</v>
      </c>
      <c r="G110" s="82">
        <v>1429160</v>
      </c>
      <c r="H110" s="82"/>
      <c r="I110" s="82"/>
      <c r="J110" s="82">
        <f t="shared" si="46"/>
        <v>0</v>
      </c>
      <c r="K110" s="82"/>
      <c r="L110" s="82"/>
      <c r="M110" s="82"/>
      <c r="N110" s="82"/>
      <c r="O110" s="82"/>
      <c r="P110" s="82">
        <f t="shared" si="45"/>
        <v>1743560</v>
      </c>
      <c r="Q110" s="260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</row>
    <row r="111" spans="1:525" s="121" customFormat="1" ht="36" customHeight="1" x14ac:dyDescent="0.25">
      <c r="A111" s="117" t="s">
        <v>465</v>
      </c>
      <c r="B111" s="117" t="s">
        <v>466</v>
      </c>
      <c r="C111" s="117" t="str">
        <f>'дод 6'!B70</f>
        <v>0990</v>
      </c>
      <c r="D111" s="122" t="str">
        <f>'дод 6'!C72</f>
        <v>Забезпечення діяльності центрів професійного розвитку педагогічних працівників</v>
      </c>
      <c r="E111" s="81">
        <f t="shared" si="44"/>
        <v>2880400</v>
      </c>
      <c r="F111" s="81">
        <f>2913000-32600</f>
        <v>2880400</v>
      </c>
      <c r="G111" s="81">
        <v>1999300</v>
      </c>
      <c r="H111" s="81">
        <f>312200-32600</f>
        <v>279600</v>
      </c>
      <c r="I111" s="81"/>
      <c r="J111" s="81">
        <f t="shared" si="46"/>
        <v>0</v>
      </c>
      <c r="K111" s="81"/>
      <c r="L111" s="81"/>
      <c r="M111" s="81"/>
      <c r="N111" s="81"/>
      <c r="O111" s="81"/>
      <c r="P111" s="81">
        <f t="shared" si="45"/>
        <v>2880400</v>
      </c>
      <c r="Q111" s="26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</row>
    <row r="112" spans="1:525" s="121" customFormat="1" ht="63" hidden="1" customHeight="1" x14ac:dyDescent="0.25">
      <c r="A112" s="117" t="s">
        <v>527</v>
      </c>
      <c r="B112" s="117" t="s">
        <v>528</v>
      </c>
      <c r="C112" s="117" t="s">
        <v>57</v>
      </c>
      <c r="D112" s="122" t="str">
        <f>'дод 6'!C73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81">
        <f t="shared" si="44"/>
        <v>0</v>
      </c>
      <c r="F112" s="81"/>
      <c r="G112" s="81"/>
      <c r="H112" s="81"/>
      <c r="I112" s="81"/>
      <c r="J112" s="81">
        <f t="shared" si="46"/>
        <v>0</v>
      </c>
      <c r="K112" s="81">
        <f>2000000-2000000</f>
        <v>0</v>
      </c>
      <c r="L112" s="81"/>
      <c r="M112" s="81"/>
      <c r="N112" s="81"/>
      <c r="O112" s="81">
        <f>2000000-2000000</f>
        <v>0</v>
      </c>
      <c r="P112" s="81">
        <f t="shared" si="45"/>
        <v>0</v>
      </c>
      <c r="Q112" s="26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</row>
    <row r="113" spans="1:525" s="121" customFormat="1" ht="63" hidden="1" customHeight="1" x14ac:dyDescent="0.25">
      <c r="A113" s="117" t="s">
        <v>518</v>
      </c>
      <c r="B113" s="117" t="s">
        <v>520</v>
      </c>
      <c r="C113" s="117" t="s">
        <v>57</v>
      </c>
      <c r="D113" s="122" t="s">
        <v>547</v>
      </c>
      <c r="E113" s="81">
        <f t="shared" si="44"/>
        <v>0</v>
      </c>
      <c r="F113" s="81"/>
      <c r="G113" s="81"/>
      <c r="H113" s="81"/>
      <c r="I113" s="81"/>
      <c r="J113" s="81">
        <f t="shared" si="46"/>
        <v>0</v>
      </c>
      <c r="K113" s="81"/>
      <c r="L113" s="81"/>
      <c r="M113" s="81"/>
      <c r="N113" s="81"/>
      <c r="O113" s="81"/>
      <c r="P113" s="81">
        <f t="shared" si="45"/>
        <v>0</v>
      </c>
      <c r="Q113" s="26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</row>
    <row r="114" spans="1:525" s="127" customFormat="1" ht="47.25" hidden="1" customHeight="1" x14ac:dyDescent="0.25">
      <c r="A114" s="123"/>
      <c r="B114" s="123"/>
      <c r="C114" s="123"/>
      <c r="D114" s="125" t="s">
        <v>542</v>
      </c>
      <c r="E114" s="82">
        <f t="shared" si="44"/>
        <v>0</v>
      </c>
      <c r="F114" s="82"/>
      <c r="G114" s="82"/>
      <c r="H114" s="82"/>
      <c r="I114" s="82"/>
      <c r="J114" s="82">
        <f t="shared" si="46"/>
        <v>0</v>
      </c>
      <c r="K114" s="82"/>
      <c r="L114" s="82"/>
      <c r="M114" s="82"/>
      <c r="N114" s="82"/>
      <c r="O114" s="82"/>
      <c r="P114" s="82">
        <f t="shared" si="45"/>
        <v>0</v>
      </c>
      <c r="Q114" s="260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</row>
    <row r="115" spans="1:525" s="121" customFormat="1" ht="78.75" hidden="1" customHeight="1" x14ac:dyDescent="0.25">
      <c r="A115" s="117" t="s">
        <v>529</v>
      </c>
      <c r="B115" s="117" t="s">
        <v>530</v>
      </c>
      <c r="C115" s="117" t="s">
        <v>57</v>
      </c>
      <c r="D115" s="122" t="str">
        <f>'дод 6'!C76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81">
        <f t="shared" si="44"/>
        <v>0</v>
      </c>
      <c r="F115" s="81"/>
      <c r="G115" s="81"/>
      <c r="H115" s="81"/>
      <c r="I115" s="81"/>
      <c r="J115" s="81">
        <f t="shared" si="46"/>
        <v>0</v>
      </c>
      <c r="K115" s="81"/>
      <c r="L115" s="81"/>
      <c r="M115" s="81"/>
      <c r="N115" s="81"/>
      <c r="O115" s="81"/>
      <c r="P115" s="81">
        <f t="shared" si="45"/>
        <v>0</v>
      </c>
      <c r="Q115" s="26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</row>
    <row r="116" spans="1:525" s="121" customFormat="1" ht="15.75" hidden="1" customHeight="1" x14ac:dyDescent="0.25">
      <c r="A116" s="117"/>
      <c r="B116" s="117"/>
      <c r="C116" s="117"/>
      <c r="D116" s="125" t="s">
        <v>389</v>
      </c>
      <c r="E116" s="82">
        <f t="shared" si="44"/>
        <v>0</v>
      </c>
      <c r="F116" s="82"/>
      <c r="G116" s="81"/>
      <c r="H116" s="81"/>
      <c r="I116" s="81"/>
      <c r="J116" s="82">
        <f t="shared" si="46"/>
        <v>0</v>
      </c>
      <c r="K116" s="81"/>
      <c r="L116" s="81"/>
      <c r="M116" s="81"/>
      <c r="N116" s="81"/>
      <c r="O116" s="81"/>
      <c r="P116" s="82">
        <f t="shared" si="45"/>
        <v>0</v>
      </c>
      <c r="Q116" s="26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</row>
    <row r="117" spans="1:525" s="121" customFormat="1" ht="78.75" hidden="1" customHeight="1" x14ac:dyDescent="0.25">
      <c r="A117" s="117" t="s">
        <v>519</v>
      </c>
      <c r="B117" s="117" t="s">
        <v>521</v>
      </c>
      <c r="C117" s="117" t="s">
        <v>57</v>
      </c>
      <c r="D117" s="122" t="s">
        <v>543</v>
      </c>
      <c r="E117" s="81">
        <f t="shared" si="44"/>
        <v>0</v>
      </c>
      <c r="F117" s="81"/>
      <c r="G117" s="81"/>
      <c r="H117" s="81"/>
      <c r="I117" s="81"/>
      <c r="J117" s="81">
        <f t="shared" si="46"/>
        <v>0</v>
      </c>
      <c r="K117" s="81"/>
      <c r="L117" s="81"/>
      <c r="M117" s="81"/>
      <c r="N117" s="81"/>
      <c r="O117" s="81"/>
      <c r="P117" s="81">
        <f t="shared" si="45"/>
        <v>0</v>
      </c>
      <c r="Q117" s="26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  <c r="IW117" s="120"/>
      <c r="IX117" s="120"/>
      <c r="IY117" s="120"/>
      <c r="IZ117" s="120"/>
      <c r="JA117" s="120"/>
      <c r="JB117" s="120"/>
      <c r="JC117" s="120"/>
      <c r="JD117" s="120"/>
      <c r="JE117" s="120"/>
      <c r="JF117" s="120"/>
      <c r="JG117" s="120"/>
      <c r="JH117" s="120"/>
      <c r="JI117" s="120"/>
      <c r="JJ117" s="120"/>
      <c r="JK117" s="120"/>
      <c r="JL117" s="120"/>
      <c r="JM117" s="120"/>
      <c r="JN117" s="120"/>
      <c r="JO117" s="120"/>
      <c r="JP117" s="120"/>
      <c r="JQ117" s="120"/>
      <c r="JR117" s="120"/>
      <c r="JS117" s="120"/>
      <c r="JT117" s="120"/>
      <c r="JU117" s="120"/>
      <c r="JV117" s="120"/>
      <c r="JW117" s="120"/>
      <c r="JX117" s="120"/>
      <c r="JY117" s="120"/>
      <c r="JZ117" s="120"/>
      <c r="KA117" s="120"/>
      <c r="KB117" s="120"/>
      <c r="KC117" s="120"/>
      <c r="KD117" s="120"/>
      <c r="KE117" s="120"/>
      <c r="KF117" s="120"/>
      <c r="KG117" s="120"/>
      <c r="KH117" s="120"/>
      <c r="KI117" s="120"/>
      <c r="KJ117" s="120"/>
      <c r="KK117" s="120"/>
      <c r="KL117" s="120"/>
      <c r="KM117" s="120"/>
      <c r="KN117" s="120"/>
      <c r="KO117" s="120"/>
      <c r="KP117" s="120"/>
      <c r="KQ117" s="120"/>
      <c r="KR117" s="120"/>
      <c r="KS117" s="120"/>
      <c r="KT117" s="120"/>
      <c r="KU117" s="120"/>
      <c r="KV117" s="120"/>
      <c r="KW117" s="120"/>
      <c r="KX117" s="120"/>
      <c r="KY117" s="120"/>
      <c r="KZ117" s="120"/>
      <c r="LA117" s="120"/>
      <c r="LB117" s="120"/>
      <c r="LC117" s="120"/>
      <c r="LD117" s="120"/>
      <c r="LE117" s="120"/>
      <c r="LF117" s="120"/>
      <c r="LG117" s="120"/>
      <c r="LH117" s="120"/>
      <c r="LI117" s="120"/>
      <c r="LJ117" s="120"/>
      <c r="LK117" s="120"/>
      <c r="LL117" s="120"/>
      <c r="LM117" s="120"/>
      <c r="LN117" s="120"/>
      <c r="LO117" s="120"/>
      <c r="LP117" s="120"/>
      <c r="LQ117" s="120"/>
      <c r="LR117" s="120"/>
      <c r="LS117" s="120"/>
      <c r="LT117" s="120"/>
      <c r="LU117" s="120"/>
      <c r="LV117" s="120"/>
      <c r="LW117" s="120"/>
      <c r="LX117" s="120"/>
      <c r="LY117" s="120"/>
      <c r="LZ117" s="120"/>
      <c r="MA117" s="120"/>
      <c r="MB117" s="120"/>
      <c r="MC117" s="120"/>
      <c r="MD117" s="120"/>
      <c r="ME117" s="120"/>
      <c r="MF117" s="120"/>
      <c r="MG117" s="120"/>
      <c r="MH117" s="120"/>
      <c r="MI117" s="120"/>
      <c r="MJ117" s="120"/>
      <c r="MK117" s="120"/>
      <c r="ML117" s="120"/>
      <c r="MM117" s="120"/>
      <c r="MN117" s="120"/>
      <c r="MO117" s="120"/>
      <c r="MP117" s="120"/>
      <c r="MQ117" s="120"/>
      <c r="MR117" s="120"/>
      <c r="MS117" s="120"/>
      <c r="MT117" s="120"/>
      <c r="MU117" s="120"/>
      <c r="MV117" s="120"/>
      <c r="MW117" s="120"/>
      <c r="MX117" s="120"/>
      <c r="MY117" s="120"/>
      <c r="MZ117" s="120"/>
      <c r="NA117" s="120"/>
      <c r="NB117" s="120"/>
      <c r="NC117" s="120"/>
      <c r="ND117" s="120"/>
      <c r="NE117" s="120"/>
      <c r="NF117" s="120"/>
      <c r="NG117" s="120"/>
      <c r="NH117" s="120"/>
      <c r="NI117" s="120"/>
      <c r="NJ117" s="120"/>
      <c r="NK117" s="120"/>
      <c r="NL117" s="120"/>
      <c r="NM117" s="120"/>
      <c r="NN117" s="120"/>
      <c r="NO117" s="120"/>
      <c r="NP117" s="120"/>
      <c r="NQ117" s="120"/>
      <c r="NR117" s="120"/>
      <c r="NS117" s="120"/>
      <c r="NT117" s="120"/>
      <c r="NU117" s="120"/>
      <c r="NV117" s="120"/>
      <c r="NW117" s="120"/>
      <c r="NX117" s="120"/>
      <c r="NY117" s="120"/>
      <c r="NZ117" s="120"/>
      <c r="OA117" s="120"/>
      <c r="OB117" s="120"/>
      <c r="OC117" s="120"/>
      <c r="OD117" s="120"/>
      <c r="OE117" s="120"/>
      <c r="OF117" s="120"/>
      <c r="OG117" s="120"/>
      <c r="OH117" s="120"/>
      <c r="OI117" s="120"/>
      <c r="OJ117" s="120"/>
      <c r="OK117" s="120"/>
      <c r="OL117" s="120"/>
      <c r="OM117" s="120"/>
      <c r="ON117" s="120"/>
      <c r="OO117" s="120"/>
      <c r="OP117" s="120"/>
      <c r="OQ117" s="120"/>
      <c r="OR117" s="120"/>
      <c r="OS117" s="120"/>
      <c r="OT117" s="120"/>
      <c r="OU117" s="120"/>
      <c r="OV117" s="120"/>
      <c r="OW117" s="120"/>
      <c r="OX117" s="120"/>
      <c r="OY117" s="120"/>
      <c r="OZ117" s="120"/>
      <c r="PA117" s="120"/>
      <c r="PB117" s="120"/>
      <c r="PC117" s="120"/>
      <c r="PD117" s="120"/>
      <c r="PE117" s="120"/>
      <c r="PF117" s="120"/>
      <c r="PG117" s="120"/>
      <c r="PH117" s="120"/>
      <c r="PI117" s="120"/>
      <c r="PJ117" s="120"/>
      <c r="PK117" s="120"/>
      <c r="PL117" s="120"/>
      <c r="PM117" s="120"/>
      <c r="PN117" s="120"/>
      <c r="PO117" s="120"/>
      <c r="PP117" s="120"/>
      <c r="PQ117" s="120"/>
      <c r="PR117" s="120"/>
      <c r="PS117" s="120"/>
      <c r="PT117" s="120"/>
      <c r="PU117" s="120"/>
      <c r="PV117" s="120"/>
      <c r="PW117" s="120"/>
      <c r="PX117" s="120"/>
      <c r="PY117" s="120"/>
      <c r="PZ117" s="120"/>
      <c r="QA117" s="120"/>
      <c r="QB117" s="120"/>
      <c r="QC117" s="120"/>
      <c r="QD117" s="120"/>
      <c r="QE117" s="120"/>
      <c r="QF117" s="120"/>
      <c r="QG117" s="120"/>
      <c r="QH117" s="120"/>
      <c r="QI117" s="120"/>
      <c r="QJ117" s="120"/>
      <c r="QK117" s="120"/>
      <c r="QL117" s="120"/>
      <c r="QM117" s="120"/>
      <c r="QN117" s="120"/>
      <c r="QO117" s="120"/>
      <c r="QP117" s="120"/>
      <c r="QQ117" s="120"/>
      <c r="QR117" s="120"/>
      <c r="QS117" s="120"/>
      <c r="QT117" s="120"/>
      <c r="QU117" s="120"/>
      <c r="QV117" s="120"/>
      <c r="QW117" s="120"/>
      <c r="QX117" s="120"/>
      <c r="QY117" s="120"/>
      <c r="QZ117" s="120"/>
      <c r="RA117" s="120"/>
      <c r="RB117" s="120"/>
      <c r="RC117" s="120"/>
      <c r="RD117" s="120"/>
      <c r="RE117" s="120"/>
      <c r="RF117" s="120"/>
      <c r="RG117" s="120"/>
      <c r="RH117" s="120"/>
      <c r="RI117" s="120"/>
      <c r="RJ117" s="120"/>
      <c r="RK117" s="120"/>
      <c r="RL117" s="120"/>
      <c r="RM117" s="120"/>
      <c r="RN117" s="120"/>
      <c r="RO117" s="120"/>
      <c r="RP117" s="120"/>
      <c r="RQ117" s="120"/>
      <c r="RR117" s="120"/>
      <c r="RS117" s="120"/>
      <c r="RT117" s="120"/>
      <c r="RU117" s="120"/>
      <c r="RV117" s="120"/>
      <c r="RW117" s="120"/>
      <c r="RX117" s="120"/>
      <c r="RY117" s="120"/>
      <c r="RZ117" s="120"/>
      <c r="SA117" s="120"/>
      <c r="SB117" s="120"/>
      <c r="SC117" s="120"/>
      <c r="SD117" s="120"/>
      <c r="SE117" s="120"/>
      <c r="SF117" s="120"/>
      <c r="SG117" s="120"/>
      <c r="SH117" s="120"/>
      <c r="SI117" s="120"/>
      <c r="SJ117" s="120"/>
      <c r="SK117" s="120"/>
      <c r="SL117" s="120"/>
      <c r="SM117" s="120"/>
      <c r="SN117" s="120"/>
      <c r="SO117" s="120"/>
      <c r="SP117" s="120"/>
      <c r="SQ117" s="120"/>
      <c r="SR117" s="120"/>
      <c r="SS117" s="120"/>
      <c r="ST117" s="120"/>
      <c r="SU117" s="120"/>
      <c r="SV117" s="120"/>
      <c r="SW117" s="120"/>
      <c r="SX117" s="120"/>
      <c r="SY117" s="120"/>
      <c r="SZ117" s="120"/>
      <c r="TA117" s="120"/>
      <c r="TB117" s="120"/>
      <c r="TC117" s="120"/>
      <c r="TD117" s="120"/>
      <c r="TE117" s="120"/>
    </row>
    <row r="118" spans="1:525" s="127" customFormat="1" ht="63" hidden="1" customHeight="1" x14ac:dyDescent="0.25">
      <c r="A118" s="123"/>
      <c r="B118" s="123"/>
      <c r="C118" s="123"/>
      <c r="D118" s="125" t="s">
        <v>522</v>
      </c>
      <c r="E118" s="82">
        <f t="shared" si="44"/>
        <v>0</v>
      </c>
      <c r="F118" s="82"/>
      <c r="G118" s="82"/>
      <c r="H118" s="82"/>
      <c r="I118" s="82"/>
      <c r="J118" s="82">
        <f t="shared" si="46"/>
        <v>0</v>
      </c>
      <c r="K118" s="82"/>
      <c r="L118" s="82"/>
      <c r="M118" s="82"/>
      <c r="N118" s="82"/>
      <c r="O118" s="82"/>
      <c r="P118" s="82">
        <f t="shared" si="45"/>
        <v>0</v>
      </c>
      <c r="Q118" s="260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</row>
    <row r="119" spans="1:525" s="121" customFormat="1" ht="65.25" customHeight="1" x14ac:dyDescent="0.25">
      <c r="A119" s="117" t="s">
        <v>468</v>
      </c>
      <c r="B119" s="117" t="s">
        <v>469</v>
      </c>
      <c r="C119" s="117" t="s">
        <v>57</v>
      </c>
      <c r="D119" s="145" t="s">
        <v>482</v>
      </c>
      <c r="E119" s="81">
        <f t="shared" si="44"/>
        <v>1822724</v>
      </c>
      <c r="F119" s="81">
        <v>1822724</v>
      </c>
      <c r="G119" s="81">
        <v>1494036</v>
      </c>
      <c r="H119" s="81"/>
      <c r="I119" s="81"/>
      <c r="J119" s="81">
        <f t="shared" si="46"/>
        <v>0</v>
      </c>
      <c r="K119" s="81"/>
      <c r="L119" s="81"/>
      <c r="M119" s="81"/>
      <c r="N119" s="81"/>
      <c r="O119" s="81"/>
      <c r="P119" s="81">
        <f t="shared" si="45"/>
        <v>1822724</v>
      </c>
      <c r="Q119" s="26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</row>
    <row r="120" spans="1:525" s="127" customFormat="1" ht="63" customHeight="1" x14ac:dyDescent="0.25">
      <c r="A120" s="123"/>
      <c r="B120" s="144"/>
      <c r="C120" s="144"/>
      <c r="D120" s="125" t="s">
        <v>378</v>
      </c>
      <c r="E120" s="82">
        <f t="shared" si="44"/>
        <v>1822724</v>
      </c>
      <c r="F120" s="82">
        <v>1822724</v>
      </c>
      <c r="G120" s="82">
        <v>1494036</v>
      </c>
      <c r="H120" s="82"/>
      <c r="I120" s="82"/>
      <c r="J120" s="81">
        <f t="shared" si="46"/>
        <v>0</v>
      </c>
      <c r="K120" s="82"/>
      <c r="L120" s="82"/>
      <c r="M120" s="82"/>
      <c r="N120" s="82"/>
      <c r="O120" s="82"/>
      <c r="P120" s="82">
        <f t="shared" si="45"/>
        <v>1822724</v>
      </c>
      <c r="Q120" s="260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</row>
    <row r="121" spans="1:525" s="127" customFormat="1" ht="81.75" customHeight="1" x14ac:dyDescent="0.25">
      <c r="A121" s="117" t="s">
        <v>489</v>
      </c>
      <c r="B121" s="118">
        <v>1210</v>
      </c>
      <c r="C121" s="117" t="s">
        <v>57</v>
      </c>
      <c r="D121" s="119" t="s">
        <v>490</v>
      </c>
      <c r="E121" s="81">
        <f t="shared" si="44"/>
        <v>208630.37</v>
      </c>
      <c r="F121" s="81">
        <v>208630.37</v>
      </c>
      <c r="G121" s="81">
        <v>171010</v>
      </c>
      <c r="H121" s="82"/>
      <c r="I121" s="82"/>
      <c r="J121" s="81">
        <f t="shared" si="46"/>
        <v>0</v>
      </c>
      <c r="K121" s="82"/>
      <c r="L121" s="82"/>
      <c r="M121" s="82"/>
      <c r="N121" s="82"/>
      <c r="O121" s="82"/>
      <c r="P121" s="81">
        <f t="shared" si="45"/>
        <v>208630.37</v>
      </c>
      <c r="Q121" s="260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</row>
    <row r="122" spans="1:525" s="127" customFormat="1" ht="81" customHeight="1" x14ac:dyDescent="0.25">
      <c r="A122" s="123"/>
      <c r="B122" s="144"/>
      <c r="C122" s="144"/>
      <c r="D122" s="125" t="s">
        <v>491</v>
      </c>
      <c r="E122" s="82">
        <f t="shared" si="44"/>
        <v>208630.37</v>
      </c>
      <c r="F122" s="82">
        <v>208630.37</v>
      </c>
      <c r="G122" s="82">
        <v>171010</v>
      </c>
      <c r="H122" s="82"/>
      <c r="I122" s="82"/>
      <c r="J122" s="81">
        <f t="shared" si="46"/>
        <v>0</v>
      </c>
      <c r="K122" s="82"/>
      <c r="L122" s="82"/>
      <c r="M122" s="82"/>
      <c r="N122" s="82"/>
      <c r="O122" s="82"/>
      <c r="P122" s="81">
        <f t="shared" si="45"/>
        <v>208630.37</v>
      </c>
      <c r="Q122" s="260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</row>
    <row r="123" spans="1:525" s="127" customFormat="1" ht="64.5" hidden="1" customHeight="1" x14ac:dyDescent="0.25">
      <c r="A123" s="117" t="s">
        <v>470</v>
      </c>
      <c r="B123" s="118">
        <v>3140</v>
      </c>
      <c r="C123" s="118">
        <v>1040</v>
      </c>
      <c r="D123" s="132" t="str">
        <f>'дод 6'!C136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82">
        <f t="shared" si="44"/>
        <v>0</v>
      </c>
      <c r="F123" s="81">
        <f>2000000-2000000</f>
        <v>0</v>
      </c>
      <c r="G123" s="81"/>
      <c r="H123" s="81"/>
      <c r="I123" s="81"/>
      <c r="J123" s="81">
        <f t="shared" si="46"/>
        <v>0</v>
      </c>
      <c r="K123" s="82"/>
      <c r="L123" s="82"/>
      <c r="M123" s="82"/>
      <c r="N123" s="82"/>
      <c r="O123" s="82"/>
      <c r="P123" s="81">
        <f t="shared" si="45"/>
        <v>0</v>
      </c>
      <c r="Q123" s="260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</row>
    <row r="124" spans="1:525" s="127" customFormat="1" ht="64.5" customHeight="1" x14ac:dyDescent="0.25">
      <c r="A124" s="117" t="s">
        <v>701</v>
      </c>
      <c r="B124" s="118">
        <v>1261</v>
      </c>
      <c r="C124" s="117" t="s">
        <v>57</v>
      </c>
      <c r="D124" s="132" t="s">
        <v>700</v>
      </c>
      <c r="E124" s="82">
        <f>F124+I124</f>
        <v>0</v>
      </c>
      <c r="F124" s="81"/>
      <c r="G124" s="81"/>
      <c r="H124" s="81"/>
      <c r="I124" s="81"/>
      <c r="J124" s="81">
        <f t="shared" si="46"/>
        <v>9718150</v>
      </c>
      <c r="K124" s="81">
        <v>9718150</v>
      </c>
      <c r="L124" s="81"/>
      <c r="M124" s="81"/>
      <c r="N124" s="81"/>
      <c r="O124" s="81">
        <v>9718150</v>
      </c>
      <c r="P124" s="81">
        <f t="shared" si="45"/>
        <v>9718150</v>
      </c>
      <c r="Q124" s="260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</row>
    <row r="125" spans="1:525" s="127" customFormat="1" ht="64.5" customHeight="1" x14ac:dyDescent="0.25">
      <c r="A125" s="117" t="s">
        <v>702</v>
      </c>
      <c r="B125" s="118">
        <v>1262</v>
      </c>
      <c r="C125" s="117" t="s">
        <v>57</v>
      </c>
      <c r="D125" s="132" t="s">
        <v>703</v>
      </c>
      <c r="E125" s="82">
        <f>F125+I125</f>
        <v>0</v>
      </c>
      <c r="F125" s="81"/>
      <c r="G125" s="81"/>
      <c r="H125" s="81"/>
      <c r="I125" s="81"/>
      <c r="J125" s="81">
        <f t="shared" si="46"/>
        <v>22175500</v>
      </c>
      <c r="K125" s="81">
        <v>22175500</v>
      </c>
      <c r="L125" s="81"/>
      <c r="M125" s="81"/>
      <c r="N125" s="81"/>
      <c r="O125" s="81">
        <v>22175500</v>
      </c>
      <c r="P125" s="81">
        <f t="shared" si="45"/>
        <v>22175500</v>
      </c>
      <c r="Q125" s="260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</row>
    <row r="126" spans="1:525" s="127" customFormat="1" ht="64.5" customHeight="1" x14ac:dyDescent="0.25">
      <c r="A126" s="117"/>
      <c r="B126" s="118"/>
      <c r="C126" s="118"/>
      <c r="D126" s="146" t="s">
        <v>704</v>
      </c>
      <c r="E126" s="82">
        <f t="shared" ref="E126:E127" si="54">F126+I126</f>
        <v>0</v>
      </c>
      <c r="F126" s="81"/>
      <c r="G126" s="81"/>
      <c r="H126" s="81"/>
      <c r="I126" s="81"/>
      <c r="J126" s="82">
        <f t="shared" si="46"/>
        <v>22175500</v>
      </c>
      <c r="K126" s="82">
        <v>22175500</v>
      </c>
      <c r="L126" s="82"/>
      <c r="M126" s="82"/>
      <c r="N126" s="82"/>
      <c r="O126" s="82">
        <v>22175500</v>
      </c>
      <c r="P126" s="82">
        <f t="shared" si="45"/>
        <v>22175500</v>
      </c>
      <c r="Q126" s="260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</row>
    <row r="127" spans="1:525" s="127" customFormat="1" ht="63" x14ac:dyDescent="0.25">
      <c r="A127" s="117" t="s">
        <v>727</v>
      </c>
      <c r="B127" s="118" t="str">
        <f>'дод 6'!A87</f>
        <v>1271</v>
      </c>
      <c r="C127" s="117" t="s">
        <v>57</v>
      </c>
      <c r="D127" s="153" t="str">
        <f>'дод 6'!C87</f>
        <v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v>
      </c>
      <c r="E127" s="81">
        <f t="shared" si="54"/>
        <v>823899</v>
      </c>
      <c r="F127" s="81">
        <v>823899</v>
      </c>
      <c r="G127" s="81"/>
      <c r="H127" s="81"/>
      <c r="I127" s="81"/>
      <c r="J127" s="81">
        <f t="shared" si="46"/>
        <v>235714</v>
      </c>
      <c r="K127" s="81">
        <v>235714</v>
      </c>
      <c r="L127" s="81"/>
      <c r="M127" s="81"/>
      <c r="N127" s="81"/>
      <c r="O127" s="81">
        <v>235714</v>
      </c>
      <c r="P127" s="82">
        <f t="shared" si="45"/>
        <v>1059613</v>
      </c>
      <c r="Q127" s="260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</row>
    <row r="128" spans="1:525" s="127" customFormat="1" ht="63" x14ac:dyDescent="0.25">
      <c r="A128" s="117" t="s">
        <v>726</v>
      </c>
      <c r="B128" s="118" t="str">
        <f>'дод 6'!A88</f>
        <v>1272</v>
      </c>
      <c r="C128" s="117" t="s">
        <v>57</v>
      </c>
      <c r="D128" s="153" t="str">
        <f>'дод 6'!C88</f>
        <v>Реалізація заходів за рахунок освітньої субвенції з державного бюджету місцевим бюджетам (за спеціальним фондом державного бюджету) у т.ч. за рахунок:</v>
      </c>
      <c r="E128" s="82">
        <f t="shared" ref="E128:E129" si="55">F128+I128</f>
        <v>0</v>
      </c>
      <c r="F128" s="81"/>
      <c r="G128" s="81"/>
      <c r="H128" s="81"/>
      <c r="I128" s="81"/>
      <c r="J128" s="81">
        <f>L128+O128</f>
        <v>2797912</v>
      </c>
      <c r="K128" s="81"/>
      <c r="L128" s="81">
        <v>1922428</v>
      </c>
      <c r="M128" s="81"/>
      <c r="N128" s="81"/>
      <c r="O128" s="81">
        <v>875484</v>
      </c>
      <c r="P128" s="81">
        <f>E128+J128</f>
        <v>2797912</v>
      </c>
      <c r="Q128" s="260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</row>
    <row r="129" spans="1:525" s="127" customFormat="1" ht="47.25" x14ac:dyDescent="0.25">
      <c r="A129" s="123"/>
      <c r="B129" s="144"/>
      <c r="C129" s="144"/>
      <c r="D129" s="228" t="s">
        <v>379</v>
      </c>
      <c r="E129" s="82">
        <f t="shared" si="55"/>
        <v>0</v>
      </c>
      <c r="F129" s="82"/>
      <c r="G129" s="82"/>
      <c r="H129" s="82"/>
      <c r="I129" s="82"/>
      <c r="J129" s="82">
        <f>L129+O129</f>
        <v>2797912</v>
      </c>
      <c r="K129" s="82"/>
      <c r="L129" s="82">
        <v>1922428</v>
      </c>
      <c r="M129" s="82"/>
      <c r="N129" s="82"/>
      <c r="O129" s="82">
        <v>875484</v>
      </c>
      <c r="P129" s="82">
        <f>E129+J129</f>
        <v>2797912</v>
      </c>
      <c r="Q129" s="260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</row>
    <row r="130" spans="1:525" s="127" customFormat="1" ht="31.5" x14ac:dyDescent="0.25">
      <c r="A130" s="117" t="s">
        <v>471</v>
      </c>
      <c r="B130" s="118">
        <v>3242</v>
      </c>
      <c r="C130" s="118">
        <v>1090</v>
      </c>
      <c r="D130" s="119" t="s">
        <v>403</v>
      </c>
      <c r="E130" s="81">
        <f>F130+I130</f>
        <v>85070</v>
      </c>
      <c r="F130" s="81">
        <f>72400+5430+7240</f>
        <v>85070</v>
      </c>
      <c r="G130" s="81"/>
      <c r="H130" s="81"/>
      <c r="I130" s="81"/>
      <c r="J130" s="81">
        <f t="shared" si="46"/>
        <v>0</v>
      </c>
      <c r="K130" s="82"/>
      <c r="L130" s="82"/>
      <c r="M130" s="82"/>
      <c r="N130" s="82"/>
      <c r="O130" s="82"/>
      <c r="P130" s="81">
        <f t="shared" si="45"/>
        <v>85070</v>
      </c>
      <c r="Q130" s="260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</row>
    <row r="131" spans="1:525" s="127" customFormat="1" ht="31.5" x14ac:dyDescent="0.25">
      <c r="A131" s="117" t="s">
        <v>473</v>
      </c>
      <c r="B131" s="118">
        <v>5031</v>
      </c>
      <c r="C131" s="117" t="s">
        <v>79</v>
      </c>
      <c r="D131" s="128" t="str">
        <f>'дод 6'!C165</f>
        <v>Утримання та навчально-тренувальна робота комунальних дитячо-юнацьких спортивних шкіл</v>
      </c>
      <c r="E131" s="81">
        <f t="shared" si="44"/>
        <v>11736000</v>
      </c>
      <c r="F131" s="81">
        <f>10876500+3500+500000+180000+220000-44000</f>
        <v>11736000</v>
      </c>
      <c r="G131" s="81">
        <f>7906000+410000</f>
        <v>8316000</v>
      </c>
      <c r="H131" s="81">
        <f>423100+3500-44000</f>
        <v>382600</v>
      </c>
      <c r="I131" s="81"/>
      <c r="J131" s="81">
        <f t="shared" si="46"/>
        <v>100000</v>
      </c>
      <c r="K131" s="81">
        <v>100000</v>
      </c>
      <c r="L131" s="82"/>
      <c r="M131" s="82"/>
      <c r="N131" s="82"/>
      <c r="O131" s="81">
        <v>100000</v>
      </c>
      <c r="P131" s="81">
        <f t="shared" si="45"/>
        <v>11836000</v>
      </c>
      <c r="Q131" s="260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</row>
    <row r="132" spans="1:525" s="127" customFormat="1" ht="23.25" hidden="1" customHeight="1" x14ac:dyDescent="0.25">
      <c r="A132" s="123"/>
      <c r="B132" s="144"/>
      <c r="C132" s="123"/>
      <c r="D132" s="125" t="s">
        <v>389</v>
      </c>
      <c r="E132" s="81">
        <f t="shared" si="44"/>
        <v>0</v>
      </c>
      <c r="F132" s="82"/>
      <c r="G132" s="82"/>
      <c r="H132" s="82"/>
      <c r="I132" s="82"/>
      <c r="J132" s="81">
        <f t="shared" si="46"/>
        <v>0</v>
      </c>
      <c r="K132" s="82"/>
      <c r="L132" s="82"/>
      <c r="M132" s="82"/>
      <c r="N132" s="82"/>
      <c r="O132" s="82"/>
      <c r="P132" s="81">
        <f t="shared" si="45"/>
        <v>0</v>
      </c>
      <c r="Q132" s="260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</row>
    <row r="133" spans="1:525" s="127" customFormat="1" ht="42" hidden="1" customHeight="1" x14ac:dyDescent="0.25">
      <c r="A133" s="117" t="s">
        <v>474</v>
      </c>
      <c r="B133" s="118">
        <v>7321</v>
      </c>
      <c r="C133" s="117" t="s">
        <v>110</v>
      </c>
      <c r="D133" s="132" t="str">
        <f>'дод 6'!C200</f>
        <v>Будівництво1 освітніх установ та закладів</v>
      </c>
      <c r="E133" s="81">
        <f t="shared" si="44"/>
        <v>0</v>
      </c>
      <c r="F133" s="81"/>
      <c r="G133" s="81"/>
      <c r="H133" s="81"/>
      <c r="I133" s="81"/>
      <c r="J133" s="81">
        <f t="shared" si="46"/>
        <v>0</v>
      </c>
      <c r="K133" s="81"/>
      <c r="L133" s="81"/>
      <c r="M133" s="81"/>
      <c r="N133" s="81"/>
      <c r="O133" s="81"/>
      <c r="P133" s="81">
        <f t="shared" si="45"/>
        <v>0</v>
      </c>
      <c r="Q133" s="260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</row>
    <row r="134" spans="1:525" s="127" customFormat="1" ht="21" hidden="1" customHeight="1" x14ac:dyDescent="0.25">
      <c r="A134" s="117"/>
      <c r="B134" s="118"/>
      <c r="C134" s="117"/>
      <c r="D134" s="125" t="s">
        <v>389</v>
      </c>
      <c r="E134" s="81">
        <f t="shared" si="44"/>
        <v>0</v>
      </c>
      <c r="F134" s="81"/>
      <c r="G134" s="81"/>
      <c r="H134" s="81"/>
      <c r="I134" s="81"/>
      <c r="J134" s="81">
        <f t="shared" si="46"/>
        <v>0</v>
      </c>
      <c r="K134" s="82"/>
      <c r="L134" s="81"/>
      <c r="M134" s="81"/>
      <c r="N134" s="81"/>
      <c r="O134" s="82"/>
      <c r="P134" s="81">
        <f t="shared" si="45"/>
        <v>0</v>
      </c>
      <c r="Q134" s="260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  <c r="IW134" s="126"/>
      <c r="IX134" s="126"/>
      <c r="IY134" s="126"/>
      <c r="IZ134" s="126"/>
      <c r="JA134" s="126"/>
      <c r="JB134" s="126"/>
      <c r="JC134" s="126"/>
      <c r="JD134" s="126"/>
      <c r="JE134" s="126"/>
      <c r="JF134" s="126"/>
      <c r="JG134" s="126"/>
      <c r="JH134" s="126"/>
      <c r="JI134" s="126"/>
      <c r="JJ134" s="126"/>
      <c r="JK134" s="126"/>
      <c r="JL134" s="126"/>
      <c r="JM134" s="126"/>
      <c r="JN134" s="126"/>
      <c r="JO134" s="126"/>
      <c r="JP134" s="126"/>
      <c r="JQ134" s="126"/>
      <c r="JR134" s="126"/>
      <c r="JS134" s="126"/>
      <c r="JT134" s="126"/>
      <c r="JU134" s="126"/>
      <c r="JV134" s="126"/>
      <c r="JW134" s="126"/>
      <c r="JX134" s="126"/>
      <c r="JY134" s="126"/>
      <c r="JZ134" s="126"/>
      <c r="KA134" s="126"/>
      <c r="KB134" s="126"/>
      <c r="KC134" s="126"/>
      <c r="KD134" s="126"/>
      <c r="KE134" s="126"/>
      <c r="KF134" s="126"/>
      <c r="KG134" s="126"/>
      <c r="KH134" s="126"/>
      <c r="KI134" s="126"/>
      <c r="KJ134" s="126"/>
      <c r="KK134" s="126"/>
      <c r="KL134" s="126"/>
      <c r="KM134" s="126"/>
      <c r="KN134" s="126"/>
      <c r="KO134" s="126"/>
      <c r="KP134" s="126"/>
      <c r="KQ134" s="126"/>
      <c r="KR134" s="126"/>
      <c r="KS134" s="126"/>
      <c r="KT134" s="126"/>
      <c r="KU134" s="126"/>
      <c r="KV134" s="126"/>
      <c r="KW134" s="126"/>
      <c r="KX134" s="126"/>
      <c r="KY134" s="126"/>
      <c r="KZ134" s="126"/>
      <c r="LA134" s="126"/>
      <c r="LB134" s="126"/>
      <c r="LC134" s="126"/>
      <c r="LD134" s="126"/>
      <c r="LE134" s="126"/>
      <c r="LF134" s="126"/>
      <c r="LG134" s="126"/>
      <c r="LH134" s="126"/>
      <c r="LI134" s="126"/>
      <c r="LJ134" s="126"/>
      <c r="LK134" s="126"/>
      <c r="LL134" s="126"/>
      <c r="LM134" s="126"/>
      <c r="LN134" s="126"/>
      <c r="LO134" s="126"/>
      <c r="LP134" s="126"/>
      <c r="LQ134" s="126"/>
      <c r="LR134" s="126"/>
      <c r="LS134" s="126"/>
      <c r="LT134" s="126"/>
      <c r="LU134" s="126"/>
      <c r="LV134" s="126"/>
      <c r="LW134" s="126"/>
      <c r="LX134" s="126"/>
      <c r="LY134" s="126"/>
      <c r="LZ134" s="126"/>
      <c r="MA134" s="126"/>
      <c r="MB134" s="126"/>
      <c r="MC134" s="126"/>
      <c r="MD134" s="126"/>
      <c r="ME134" s="126"/>
      <c r="MF134" s="126"/>
      <c r="MG134" s="126"/>
      <c r="MH134" s="126"/>
      <c r="MI134" s="126"/>
      <c r="MJ134" s="126"/>
      <c r="MK134" s="126"/>
      <c r="ML134" s="126"/>
      <c r="MM134" s="126"/>
      <c r="MN134" s="126"/>
      <c r="MO134" s="126"/>
      <c r="MP134" s="126"/>
      <c r="MQ134" s="126"/>
      <c r="MR134" s="126"/>
      <c r="MS134" s="126"/>
      <c r="MT134" s="126"/>
      <c r="MU134" s="126"/>
      <c r="MV134" s="126"/>
      <c r="MW134" s="126"/>
      <c r="MX134" s="126"/>
      <c r="MY134" s="126"/>
      <c r="MZ134" s="126"/>
      <c r="NA134" s="126"/>
      <c r="NB134" s="126"/>
      <c r="NC134" s="126"/>
      <c r="ND134" s="126"/>
      <c r="NE134" s="126"/>
      <c r="NF134" s="126"/>
      <c r="NG134" s="126"/>
      <c r="NH134" s="126"/>
      <c r="NI134" s="126"/>
      <c r="NJ134" s="126"/>
      <c r="NK134" s="126"/>
      <c r="NL134" s="126"/>
      <c r="NM134" s="126"/>
      <c r="NN134" s="126"/>
      <c r="NO134" s="126"/>
      <c r="NP134" s="126"/>
      <c r="NQ134" s="126"/>
      <c r="NR134" s="126"/>
      <c r="NS134" s="126"/>
      <c r="NT134" s="126"/>
      <c r="NU134" s="126"/>
      <c r="NV134" s="126"/>
      <c r="NW134" s="126"/>
      <c r="NX134" s="126"/>
      <c r="NY134" s="126"/>
      <c r="NZ134" s="126"/>
      <c r="OA134" s="126"/>
      <c r="OB134" s="126"/>
      <c r="OC134" s="126"/>
      <c r="OD134" s="126"/>
      <c r="OE134" s="126"/>
      <c r="OF134" s="126"/>
      <c r="OG134" s="126"/>
      <c r="OH134" s="126"/>
      <c r="OI134" s="126"/>
      <c r="OJ134" s="126"/>
      <c r="OK134" s="126"/>
      <c r="OL134" s="126"/>
      <c r="OM134" s="126"/>
      <c r="ON134" s="126"/>
      <c r="OO134" s="126"/>
      <c r="OP134" s="126"/>
      <c r="OQ134" s="126"/>
      <c r="OR134" s="126"/>
      <c r="OS134" s="126"/>
      <c r="OT134" s="126"/>
      <c r="OU134" s="126"/>
      <c r="OV134" s="126"/>
      <c r="OW134" s="126"/>
      <c r="OX134" s="126"/>
      <c r="OY134" s="126"/>
      <c r="OZ134" s="126"/>
      <c r="PA134" s="126"/>
      <c r="PB134" s="126"/>
      <c r="PC134" s="126"/>
      <c r="PD134" s="126"/>
      <c r="PE134" s="126"/>
      <c r="PF134" s="126"/>
      <c r="PG134" s="126"/>
      <c r="PH134" s="126"/>
      <c r="PI134" s="126"/>
      <c r="PJ134" s="126"/>
      <c r="PK134" s="126"/>
      <c r="PL134" s="126"/>
      <c r="PM134" s="126"/>
      <c r="PN134" s="126"/>
      <c r="PO134" s="126"/>
      <c r="PP134" s="126"/>
      <c r="PQ134" s="126"/>
      <c r="PR134" s="126"/>
      <c r="PS134" s="126"/>
      <c r="PT134" s="126"/>
      <c r="PU134" s="126"/>
      <c r="PV134" s="126"/>
      <c r="PW134" s="126"/>
      <c r="PX134" s="126"/>
      <c r="PY134" s="126"/>
      <c r="PZ134" s="126"/>
      <c r="QA134" s="126"/>
      <c r="QB134" s="126"/>
      <c r="QC134" s="126"/>
      <c r="QD134" s="126"/>
      <c r="QE134" s="126"/>
      <c r="QF134" s="126"/>
      <c r="QG134" s="126"/>
      <c r="QH134" s="126"/>
      <c r="QI134" s="126"/>
      <c r="QJ134" s="126"/>
      <c r="QK134" s="126"/>
      <c r="QL134" s="126"/>
      <c r="QM134" s="126"/>
      <c r="QN134" s="126"/>
      <c r="QO134" s="126"/>
      <c r="QP134" s="126"/>
      <c r="QQ134" s="126"/>
      <c r="QR134" s="126"/>
      <c r="QS134" s="126"/>
      <c r="QT134" s="126"/>
      <c r="QU134" s="126"/>
      <c r="QV134" s="126"/>
      <c r="QW134" s="126"/>
      <c r="QX134" s="126"/>
      <c r="QY134" s="126"/>
      <c r="QZ134" s="126"/>
      <c r="RA134" s="126"/>
      <c r="RB134" s="126"/>
      <c r="RC134" s="126"/>
      <c r="RD134" s="126"/>
      <c r="RE134" s="126"/>
      <c r="RF134" s="126"/>
      <c r="RG134" s="126"/>
      <c r="RH134" s="126"/>
      <c r="RI134" s="126"/>
      <c r="RJ134" s="126"/>
      <c r="RK134" s="126"/>
      <c r="RL134" s="126"/>
      <c r="RM134" s="126"/>
      <c r="RN134" s="126"/>
      <c r="RO134" s="126"/>
      <c r="RP134" s="126"/>
      <c r="RQ134" s="126"/>
      <c r="RR134" s="126"/>
      <c r="RS134" s="126"/>
      <c r="RT134" s="126"/>
      <c r="RU134" s="126"/>
      <c r="RV134" s="126"/>
      <c r="RW134" s="126"/>
      <c r="RX134" s="126"/>
      <c r="RY134" s="126"/>
      <c r="RZ134" s="126"/>
      <c r="SA134" s="126"/>
      <c r="SB134" s="126"/>
      <c r="SC134" s="126"/>
      <c r="SD134" s="126"/>
      <c r="SE134" s="126"/>
      <c r="SF134" s="126"/>
      <c r="SG134" s="126"/>
      <c r="SH134" s="126"/>
      <c r="SI134" s="126"/>
      <c r="SJ134" s="126"/>
      <c r="SK134" s="126"/>
      <c r="SL134" s="126"/>
      <c r="SM134" s="126"/>
      <c r="SN134" s="126"/>
      <c r="SO134" s="126"/>
      <c r="SP134" s="126"/>
      <c r="SQ134" s="126"/>
      <c r="SR134" s="126"/>
      <c r="SS134" s="126"/>
      <c r="ST134" s="126"/>
      <c r="SU134" s="126"/>
      <c r="SV134" s="126"/>
      <c r="SW134" s="126"/>
      <c r="SX134" s="126"/>
      <c r="SY134" s="126"/>
      <c r="SZ134" s="126"/>
      <c r="TA134" s="126"/>
      <c r="TB134" s="126"/>
      <c r="TC134" s="126"/>
      <c r="TD134" s="126"/>
      <c r="TE134" s="126"/>
    </row>
    <row r="135" spans="1:525" s="127" customFormat="1" ht="47.25" hidden="1" customHeight="1" x14ac:dyDescent="0.25">
      <c r="A135" s="117" t="s">
        <v>515</v>
      </c>
      <c r="B135" s="118">
        <v>7363</v>
      </c>
      <c r="C135" s="117" t="s">
        <v>81</v>
      </c>
      <c r="D135" s="132" t="s">
        <v>575</v>
      </c>
      <c r="E135" s="81">
        <f t="shared" si="44"/>
        <v>0</v>
      </c>
      <c r="F135" s="81"/>
      <c r="G135" s="81"/>
      <c r="H135" s="81"/>
      <c r="I135" s="81"/>
      <c r="J135" s="81">
        <f t="shared" si="46"/>
        <v>0</v>
      </c>
      <c r="K135" s="81"/>
      <c r="L135" s="81"/>
      <c r="M135" s="81"/>
      <c r="N135" s="81"/>
      <c r="O135" s="81"/>
      <c r="P135" s="81">
        <f t="shared" si="45"/>
        <v>0</v>
      </c>
      <c r="Q135" s="260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  <c r="IW135" s="126"/>
      <c r="IX135" s="126"/>
      <c r="IY135" s="126"/>
      <c r="IZ135" s="126"/>
      <c r="JA135" s="126"/>
      <c r="JB135" s="126"/>
      <c r="JC135" s="126"/>
      <c r="JD135" s="126"/>
      <c r="JE135" s="126"/>
      <c r="JF135" s="126"/>
      <c r="JG135" s="126"/>
      <c r="JH135" s="126"/>
      <c r="JI135" s="126"/>
      <c r="JJ135" s="126"/>
      <c r="JK135" s="126"/>
      <c r="JL135" s="126"/>
      <c r="JM135" s="126"/>
      <c r="JN135" s="126"/>
      <c r="JO135" s="126"/>
      <c r="JP135" s="126"/>
      <c r="JQ135" s="126"/>
      <c r="JR135" s="126"/>
      <c r="JS135" s="126"/>
      <c r="JT135" s="126"/>
      <c r="JU135" s="126"/>
      <c r="JV135" s="126"/>
      <c r="JW135" s="126"/>
      <c r="JX135" s="126"/>
      <c r="JY135" s="126"/>
      <c r="JZ135" s="126"/>
      <c r="KA135" s="126"/>
      <c r="KB135" s="126"/>
      <c r="KC135" s="126"/>
      <c r="KD135" s="126"/>
      <c r="KE135" s="126"/>
      <c r="KF135" s="126"/>
      <c r="KG135" s="126"/>
      <c r="KH135" s="126"/>
      <c r="KI135" s="126"/>
      <c r="KJ135" s="126"/>
      <c r="KK135" s="126"/>
      <c r="KL135" s="126"/>
      <c r="KM135" s="126"/>
      <c r="KN135" s="126"/>
      <c r="KO135" s="126"/>
      <c r="KP135" s="126"/>
      <c r="KQ135" s="126"/>
      <c r="KR135" s="126"/>
      <c r="KS135" s="126"/>
      <c r="KT135" s="126"/>
      <c r="KU135" s="126"/>
      <c r="KV135" s="126"/>
      <c r="KW135" s="126"/>
      <c r="KX135" s="126"/>
      <c r="KY135" s="126"/>
      <c r="KZ135" s="126"/>
      <c r="LA135" s="126"/>
      <c r="LB135" s="126"/>
      <c r="LC135" s="126"/>
      <c r="LD135" s="126"/>
      <c r="LE135" s="126"/>
      <c r="LF135" s="126"/>
      <c r="LG135" s="126"/>
      <c r="LH135" s="126"/>
      <c r="LI135" s="126"/>
      <c r="LJ135" s="126"/>
      <c r="LK135" s="126"/>
      <c r="LL135" s="126"/>
      <c r="LM135" s="126"/>
      <c r="LN135" s="126"/>
      <c r="LO135" s="126"/>
      <c r="LP135" s="126"/>
      <c r="LQ135" s="126"/>
      <c r="LR135" s="126"/>
      <c r="LS135" s="126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6"/>
      <c r="MU135" s="126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6"/>
      <c r="NT135" s="126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126"/>
      <c r="OT135" s="126"/>
      <c r="OU135" s="126"/>
      <c r="OV135" s="126"/>
      <c r="OW135" s="126"/>
      <c r="OX135" s="126"/>
      <c r="OY135" s="126"/>
      <c r="OZ135" s="126"/>
      <c r="PA135" s="126"/>
      <c r="PB135" s="126"/>
      <c r="PC135" s="126"/>
      <c r="PD135" s="126"/>
      <c r="PE135" s="126"/>
      <c r="PF135" s="126"/>
      <c r="PG135" s="126"/>
      <c r="PH135" s="126"/>
      <c r="PI135" s="126"/>
      <c r="PJ135" s="126"/>
      <c r="PK135" s="126"/>
      <c r="PL135" s="126"/>
      <c r="PM135" s="126"/>
      <c r="PN135" s="126"/>
      <c r="PO135" s="126"/>
      <c r="PP135" s="126"/>
      <c r="PQ135" s="126"/>
      <c r="PR135" s="126"/>
      <c r="PS135" s="126"/>
      <c r="PT135" s="126"/>
      <c r="PU135" s="126"/>
      <c r="PV135" s="126"/>
      <c r="PW135" s="126"/>
      <c r="PX135" s="126"/>
      <c r="PY135" s="126"/>
      <c r="PZ135" s="126"/>
      <c r="QA135" s="126"/>
      <c r="QB135" s="126"/>
      <c r="QC135" s="126"/>
      <c r="QD135" s="126"/>
      <c r="QE135" s="126"/>
      <c r="QF135" s="126"/>
      <c r="QG135" s="126"/>
      <c r="QH135" s="126"/>
      <c r="QI135" s="126"/>
      <c r="QJ135" s="126"/>
      <c r="QK135" s="126"/>
      <c r="QL135" s="126"/>
      <c r="QM135" s="126"/>
      <c r="QN135" s="126"/>
      <c r="QO135" s="126"/>
      <c r="QP135" s="126"/>
      <c r="QQ135" s="126"/>
      <c r="QR135" s="126"/>
      <c r="QS135" s="126"/>
      <c r="QT135" s="126"/>
      <c r="QU135" s="126"/>
      <c r="QV135" s="126"/>
      <c r="QW135" s="126"/>
      <c r="QX135" s="126"/>
      <c r="QY135" s="126"/>
      <c r="QZ135" s="126"/>
      <c r="RA135" s="126"/>
      <c r="RB135" s="126"/>
      <c r="RC135" s="126"/>
      <c r="RD135" s="126"/>
      <c r="RE135" s="126"/>
      <c r="RF135" s="126"/>
      <c r="RG135" s="126"/>
      <c r="RH135" s="126"/>
      <c r="RI135" s="126"/>
      <c r="RJ135" s="126"/>
      <c r="RK135" s="126"/>
      <c r="RL135" s="126"/>
      <c r="RM135" s="126"/>
      <c r="RN135" s="126"/>
      <c r="RO135" s="126"/>
      <c r="RP135" s="126"/>
      <c r="RQ135" s="126"/>
      <c r="RR135" s="126"/>
      <c r="RS135" s="126"/>
      <c r="RT135" s="126"/>
      <c r="RU135" s="126"/>
      <c r="RV135" s="126"/>
      <c r="RW135" s="126"/>
      <c r="RX135" s="126"/>
      <c r="RY135" s="126"/>
      <c r="RZ135" s="126"/>
      <c r="SA135" s="126"/>
      <c r="SB135" s="126"/>
      <c r="SC135" s="126"/>
      <c r="SD135" s="126"/>
      <c r="SE135" s="126"/>
      <c r="SF135" s="126"/>
      <c r="SG135" s="126"/>
      <c r="SH135" s="126"/>
      <c r="SI135" s="126"/>
      <c r="SJ135" s="126"/>
      <c r="SK135" s="126"/>
      <c r="SL135" s="126"/>
      <c r="SM135" s="126"/>
      <c r="SN135" s="126"/>
      <c r="SO135" s="126"/>
      <c r="SP135" s="126"/>
      <c r="SQ135" s="126"/>
      <c r="SR135" s="126"/>
      <c r="SS135" s="126"/>
      <c r="ST135" s="126"/>
      <c r="SU135" s="126"/>
      <c r="SV135" s="126"/>
      <c r="SW135" s="126"/>
      <c r="SX135" s="126"/>
      <c r="SY135" s="126"/>
      <c r="SZ135" s="126"/>
      <c r="TA135" s="126"/>
      <c r="TB135" s="126"/>
      <c r="TC135" s="126"/>
      <c r="TD135" s="126"/>
      <c r="TE135" s="126"/>
    </row>
    <row r="136" spans="1:525" s="127" customFormat="1" ht="63" hidden="1" customHeight="1" x14ac:dyDescent="0.25">
      <c r="A136" s="123"/>
      <c r="B136" s="144"/>
      <c r="C136" s="123"/>
      <c r="D136" s="146" t="s">
        <v>604</v>
      </c>
      <c r="E136" s="81">
        <f t="shared" si="44"/>
        <v>0</v>
      </c>
      <c r="F136" s="82"/>
      <c r="G136" s="82"/>
      <c r="H136" s="82"/>
      <c r="I136" s="82"/>
      <c r="J136" s="81">
        <f t="shared" si="46"/>
        <v>0</v>
      </c>
      <c r="K136" s="82"/>
      <c r="L136" s="82"/>
      <c r="M136" s="82"/>
      <c r="N136" s="82"/>
      <c r="O136" s="82"/>
      <c r="P136" s="81">
        <f t="shared" si="45"/>
        <v>0</v>
      </c>
      <c r="Q136" s="260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  <c r="IU136" s="126"/>
      <c r="IV136" s="126"/>
      <c r="IW136" s="126"/>
      <c r="IX136" s="126"/>
      <c r="IY136" s="126"/>
      <c r="IZ136" s="126"/>
      <c r="JA136" s="126"/>
      <c r="JB136" s="126"/>
      <c r="JC136" s="126"/>
      <c r="JD136" s="126"/>
      <c r="JE136" s="126"/>
      <c r="JF136" s="126"/>
      <c r="JG136" s="126"/>
      <c r="JH136" s="126"/>
      <c r="JI136" s="126"/>
      <c r="JJ136" s="126"/>
      <c r="JK136" s="126"/>
      <c r="JL136" s="126"/>
      <c r="JM136" s="126"/>
      <c r="JN136" s="126"/>
      <c r="JO136" s="126"/>
      <c r="JP136" s="126"/>
      <c r="JQ136" s="126"/>
      <c r="JR136" s="126"/>
      <c r="JS136" s="126"/>
      <c r="JT136" s="126"/>
      <c r="JU136" s="126"/>
      <c r="JV136" s="126"/>
      <c r="JW136" s="126"/>
      <c r="JX136" s="126"/>
      <c r="JY136" s="126"/>
      <c r="JZ136" s="126"/>
      <c r="KA136" s="126"/>
      <c r="KB136" s="126"/>
      <c r="KC136" s="126"/>
      <c r="KD136" s="126"/>
      <c r="KE136" s="126"/>
      <c r="KF136" s="126"/>
      <c r="KG136" s="126"/>
      <c r="KH136" s="126"/>
      <c r="KI136" s="126"/>
      <c r="KJ136" s="126"/>
      <c r="KK136" s="126"/>
      <c r="KL136" s="126"/>
      <c r="KM136" s="126"/>
      <c r="KN136" s="126"/>
      <c r="KO136" s="126"/>
      <c r="KP136" s="126"/>
      <c r="KQ136" s="126"/>
      <c r="KR136" s="126"/>
      <c r="KS136" s="126"/>
      <c r="KT136" s="126"/>
      <c r="KU136" s="126"/>
      <c r="KV136" s="126"/>
      <c r="KW136" s="126"/>
      <c r="KX136" s="126"/>
      <c r="KY136" s="126"/>
      <c r="KZ136" s="126"/>
      <c r="LA136" s="126"/>
      <c r="LB136" s="126"/>
      <c r="LC136" s="126"/>
      <c r="LD136" s="126"/>
      <c r="LE136" s="126"/>
      <c r="LF136" s="126"/>
      <c r="LG136" s="126"/>
      <c r="LH136" s="126"/>
      <c r="LI136" s="126"/>
      <c r="LJ136" s="126"/>
      <c r="LK136" s="126"/>
      <c r="LL136" s="126"/>
      <c r="LM136" s="126"/>
      <c r="LN136" s="126"/>
      <c r="LO136" s="126"/>
      <c r="LP136" s="126"/>
      <c r="LQ136" s="126"/>
      <c r="LR136" s="126"/>
      <c r="LS136" s="126"/>
      <c r="LT136" s="126"/>
      <c r="LU136" s="126"/>
      <c r="LV136" s="126"/>
      <c r="LW136" s="126"/>
      <c r="LX136" s="126"/>
      <c r="LY136" s="126"/>
      <c r="LZ136" s="126"/>
      <c r="MA136" s="126"/>
      <c r="MB136" s="126"/>
      <c r="MC136" s="126"/>
      <c r="MD136" s="126"/>
      <c r="ME136" s="126"/>
      <c r="MF136" s="126"/>
      <c r="MG136" s="126"/>
      <c r="MH136" s="126"/>
      <c r="MI136" s="126"/>
      <c r="MJ136" s="126"/>
      <c r="MK136" s="126"/>
      <c r="ML136" s="126"/>
      <c r="MM136" s="126"/>
      <c r="MN136" s="126"/>
      <c r="MO136" s="126"/>
      <c r="MP136" s="126"/>
      <c r="MQ136" s="126"/>
      <c r="MR136" s="126"/>
      <c r="MS136" s="126"/>
      <c r="MT136" s="126"/>
      <c r="MU136" s="126"/>
      <c r="MV136" s="126"/>
      <c r="MW136" s="126"/>
      <c r="MX136" s="126"/>
      <c r="MY136" s="126"/>
      <c r="MZ136" s="126"/>
      <c r="NA136" s="126"/>
      <c r="NB136" s="126"/>
      <c r="NC136" s="126"/>
      <c r="ND136" s="126"/>
      <c r="NE136" s="126"/>
      <c r="NF136" s="126"/>
      <c r="NG136" s="126"/>
      <c r="NH136" s="126"/>
      <c r="NI136" s="126"/>
      <c r="NJ136" s="126"/>
      <c r="NK136" s="126"/>
      <c r="NL136" s="126"/>
      <c r="NM136" s="126"/>
      <c r="NN136" s="126"/>
      <c r="NO136" s="126"/>
      <c r="NP136" s="126"/>
      <c r="NQ136" s="126"/>
      <c r="NR136" s="126"/>
      <c r="NS136" s="126"/>
      <c r="NT136" s="126"/>
      <c r="NU136" s="126"/>
      <c r="NV136" s="126"/>
      <c r="NW136" s="126"/>
      <c r="NX136" s="126"/>
      <c r="NY136" s="126"/>
      <c r="NZ136" s="126"/>
      <c r="OA136" s="126"/>
      <c r="OB136" s="126"/>
      <c r="OC136" s="126"/>
      <c r="OD136" s="126"/>
      <c r="OE136" s="126"/>
      <c r="OF136" s="126"/>
      <c r="OG136" s="126"/>
      <c r="OH136" s="126"/>
      <c r="OI136" s="126"/>
      <c r="OJ136" s="126"/>
      <c r="OK136" s="126"/>
      <c r="OL136" s="126"/>
      <c r="OM136" s="126"/>
      <c r="ON136" s="126"/>
      <c r="OO136" s="126"/>
      <c r="OP136" s="126"/>
      <c r="OQ136" s="126"/>
      <c r="OR136" s="126"/>
      <c r="OS136" s="126"/>
      <c r="OT136" s="126"/>
      <c r="OU136" s="126"/>
      <c r="OV136" s="126"/>
      <c r="OW136" s="126"/>
      <c r="OX136" s="126"/>
      <c r="OY136" s="126"/>
      <c r="OZ136" s="126"/>
      <c r="PA136" s="126"/>
      <c r="PB136" s="126"/>
      <c r="PC136" s="126"/>
      <c r="PD136" s="126"/>
      <c r="PE136" s="126"/>
      <c r="PF136" s="126"/>
      <c r="PG136" s="126"/>
      <c r="PH136" s="126"/>
      <c r="PI136" s="126"/>
      <c r="PJ136" s="126"/>
      <c r="PK136" s="126"/>
      <c r="PL136" s="126"/>
      <c r="PM136" s="126"/>
      <c r="PN136" s="126"/>
      <c r="PO136" s="126"/>
      <c r="PP136" s="126"/>
      <c r="PQ136" s="126"/>
      <c r="PR136" s="126"/>
      <c r="PS136" s="126"/>
      <c r="PT136" s="126"/>
      <c r="PU136" s="126"/>
      <c r="PV136" s="126"/>
      <c r="PW136" s="126"/>
      <c r="PX136" s="126"/>
      <c r="PY136" s="126"/>
      <c r="PZ136" s="126"/>
      <c r="QA136" s="126"/>
      <c r="QB136" s="126"/>
      <c r="QC136" s="126"/>
      <c r="QD136" s="126"/>
      <c r="QE136" s="126"/>
      <c r="QF136" s="126"/>
      <c r="QG136" s="126"/>
      <c r="QH136" s="126"/>
      <c r="QI136" s="126"/>
      <c r="QJ136" s="126"/>
      <c r="QK136" s="126"/>
      <c r="QL136" s="126"/>
      <c r="QM136" s="126"/>
      <c r="QN136" s="126"/>
      <c r="QO136" s="126"/>
      <c r="QP136" s="126"/>
      <c r="QQ136" s="126"/>
      <c r="QR136" s="126"/>
      <c r="QS136" s="126"/>
      <c r="QT136" s="126"/>
      <c r="QU136" s="126"/>
      <c r="QV136" s="126"/>
      <c r="QW136" s="126"/>
      <c r="QX136" s="126"/>
      <c r="QY136" s="126"/>
      <c r="QZ136" s="126"/>
      <c r="RA136" s="126"/>
      <c r="RB136" s="126"/>
      <c r="RC136" s="126"/>
      <c r="RD136" s="126"/>
      <c r="RE136" s="126"/>
      <c r="RF136" s="126"/>
      <c r="RG136" s="126"/>
      <c r="RH136" s="126"/>
      <c r="RI136" s="126"/>
      <c r="RJ136" s="126"/>
      <c r="RK136" s="126"/>
      <c r="RL136" s="126"/>
      <c r="RM136" s="126"/>
      <c r="RN136" s="126"/>
      <c r="RO136" s="126"/>
      <c r="RP136" s="126"/>
      <c r="RQ136" s="126"/>
      <c r="RR136" s="126"/>
      <c r="RS136" s="126"/>
      <c r="RT136" s="126"/>
      <c r="RU136" s="126"/>
      <c r="RV136" s="126"/>
      <c r="RW136" s="126"/>
      <c r="RX136" s="126"/>
      <c r="RY136" s="126"/>
      <c r="RZ136" s="126"/>
      <c r="SA136" s="126"/>
      <c r="SB136" s="126"/>
      <c r="SC136" s="126"/>
      <c r="SD136" s="126"/>
      <c r="SE136" s="126"/>
      <c r="SF136" s="126"/>
      <c r="SG136" s="126"/>
      <c r="SH136" s="126"/>
      <c r="SI136" s="126"/>
      <c r="SJ136" s="126"/>
      <c r="SK136" s="126"/>
      <c r="SL136" s="126"/>
      <c r="SM136" s="126"/>
      <c r="SN136" s="126"/>
      <c r="SO136" s="126"/>
      <c r="SP136" s="126"/>
      <c r="SQ136" s="126"/>
      <c r="SR136" s="126"/>
      <c r="SS136" s="126"/>
      <c r="ST136" s="126"/>
      <c r="SU136" s="126"/>
      <c r="SV136" s="126"/>
      <c r="SW136" s="126"/>
      <c r="SX136" s="126"/>
      <c r="SY136" s="126"/>
      <c r="SZ136" s="126"/>
      <c r="TA136" s="126"/>
      <c r="TB136" s="126"/>
      <c r="TC136" s="126"/>
      <c r="TD136" s="126"/>
      <c r="TE136" s="126"/>
    </row>
    <row r="137" spans="1:525" s="121" customFormat="1" ht="27.75" hidden="1" customHeight="1" x14ac:dyDescent="0.25">
      <c r="A137" s="117" t="s">
        <v>601</v>
      </c>
      <c r="B137" s="147" t="s">
        <v>236</v>
      </c>
      <c r="C137" s="147" t="s">
        <v>81</v>
      </c>
      <c r="D137" s="128" t="s">
        <v>17</v>
      </c>
      <c r="E137" s="81">
        <f t="shared" si="44"/>
        <v>0</v>
      </c>
      <c r="F137" s="81"/>
      <c r="G137" s="81"/>
      <c r="H137" s="81"/>
      <c r="I137" s="81"/>
      <c r="J137" s="81">
        <f t="shared" si="46"/>
        <v>0</v>
      </c>
      <c r="K137" s="82"/>
      <c r="L137" s="82"/>
      <c r="M137" s="82"/>
      <c r="N137" s="82"/>
      <c r="O137" s="82"/>
      <c r="P137" s="81">
        <f t="shared" si="45"/>
        <v>0</v>
      </c>
      <c r="Q137" s="26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</row>
    <row r="138" spans="1:525" s="121" customFormat="1" ht="78.75" x14ac:dyDescent="0.25">
      <c r="A138" s="117" t="s">
        <v>722</v>
      </c>
      <c r="B138" s="147">
        <f>'дод 6'!A219</f>
        <v>7384</v>
      </c>
      <c r="C138" s="147" t="str">
        <f>'дод 6'!B219</f>
        <v>0490</v>
      </c>
      <c r="D138" s="133" t="str">
        <f>'дод 6'!C219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138" s="81">
        <f t="shared" si="44"/>
        <v>0</v>
      </c>
      <c r="G138" s="81"/>
      <c r="H138" s="81"/>
      <c r="I138" s="81"/>
      <c r="J138" s="81">
        <f t="shared" si="46"/>
        <v>52912282</v>
      </c>
      <c r="K138" s="81"/>
      <c r="L138" s="82"/>
      <c r="M138" s="82"/>
      <c r="N138" s="82"/>
      <c r="O138" s="81">
        <v>52912282</v>
      </c>
      <c r="P138" s="81">
        <f>E138+J138</f>
        <v>52912282</v>
      </c>
      <c r="Q138" s="26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</row>
    <row r="139" spans="1:525" s="121" customFormat="1" ht="126" x14ac:dyDescent="0.25">
      <c r="A139" s="117"/>
      <c r="B139" s="147"/>
      <c r="C139" s="147"/>
      <c r="D139" s="231" t="s">
        <v>725</v>
      </c>
      <c r="E139" s="81"/>
      <c r="F139" s="232"/>
      <c r="G139" s="81"/>
      <c r="H139" s="81"/>
      <c r="I139" s="81"/>
      <c r="J139" s="82">
        <f t="shared" si="46"/>
        <v>52912282</v>
      </c>
      <c r="K139" s="82"/>
      <c r="L139" s="82"/>
      <c r="M139" s="82"/>
      <c r="N139" s="82"/>
      <c r="O139" s="82">
        <v>52912282</v>
      </c>
      <c r="P139" s="82">
        <f>E139+J139</f>
        <v>52912282</v>
      </c>
      <c r="Q139" s="26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</row>
    <row r="140" spans="1:525" s="127" customFormat="1" ht="24" customHeight="1" x14ac:dyDescent="0.25">
      <c r="A140" s="117" t="s">
        <v>475</v>
      </c>
      <c r="B140" s="118">
        <v>7640</v>
      </c>
      <c r="C140" s="117" t="s">
        <v>85</v>
      </c>
      <c r="D140" s="128" t="s">
        <v>413</v>
      </c>
      <c r="E140" s="81">
        <f t="shared" si="44"/>
        <v>1212234</v>
      </c>
      <c r="F140" s="81">
        <f>1176500+6600-397000+300000+126134</f>
        <v>1212234</v>
      </c>
      <c r="G140" s="81"/>
      <c r="H140" s="81"/>
      <c r="I140" s="81"/>
      <c r="J140" s="81">
        <f>L140+O140</f>
        <v>75765558</v>
      </c>
      <c r="K140" s="81">
        <f>13600000+800000+200000+199243+9500000+7200000+363949+7000000+5000000+5000000+5000000+7000000+3750000+7000000+7000000+397000-800000-126134-3000000+199500+300000+182000</f>
        <v>75765558</v>
      </c>
      <c r="L140" s="81"/>
      <c r="M140" s="81"/>
      <c r="N140" s="81"/>
      <c r="O140" s="81">
        <f>13600000+800000+200000+199243+9500000+7200000+363949+7000000+5000000+5000000+5000000+7000000+3750000+7000000+7000000+397000-800000-126134-3000000+199500+300000+182000</f>
        <v>75765558</v>
      </c>
      <c r="P140" s="81">
        <f t="shared" si="45"/>
        <v>76977792</v>
      </c>
      <c r="Q140" s="260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  <c r="HN140" s="126"/>
      <c r="HO140" s="126"/>
      <c r="HP140" s="126"/>
      <c r="HQ140" s="126"/>
      <c r="HR140" s="126"/>
      <c r="HS140" s="126"/>
      <c r="HT140" s="126"/>
      <c r="HU140" s="126"/>
      <c r="HV140" s="126"/>
      <c r="HW140" s="126"/>
      <c r="HX140" s="126"/>
      <c r="HY140" s="126"/>
      <c r="HZ140" s="126"/>
      <c r="IA140" s="126"/>
      <c r="IB140" s="126"/>
      <c r="IC140" s="126"/>
      <c r="ID140" s="126"/>
      <c r="IE140" s="126"/>
      <c r="IF140" s="126"/>
      <c r="IG140" s="126"/>
      <c r="IH140" s="126"/>
      <c r="II140" s="126"/>
      <c r="IJ140" s="126"/>
      <c r="IK140" s="126"/>
      <c r="IL140" s="126"/>
      <c r="IM140" s="126"/>
      <c r="IN140" s="126"/>
      <c r="IO140" s="126"/>
      <c r="IP140" s="126"/>
      <c r="IQ140" s="126"/>
      <c r="IR140" s="126"/>
      <c r="IS140" s="126"/>
      <c r="IT140" s="126"/>
      <c r="IU140" s="126"/>
      <c r="IV140" s="126"/>
      <c r="IW140" s="126"/>
      <c r="IX140" s="126"/>
      <c r="IY140" s="126"/>
      <c r="IZ140" s="126"/>
      <c r="JA140" s="126"/>
      <c r="JB140" s="126"/>
      <c r="JC140" s="126"/>
      <c r="JD140" s="126"/>
      <c r="JE140" s="126"/>
      <c r="JF140" s="126"/>
      <c r="JG140" s="126"/>
      <c r="JH140" s="126"/>
      <c r="JI140" s="126"/>
      <c r="JJ140" s="126"/>
      <c r="JK140" s="126"/>
      <c r="JL140" s="126"/>
      <c r="JM140" s="126"/>
      <c r="JN140" s="126"/>
      <c r="JO140" s="126"/>
      <c r="JP140" s="126"/>
      <c r="JQ140" s="126"/>
      <c r="JR140" s="126"/>
      <c r="JS140" s="126"/>
      <c r="JT140" s="126"/>
      <c r="JU140" s="126"/>
      <c r="JV140" s="126"/>
      <c r="JW140" s="126"/>
      <c r="JX140" s="126"/>
      <c r="JY140" s="126"/>
      <c r="JZ140" s="126"/>
      <c r="KA140" s="126"/>
      <c r="KB140" s="126"/>
      <c r="KC140" s="126"/>
      <c r="KD140" s="126"/>
      <c r="KE140" s="126"/>
      <c r="KF140" s="126"/>
      <c r="KG140" s="126"/>
      <c r="KH140" s="126"/>
      <c r="KI140" s="126"/>
      <c r="KJ140" s="126"/>
      <c r="KK140" s="126"/>
      <c r="KL140" s="126"/>
      <c r="KM140" s="126"/>
      <c r="KN140" s="126"/>
      <c r="KO140" s="126"/>
      <c r="KP140" s="126"/>
      <c r="KQ140" s="126"/>
      <c r="KR140" s="126"/>
      <c r="KS140" s="126"/>
      <c r="KT140" s="126"/>
      <c r="KU140" s="126"/>
      <c r="KV140" s="126"/>
      <c r="KW140" s="126"/>
      <c r="KX140" s="126"/>
      <c r="KY140" s="126"/>
      <c r="KZ140" s="126"/>
      <c r="LA140" s="126"/>
      <c r="LB140" s="126"/>
      <c r="LC140" s="126"/>
      <c r="LD140" s="126"/>
      <c r="LE140" s="126"/>
      <c r="LF140" s="126"/>
      <c r="LG140" s="126"/>
      <c r="LH140" s="126"/>
      <c r="LI140" s="126"/>
      <c r="LJ140" s="126"/>
      <c r="LK140" s="126"/>
      <c r="LL140" s="126"/>
      <c r="LM140" s="126"/>
      <c r="LN140" s="126"/>
      <c r="LO140" s="126"/>
      <c r="LP140" s="126"/>
      <c r="LQ140" s="126"/>
      <c r="LR140" s="126"/>
      <c r="LS140" s="126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6"/>
      <c r="MU140" s="126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6"/>
      <c r="NT140" s="126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126"/>
      <c r="OT140" s="126"/>
      <c r="OU140" s="126"/>
      <c r="OV140" s="126"/>
      <c r="OW140" s="126"/>
      <c r="OX140" s="126"/>
      <c r="OY140" s="126"/>
      <c r="OZ140" s="126"/>
      <c r="PA140" s="126"/>
      <c r="PB140" s="126"/>
      <c r="PC140" s="126"/>
      <c r="PD140" s="126"/>
      <c r="PE140" s="126"/>
      <c r="PF140" s="126"/>
      <c r="PG140" s="126"/>
      <c r="PH140" s="126"/>
      <c r="PI140" s="126"/>
      <c r="PJ140" s="126"/>
      <c r="PK140" s="126"/>
      <c r="PL140" s="126"/>
      <c r="PM140" s="126"/>
      <c r="PN140" s="126"/>
      <c r="PO140" s="126"/>
      <c r="PP140" s="126"/>
      <c r="PQ140" s="126"/>
      <c r="PR140" s="126"/>
      <c r="PS140" s="126"/>
      <c r="PT140" s="126"/>
      <c r="PU140" s="126"/>
      <c r="PV140" s="126"/>
      <c r="PW140" s="126"/>
      <c r="PX140" s="126"/>
      <c r="PY140" s="126"/>
      <c r="PZ140" s="126"/>
      <c r="QA140" s="126"/>
      <c r="QB140" s="126"/>
      <c r="QC140" s="126"/>
      <c r="QD140" s="126"/>
      <c r="QE140" s="126"/>
      <c r="QF140" s="126"/>
      <c r="QG140" s="126"/>
      <c r="QH140" s="126"/>
      <c r="QI140" s="126"/>
      <c r="QJ140" s="126"/>
      <c r="QK140" s="126"/>
      <c r="QL140" s="126"/>
      <c r="QM140" s="126"/>
      <c r="QN140" s="126"/>
      <c r="QO140" s="126"/>
      <c r="QP140" s="126"/>
      <c r="QQ140" s="126"/>
      <c r="QR140" s="126"/>
      <c r="QS140" s="126"/>
      <c r="QT140" s="126"/>
      <c r="QU140" s="126"/>
      <c r="QV140" s="126"/>
      <c r="QW140" s="126"/>
      <c r="QX140" s="126"/>
      <c r="QY140" s="126"/>
      <c r="QZ140" s="126"/>
      <c r="RA140" s="126"/>
      <c r="RB140" s="126"/>
      <c r="RC140" s="126"/>
      <c r="RD140" s="126"/>
      <c r="RE140" s="126"/>
      <c r="RF140" s="126"/>
      <c r="RG140" s="126"/>
      <c r="RH140" s="126"/>
      <c r="RI140" s="126"/>
      <c r="RJ140" s="126"/>
      <c r="RK140" s="126"/>
      <c r="RL140" s="126"/>
      <c r="RM140" s="126"/>
      <c r="RN140" s="126"/>
      <c r="RO140" s="126"/>
      <c r="RP140" s="126"/>
      <c r="RQ140" s="126"/>
      <c r="RR140" s="126"/>
      <c r="RS140" s="126"/>
      <c r="RT140" s="126"/>
      <c r="RU140" s="126"/>
      <c r="RV140" s="126"/>
      <c r="RW140" s="126"/>
      <c r="RX140" s="126"/>
      <c r="RY140" s="126"/>
      <c r="RZ140" s="126"/>
      <c r="SA140" s="126"/>
      <c r="SB140" s="126"/>
      <c r="SC140" s="126"/>
      <c r="SD140" s="126"/>
      <c r="SE140" s="126"/>
      <c r="SF140" s="126"/>
      <c r="SG140" s="126"/>
      <c r="SH140" s="126"/>
      <c r="SI140" s="126"/>
      <c r="SJ140" s="126"/>
      <c r="SK140" s="126"/>
      <c r="SL140" s="126"/>
      <c r="SM140" s="126"/>
      <c r="SN140" s="126"/>
      <c r="SO140" s="126"/>
      <c r="SP140" s="126"/>
      <c r="SQ140" s="126"/>
      <c r="SR140" s="126"/>
      <c r="SS140" s="126"/>
      <c r="ST140" s="126"/>
      <c r="SU140" s="126"/>
      <c r="SV140" s="126"/>
      <c r="SW140" s="126"/>
      <c r="SX140" s="126"/>
      <c r="SY140" s="126"/>
      <c r="SZ140" s="126"/>
      <c r="TA140" s="126"/>
      <c r="TB140" s="126"/>
      <c r="TC140" s="126"/>
      <c r="TD140" s="126"/>
      <c r="TE140" s="126"/>
    </row>
    <row r="141" spans="1:525" s="127" customFormat="1" ht="47.25" hidden="1" customHeight="1" x14ac:dyDescent="0.25">
      <c r="A141" s="117" t="s">
        <v>478</v>
      </c>
      <c r="B141" s="118">
        <v>7700</v>
      </c>
      <c r="C141" s="117" t="s">
        <v>92</v>
      </c>
      <c r="D141" s="128" t="s">
        <v>357</v>
      </c>
      <c r="E141" s="81">
        <f t="shared" si="44"/>
        <v>0</v>
      </c>
      <c r="F141" s="81"/>
      <c r="G141" s="81"/>
      <c r="H141" s="81"/>
      <c r="I141" s="81"/>
      <c r="J141" s="81">
        <f t="shared" si="46"/>
        <v>0</v>
      </c>
      <c r="K141" s="81"/>
      <c r="L141" s="81"/>
      <c r="M141" s="81"/>
      <c r="N141" s="81"/>
      <c r="O141" s="81"/>
      <c r="P141" s="81">
        <f t="shared" si="45"/>
        <v>0</v>
      </c>
      <c r="Q141" s="260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  <c r="HN141" s="126"/>
      <c r="HO141" s="126"/>
      <c r="HP141" s="126"/>
      <c r="HQ141" s="126"/>
      <c r="HR141" s="126"/>
      <c r="HS141" s="126"/>
      <c r="HT141" s="126"/>
      <c r="HU141" s="126"/>
      <c r="HV141" s="126"/>
      <c r="HW141" s="126"/>
      <c r="HX141" s="126"/>
      <c r="HY141" s="126"/>
      <c r="HZ141" s="126"/>
      <c r="IA141" s="126"/>
      <c r="IB141" s="126"/>
      <c r="IC141" s="126"/>
      <c r="ID141" s="126"/>
      <c r="IE141" s="126"/>
      <c r="IF141" s="126"/>
      <c r="IG141" s="126"/>
      <c r="IH141" s="126"/>
      <c r="II141" s="126"/>
      <c r="IJ141" s="126"/>
      <c r="IK141" s="126"/>
      <c r="IL141" s="126"/>
      <c r="IM141" s="126"/>
      <c r="IN141" s="126"/>
      <c r="IO141" s="126"/>
      <c r="IP141" s="126"/>
      <c r="IQ141" s="126"/>
      <c r="IR141" s="126"/>
      <c r="IS141" s="126"/>
      <c r="IT141" s="126"/>
      <c r="IU141" s="126"/>
      <c r="IV141" s="126"/>
      <c r="IW141" s="126"/>
      <c r="IX141" s="126"/>
      <c r="IY141" s="126"/>
      <c r="IZ141" s="126"/>
      <c r="JA141" s="126"/>
      <c r="JB141" s="126"/>
      <c r="JC141" s="126"/>
      <c r="JD141" s="126"/>
      <c r="JE141" s="126"/>
      <c r="JF141" s="126"/>
      <c r="JG141" s="126"/>
      <c r="JH141" s="126"/>
      <c r="JI141" s="126"/>
      <c r="JJ141" s="126"/>
      <c r="JK141" s="126"/>
      <c r="JL141" s="126"/>
      <c r="JM141" s="126"/>
      <c r="JN141" s="126"/>
      <c r="JO141" s="126"/>
      <c r="JP141" s="126"/>
      <c r="JQ141" s="126"/>
      <c r="JR141" s="126"/>
      <c r="JS141" s="126"/>
      <c r="JT141" s="126"/>
      <c r="JU141" s="126"/>
      <c r="JV141" s="126"/>
      <c r="JW141" s="126"/>
      <c r="JX141" s="126"/>
      <c r="JY141" s="126"/>
      <c r="JZ141" s="126"/>
      <c r="KA141" s="126"/>
      <c r="KB141" s="126"/>
      <c r="KC141" s="126"/>
      <c r="KD141" s="126"/>
      <c r="KE141" s="126"/>
      <c r="KF141" s="126"/>
      <c r="KG141" s="126"/>
      <c r="KH141" s="126"/>
      <c r="KI141" s="126"/>
      <c r="KJ141" s="126"/>
      <c r="KK141" s="126"/>
      <c r="KL141" s="126"/>
      <c r="KM141" s="126"/>
      <c r="KN141" s="126"/>
      <c r="KO141" s="126"/>
      <c r="KP141" s="126"/>
      <c r="KQ141" s="126"/>
      <c r="KR141" s="126"/>
      <c r="KS141" s="126"/>
      <c r="KT141" s="126"/>
      <c r="KU141" s="126"/>
      <c r="KV141" s="126"/>
      <c r="KW141" s="126"/>
      <c r="KX141" s="126"/>
      <c r="KY141" s="126"/>
      <c r="KZ141" s="126"/>
      <c r="LA141" s="126"/>
      <c r="LB141" s="126"/>
      <c r="LC141" s="126"/>
      <c r="LD141" s="126"/>
      <c r="LE141" s="126"/>
      <c r="LF141" s="126"/>
      <c r="LG141" s="126"/>
      <c r="LH141" s="126"/>
      <c r="LI141" s="126"/>
      <c r="LJ141" s="126"/>
      <c r="LK141" s="126"/>
      <c r="LL141" s="126"/>
      <c r="LM141" s="126"/>
      <c r="LN141" s="126"/>
      <c r="LO141" s="126"/>
      <c r="LP141" s="126"/>
      <c r="LQ141" s="126"/>
      <c r="LR141" s="126"/>
      <c r="LS141" s="126"/>
      <c r="LT141" s="126"/>
      <c r="LU141" s="126"/>
      <c r="LV141" s="126"/>
      <c r="LW141" s="126"/>
      <c r="LX141" s="126"/>
      <c r="LY141" s="126"/>
      <c r="LZ141" s="126"/>
      <c r="MA141" s="126"/>
      <c r="MB141" s="126"/>
      <c r="MC141" s="126"/>
      <c r="MD141" s="126"/>
      <c r="ME141" s="126"/>
      <c r="MF141" s="126"/>
      <c r="MG141" s="126"/>
      <c r="MH141" s="126"/>
      <c r="MI141" s="126"/>
      <c r="MJ141" s="126"/>
      <c r="MK141" s="126"/>
      <c r="ML141" s="126"/>
      <c r="MM141" s="126"/>
      <c r="MN141" s="126"/>
      <c r="MO141" s="126"/>
      <c r="MP141" s="126"/>
      <c r="MQ141" s="126"/>
      <c r="MR141" s="126"/>
      <c r="MS141" s="126"/>
      <c r="MT141" s="126"/>
      <c r="MU141" s="126"/>
      <c r="MV141" s="126"/>
      <c r="MW141" s="126"/>
      <c r="MX141" s="126"/>
      <c r="MY141" s="126"/>
      <c r="MZ141" s="126"/>
      <c r="NA141" s="126"/>
      <c r="NB141" s="126"/>
      <c r="NC141" s="126"/>
      <c r="ND141" s="126"/>
      <c r="NE141" s="126"/>
      <c r="NF141" s="126"/>
      <c r="NG141" s="126"/>
      <c r="NH141" s="126"/>
      <c r="NI141" s="126"/>
      <c r="NJ141" s="126"/>
      <c r="NK141" s="126"/>
      <c r="NL141" s="126"/>
      <c r="NM141" s="126"/>
      <c r="NN141" s="126"/>
      <c r="NO141" s="126"/>
      <c r="NP141" s="126"/>
      <c r="NQ141" s="126"/>
      <c r="NR141" s="126"/>
      <c r="NS141" s="126"/>
      <c r="NT141" s="126"/>
      <c r="NU141" s="126"/>
      <c r="NV141" s="126"/>
      <c r="NW141" s="126"/>
      <c r="NX141" s="126"/>
      <c r="NY141" s="126"/>
      <c r="NZ141" s="126"/>
      <c r="OA141" s="126"/>
      <c r="OB141" s="126"/>
      <c r="OC141" s="126"/>
      <c r="OD141" s="126"/>
      <c r="OE141" s="126"/>
      <c r="OF141" s="126"/>
      <c r="OG141" s="126"/>
      <c r="OH141" s="126"/>
      <c r="OI141" s="126"/>
      <c r="OJ141" s="126"/>
      <c r="OK141" s="126"/>
      <c r="OL141" s="126"/>
      <c r="OM141" s="126"/>
      <c r="ON141" s="126"/>
      <c r="OO141" s="126"/>
      <c r="OP141" s="126"/>
      <c r="OQ141" s="126"/>
      <c r="OR141" s="126"/>
      <c r="OS141" s="126"/>
      <c r="OT141" s="126"/>
      <c r="OU141" s="126"/>
      <c r="OV141" s="126"/>
      <c r="OW141" s="126"/>
      <c r="OX141" s="126"/>
      <c r="OY141" s="126"/>
      <c r="OZ141" s="126"/>
      <c r="PA141" s="126"/>
      <c r="PB141" s="126"/>
      <c r="PC141" s="126"/>
      <c r="PD141" s="126"/>
      <c r="PE141" s="126"/>
      <c r="PF141" s="126"/>
      <c r="PG141" s="126"/>
      <c r="PH141" s="126"/>
      <c r="PI141" s="126"/>
      <c r="PJ141" s="126"/>
      <c r="PK141" s="126"/>
      <c r="PL141" s="126"/>
      <c r="PM141" s="126"/>
      <c r="PN141" s="126"/>
      <c r="PO141" s="126"/>
      <c r="PP141" s="126"/>
      <c r="PQ141" s="126"/>
      <c r="PR141" s="126"/>
      <c r="PS141" s="126"/>
      <c r="PT141" s="126"/>
      <c r="PU141" s="126"/>
      <c r="PV141" s="126"/>
      <c r="PW141" s="126"/>
      <c r="PX141" s="126"/>
      <c r="PY141" s="126"/>
      <c r="PZ141" s="126"/>
      <c r="QA141" s="126"/>
      <c r="QB141" s="126"/>
      <c r="QC141" s="126"/>
      <c r="QD141" s="126"/>
      <c r="QE141" s="126"/>
      <c r="QF141" s="126"/>
      <c r="QG141" s="126"/>
      <c r="QH141" s="126"/>
      <c r="QI141" s="126"/>
      <c r="QJ141" s="126"/>
      <c r="QK141" s="126"/>
      <c r="QL141" s="126"/>
      <c r="QM141" s="126"/>
      <c r="QN141" s="126"/>
      <c r="QO141" s="126"/>
      <c r="QP141" s="126"/>
      <c r="QQ141" s="126"/>
      <c r="QR141" s="126"/>
      <c r="QS141" s="126"/>
      <c r="QT141" s="126"/>
      <c r="QU141" s="126"/>
      <c r="QV141" s="126"/>
      <c r="QW141" s="126"/>
      <c r="QX141" s="126"/>
      <c r="QY141" s="126"/>
      <c r="QZ141" s="126"/>
      <c r="RA141" s="126"/>
      <c r="RB141" s="126"/>
      <c r="RC141" s="126"/>
      <c r="RD141" s="126"/>
      <c r="RE141" s="126"/>
      <c r="RF141" s="126"/>
      <c r="RG141" s="126"/>
      <c r="RH141" s="126"/>
      <c r="RI141" s="126"/>
      <c r="RJ141" s="126"/>
      <c r="RK141" s="126"/>
      <c r="RL141" s="126"/>
      <c r="RM141" s="126"/>
      <c r="RN141" s="126"/>
      <c r="RO141" s="126"/>
      <c r="RP141" s="126"/>
      <c r="RQ141" s="126"/>
      <c r="RR141" s="126"/>
      <c r="RS141" s="126"/>
      <c r="RT141" s="126"/>
      <c r="RU141" s="126"/>
      <c r="RV141" s="126"/>
      <c r="RW141" s="126"/>
      <c r="RX141" s="126"/>
      <c r="RY141" s="126"/>
      <c r="RZ141" s="126"/>
      <c r="SA141" s="126"/>
      <c r="SB141" s="126"/>
      <c r="SC141" s="126"/>
      <c r="SD141" s="126"/>
      <c r="SE141" s="126"/>
      <c r="SF141" s="126"/>
      <c r="SG141" s="126"/>
      <c r="SH141" s="126"/>
      <c r="SI141" s="126"/>
      <c r="SJ141" s="126"/>
      <c r="SK141" s="126"/>
      <c r="SL141" s="126"/>
      <c r="SM141" s="126"/>
      <c r="SN141" s="126"/>
      <c r="SO141" s="126"/>
      <c r="SP141" s="126"/>
      <c r="SQ141" s="126"/>
      <c r="SR141" s="126"/>
      <c r="SS141" s="126"/>
      <c r="ST141" s="126"/>
      <c r="SU141" s="126"/>
      <c r="SV141" s="126"/>
      <c r="SW141" s="126"/>
      <c r="SX141" s="126"/>
      <c r="SY141" s="126"/>
      <c r="SZ141" s="126"/>
      <c r="TA141" s="126"/>
      <c r="TB141" s="126"/>
      <c r="TC141" s="126"/>
      <c r="TD141" s="126"/>
      <c r="TE141" s="126"/>
    </row>
    <row r="142" spans="1:525" s="127" customFormat="1" ht="47.25" customHeight="1" x14ac:dyDescent="0.25">
      <c r="A142" s="117" t="s">
        <v>601</v>
      </c>
      <c r="B142" s="118" t="str">
        <f>'дод 6'!A247</f>
        <v>7693</v>
      </c>
      <c r="C142" s="118" t="str">
        <f>'дод 6'!B247</f>
        <v>0490</v>
      </c>
      <c r="D142" s="153" t="str">
        <f>'дод 6'!C247</f>
        <v>Інші заходи, пов'язані з економічною діяльністю</v>
      </c>
      <c r="E142" s="81">
        <f>F142+I142</f>
        <v>350000</v>
      </c>
      <c r="F142" s="197"/>
      <c r="G142" s="81"/>
      <c r="H142" s="81"/>
      <c r="I142" s="81">
        <v>350000</v>
      </c>
      <c r="J142" s="81">
        <f>L142+O142</f>
        <v>0</v>
      </c>
      <c r="K142" s="81"/>
      <c r="L142" s="81"/>
      <c r="M142" s="81"/>
      <c r="N142" s="81"/>
      <c r="O142" s="81"/>
      <c r="P142" s="81">
        <f t="shared" si="45"/>
        <v>350000</v>
      </c>
      <c r="Q142" s="260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6"/>
      <c r="IY142" s="126"/>
      <c r="IZ142" s="126"/>
      <c r="JA142" s="126"/>
      <c r="JB142" s="126"/>
      <c r="JC142" s="126"/>
      <c r="JD142" s="126"/>
      <c r="JE142" s="126"/>
      <c r="JF142" s="126"/>
      <c r="JG142" s="126"/>
      <c r="JH142" s="126"/>
      <c r="JI142" s="126"/>
      <c r="JJ142" s="126"/>
      <c r="JK142" s="126"/>
      <c r="JL142" s="126"/>
      <c r="JM142" s="126"/>
      <c r="JN142" s="126"/>
      <c r="JO142" s="126"/>
      <c r="JP142" s="126"/>
      <c r="JQ142" s="126"/>
      <c r="JR142" s="126"/>
      <c r="JS142" s="126"/>
      <c r="JT142" s="126"/>
      <c r="JU142" s="126"/>
      <c r="JV142" s="126"/>
      <c r="JW142" s="126"/>
      <c r="JX142" s="126"/>
      <c r="JY142" s="126"/>
      <c r="JZ142" s="126"/>
      <c r="KA142" s="126"/>
      <c r="KB142" s="126"/>
      <c r="KC142" s="126"/>
      <c r="KD142" s="126"/>
      <c r="KE142" s="126"/>
      <c r="KF142" s="126"/>
      <c r="KG142" s="126"/>
      <c r="KH142" s="126"/>
      <c r="KI142" s="126"/>
      <c r="KJ142" s="126"/>
      <c r="KK142" s="126"/>
      <c r="KL142" s="126"/>
      <c r="KM142" s="126"/>
      <c r="KN142" s="126"/>
      <c r="KO142" s="126"/>
      <c r="KP142" s="126"/>
      <c r="KQ142" s="126"/>
      <c r="KR142" s="126"/>
      <c r="KS142" s="126"/>
      <c r="KT142" s="126"/>
      <c r="KU142" s="126"/>
      <c r="KV142" s="126"/>
      <c r="KW142" s="126"/>
      <c r="KX142" s="126"/>
      <c r="KY142" s="126"/>
      <c r="KZ142" s="126"/>
      <c r="LA142" s="126"/>
      <c r="LB142" s="126"/>
      <c r="LC142" s="126"/>
      <c r="LD142" s="126"/>
      <c r="LE142" s="126"/>
      <c r="LF142" s="126"/>
      <c r="LG142" s="126"/>
      <c r="LH142" s="126"/>
      <c r="LI142" s="126"/>
      <c r="LJ142" s="126"/>
      <c r="LK142" s="126"/>
      <c r="LL142" s="126"/>
      <c r="LM142" s="126"/>
      <c r="LN142" s="126"/>
      <c r="LO142" s="126"/>
      <c r="LP142" s="126"/>
      <c r="LQ142" s="126"/>
      <c r="LR142" s="126"/>
      <c r="LS142" s="126"/>
      <c r="LT142" s="126"/>
      <c r="LU142" s="126"/>
      <c r="LV142" s="126"/>
      <c r="LW142" s="126"/>
      <c r="LX142" s="126"/>
      <c r="LY142" s="126"/>
      <c r="LZ142" s="126"/>
      <c r="MA142" s="126"/>
      <c r="MB142" s="126"/>
      <c r="MC142" s="126"/>
      <c r="MD142" s="126"/>
      <c r="ME142" s="126"/>
      <c r="MF142" s="126"/>
      <c r="MG142" s="126"/>
      <c r="MH142" s="126"/>
      <c r="MI142" s="126"/>
      <c r="MJ142" s="126"/>
      <c r="MK142" s="126"/>
      <c r="ML142" s="126"/>
      <c r="MM142" s="126"/>
      <c r="MN142" s="126"/>
      <c r="MO142" s="126"/>
      <c r="MP142" s="126"/>
      <c r="MQ142" s="126"/>
      <c r="MR142" s="126"/>
      <c r="MS142" s="126"/>
      <c r="MT142" s="126"/>
      <c r="MU142" s="126"/>
      <c r="MV142" s="126"/>
      <c r="MW142" s="126"/>
      <c r="MX142" s="126"/>
      <c r="MY142" s="126"/>
      <c r="MZ142" s="126"/>
      <c r="NA142" s="126"/>
      <c r="NB142" s="126"/>
      <c r="NC142" s="126"/>
      <c r="ND142" s="126"/>
      <c r="NE142" s="126"/>
      <c r="NF142" s="126"/>
      <c r="NG142" s="126"/>
      <c r="NH142" s="126"/>
      <c r="NI142" s="126"/>
      <c r="NJ142" s="126"/>
      <c r="NK142" s="126"/>
      <c r="NL142" s="126"/>
      <c r="NM142" s="126"/>
      <c r="NN142" s="126"/>
      <c r="NO142" s="126"/>
      <c r="NP142" s="126"/>
      <c r="NQ142" s="126"/>
      <c r="NR142" s="126"/>
      <c r="NS142" s="126"/>
      <c r="NT142" s="126"/>
      <c r="NU142" s="126"/>
      <c r="NV142" s="126"/>
      <c r="NW142" s="126"/>
      <c r="NX142" s="126"/>
      <c r="NY142" s="126"/>
      <c r="NZ142" s="126"/>
      <c r="OA142" s="126"/>
      <c r="OB142" s="126"/>
      <c r="OC142" s="126"/>
      <c r="OD142" s="126"/>
      <c r="OE142" s="126"/>
      <c r="OF142" s="126"/>
      <c r="OG142" s="126"/>
      <c r="OH142" s="126"/>
      <c r="OI142" s="126"/>
      <c r="OJ142" s="126"/>
      <c r="OK142" s="126"/>
      <c r="OL142" s="126"/>
      <c r="OM142" s="126"/>
      <c r="ON142" s="126"/>
      <c r="OO142" s="126"/>
      <c r="OP142" s="126"/>
      <c r="OQ142" s="126"/>
      <c r="OR142" s="126"/>
      <c r="OS142" s="126"/>
      <c r="OT142" s="126"/>
      <c r="OU142" s="126"/>
      <c r="OV142" s="126"/>
      <c r="OW142" s="126"/>
      <c r="OX142" s="126"/>
      <c r="OY142" s="126"/>
      <c r="OZ142" s="126"/>
      <c r="PA142" s="126"/>
      <c r="PB142" s="126"/>
      <c r="PC142" s="126"/>
      <c r="PD142" s="126"/>
      <c r="PE142" s="126"/>
      <c r="PF142" s="126"/>
      <c r="PG142" s="126"/>
      <c r="PH142" s="126"/>
      <c r="PI142" s="126"/>
      <c r="PJ142" s="126"/>
      <c r="PK142" s="126"/>
      <c r="PL142" s="126"/>
      <c r="PM142" s="126"/>
      <c r="PN142" s="126"/>
      <c r="PO142" s="126"/>
      <c r="PP142" s="126"/>
      <c r="PQ142" s="126"/>
      <c r="PR142" s="126"/>
      <c r="PS142" s="126"/>
      <c r="PT142" s="126"/>
      <c r="PU142" s="126"/>
      <c r="PV142" s="126"/>
      <c r="PW142" s="126"/>
      <c r="PX142" s="126"/>
      <c r="PY142" s="126"/>
      <c r="PZ142" s="126"/>
      <c r="QA142" s="126"/>
      <c r="QB142" s="126"/>
      <c r="QC142" s="126"/>
      <c r="QD142" s="126"/>
      <c r="QE142" s="126"/>
      <c r="QF142" s="126"/>
      <c r="QG142" s="126"/>
      <c r="QH142" s="126"/>
      <c r="QI142" s="126"/>
      <c r="QJ142" s="126"/>
      <c r="QK142" s="126"/>
      <c r="QL142" s="126"/>
      <c r="QM142" s="126"/>
      <c r="QN142" s="126"/>
      <c r="QO142" s="126"/>
      <c r="QP142" s="126"/>
      <c r="QQ142" s="126"/>
      <c r="QR142" s="126"/>
      <c r="QS142" s="126"/>
      <c r="QT142" s="126"/>
      <c r="QU142" s="126"/>
      <c r="QV142" s="126"/>
      <c r="QW142" s="126"/>
      <c r="QX142" s="126"/>
      <c r="QY142" s="126"/>
      <c r="QZ142" s="126"/>
      <c r="RA142" s="126"/>
      <c r="RB142" s="126"/>
      <c r="RC142" s="126"/>
      <c r="RD142" s="126"/>
      <c r="RE142" s="126"/>
      <c r="RF142" s="126"/>
      <c r="RG142" s="126"/>
      <c r="RH142" s="126"/>
      <c r="RI142" s="126"/>
      <c r="RJ142" s="126"/>
      <c r="RK142" s="126"/>
      <c r="RL142" s="126"/>
      <c r="RM142" s="126"/>
      <c r="RN142" s="126"/>
      <c r="RO142" s="126"/>
      <c r="RP142" s="126"/>
      <c r="RQ142" s="126"/>
      <c r="RR142" s="126"/>
      <c r="RS142" s="126"/>
      <c r="RT142" s="126"/>
      <c r="RU142" s="126"/>
      <c r="RV142" s="126"/>
      <c r="RW142" s="126"/>
      <c r="RX142" s="126"/>
      <c r="RY142" s="126"/>
      <c r="RZ142" s="126"/>
      <c r="SA142" s="126"/>
      <c r="SB142" s="126"/>
      <c r="SC142" s="126"/>
      <c r="SD142" s="126"/>
      <c r="SE142" s="126"/>
      <c r="SF142" s="126"/>
      <c r="SG142" s="126"/>
      <c r="SH142" s="126"/>
      <c r="SI142" s="126"/>
      <c r="SJ142" s="126"/>
      <c r="SK142" s="126"/>
      <c r="SL142" s="126"/>
      <c r="SM142" s="126"/>
      <c r="SN142" s="126"/>
      <c r="SO142" s="126"/>
      <c r="SP142" s="126"/>
      <c r="SQ142" s="126"/>
      <c r="SR142" s="126"/>
      <c r="SS142" s="126"/>
      <c r="ST142" s="126"/>
      <c r="SU142" s="126"/>
      <c r="SV142" s="126"/>
      <c r="SW142" s="126"/>
      <c r="SX142" s="126"/>
      <c r="SY142" s="126"/>
      <c r="SZ142" s="126"/>
      <c r="TA142" s="126"/>
      <c r="TB142" s="126"/>
      <c r="TC142" s="126"/>
      <c r="TD142" s="126"/>
      <c r="TE142" s="126"/>
    </row>
    <row r="143" spans="1:525" s="127" customFormat="1" ht="65.25" customHeight="1" x14ac:dyDescent="0.25">
      <c r="A143" s="117" t="s">
        <v>478</v>
      </c>
      <c r="B143" s="118">
        <f>'дод 6'!A250</f>
        <v>7700</v>
      </c>
      <c r="C143" s="118" t="str">
        <f>'дод 6'!B250</f>
        <v>0133</v>
      </c>
      <c r="D143" s="153" t="str">
        <f>'дод 6'!C250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3" s="81">
        <f>F143+I143</f>
        <v>0</v>
      </c>
      <c r="F143" s="197"/>
      <c r="G143" s="81"/>
      <c r="H143" s="81"/>
      <c r="I143" s="81"/>
      <c r="J143" s="81">
        <f>L143+O143</f>
        <v>390000</v>
      </c>
      <c r="K143" s="81"/>
      <c r="L143" s="81">
        <v>50000</v>
      </c>
      <c r="M143" s="81"/>
      <c r="N143" s="81"/>
      <c r="O143" s="81">
        <f>340000</f>
        <v>340000</v>
      </c>
      <c r="P143" s="81">
        <f t="shared" si="45"/>
        <v>390000</v>
      </c>
      <c r="Q143" s="260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  <c r="IU143" s="126"/>
      <c r="IV143" s="126"/>
      <c r="IW143" s="126"/>
      <c r="IX143" s="126"/>
      <c r="IY143" s="126"/>
      <c r="IZ143" s="126"/>
      <c r="JA143" s="126"/>
      <c r="JB143" s="126"/>
      <c r="JC143" s="126"/>
      <c r="JD143" s="126"/>
      <c r="JE143" s="126"/>
      <c r="JF143" s="126"/>
      <c r="JG143" s="126"/>
      <c r="JH143" s="126"/>
      <c r="JI143" s="126"/>
      <c r="JJ143" s="126"/>
      <c r="JK143" s="126"/>
      <c r="JL143" s="126"/>
      <c r="JM143" s="126"/>
      <c r="JN143" s="126"/>
      <c r="JO143" s="126"/>
      <c r="JP143" s="126"/>
      <c r="JQ143" s="126"/>
      <c r="JR143" s="126"/>
      <c r="JS143" s="126"/>
      <c r="JT143" s="126"/>
      <c r="JU143" s="126"/>
      <c r="JV143" s="126"/>
      <c r="JW143" s="126"/>
      <c r="JX143" s="126"/>
      <c r="JY143" s="126"/>
      <c r="JZ143" s="126"/>
      <c r="KA143" s="126"/>
      <c r="KB143" s="126"/>
      <c r="KC143" s="126"/>
      <c r="KD143" s="126"/>
      <c r="KE143" s="126"/>
      <c r="KF143" s="126"/>
      <c r="KG143" s="126"/>
      <c r="KH143" s="126"/>
      <c r="KI143" s="126"/>
      <c r="KJ143" s="126"/>
      <c r="KK143" s="126"/>
      <c r="KL143" s="126"/>
      <c r="KM143" s="126"/>
      <c r="KN143" s="126"/>
      <c r="KO143" s="126"/>
      <c r="KP143" s="126"/>
      <c r="KQ143" s="126"/>
      <c r="KR143" s="126"/>
      <c r="KS143" s="126"/>
      <c r="KT143" s="126"/>
      <c r="KU143" s="126"/>
      <c r="KV143" s="126"/>
      <c r="KW143" s="126"/>
      <c r="KX143" s="126"/>
      <c r="KY143" s="126"/>
      <c r="KZ143" s="126"/>
      <c r="LA143" s="126"/>
      <c r="LB143" s="126"/>
      <c r="LC143" s="126"/>
      <c r="LD143" s="126"/>
      <c r="LE143" s="126"/>
      <c r="LF143" s="126"/>
      <c r="LG143" s="126"/>
      <c r="LH143" s="126"/>
      <c r="LI143" s="126"/>
      <c r="LJ143" s="126"/>
      <c r="LK143" s="126"/>
      <c r="LL143" s="126"/>
      <c r="LM143" s="126"/>
      <c r="LN143" s="126"/>
      <c r="LO143" s="126"/>
      <c r="LP143" s="126"/>
      <c r="LQ143" s="126"/>
      <c r="LR143" s="126"/>
      <c r="LS143" s="126"/>
      <c r="LT143" s="126"/>
      <c r="LU143" s="126"/>
      <c r="LV143" s="126"/>
      <c r="LW143" s="126"/>
      <c r="LX143" s="126"/>
      <c r="LY143" s="126"/>
      <c r="LZ143" s="126"/>
      <c r="MA143" s="126"/>
      <c r="MB143" s="126"/>
      <c r="MC143" s="126"/>
      <c r="MD143" s="126"/>
      <c r="ME143" s="126"/>
      <c r="MF143" s="126"/>
      <c r="MG143" s="126"/>
      <c r="MH143" s="126"/>
      <c r="MI143" s="126"/>
      <c r="MJ143" s="126"/>
      <c r="MK143" s="126"/>
      <c r="ML143" s="126"/>
      <c r="MM143" s="126"/>
      <c r="MN143" s="126"/>
      <c r="MO143" s="126"/>
      <c r="MP143" s="126"/>
      <c r="MQ143" s="126"/>
      <c r="MR143" s="126"/>
      <c r="MS143" s="126"/>
      <c r="MT143" s="126"/>
      <c r="MU143" s="126"/>
      <c r="MV143" s="126"/>
      <c r="MW143" s="126"/>
      <c r="MX143" s="126"/>
      <c r="MY143" s="126"/>
      <c r="MZ143" s="126"/>
      <c r="NA143" s="126"/>
      <c r="NB143" s="126"/>
      <c r="NC143" s="126"/>
      <c r="ND143" s="126"/>
      <c r="NE143" s="126"/>
      <c r="NF143" s="126"/>
      <c r="NG143" s="126"/>
      <c r="NH143" s="126"/>
      <c r="NI143" s="126"/>
      <c r="NJ143" s="126"/>
      <c r="NK143" s="126"/>
      <c r="NL143" s="126"/>
      <c r="NM143" s="126"/>
      <c r="NN143" s="126"/>
      <c r="NO143" s="126"/>
      <c r="NP143" s="126"/>
      <c r="NQ143" s="126"/>
      <c r="NR143" s="126"/>
      <c r="NS143" s="126"/>
      <c r="NT143" s="126"/>
      <c r="NU143" s="126"/>
      <c r="NV143" s="126"/>
      <c r="NW143" s="126"/>
      <c r="NX143" s="126"/>
      <c r="NY143" s="126"/>
      <c r="NZ143" s="126"/>
      <c r="OA143" s="126"/>
      <c r="OB143" s="126"/>
      <c r="OC143" s="126"/>
      <c r="OD143" s="126"/>
      <c r="OE143" s="126"/>
      <c r="OF143" s="126"/>
      <c r="OG143" s="126"/>
      <c r="OH143" s="126"/>
      <c r="OI143" s="126"/>
      <c r="OJ143" s="126"/>
      <c r="OK143" s="126"/>
      <c r="OL143" s="126"/>
      <c r="OM143" s="126"/>
      <c r="ON143" s="126"/>
      <c r="OO143" s="126"/>
      <c r="OP143" s="126"/>
      <c r="OQ143" s="126"/>
      <c r="OR143" s="126"/>
      <c r="OS143" s="126"/>
      <c r="OT143" s="126"/>
      <c r="OU143" s="126"/>
      <c r="OV143" s="126"/>
      <c r="OW143" s="126"/>
      <c r="OX143" s="126"/>
      <c r="OY143" s="126"/>
      <c r="OZ143" s="126"/>
      <c r="PA143" s="126"/>
      <c r="PB143" s="126"/>
      <c r="PC143" s="126"/>
      <c r="PD143" s="126"/>
      <c r="PE143" s="126"/>
      <c r="PF143" s="126"/>
      <c r="PG143" s="126"/>
      <c r="PH143" s="126"/>
      <c r="PI143" s="126"/>
      <c r="PJ143" s="126"/>
      <c r="PK143" s="126"/>
      <c r="PL143" s="126"/>
      <c r="PM143" s="126"/>
      <c r="PN143" s="126"/>
      <c r="PO143" s="126"/>
      <c r="PP143" s="126"/>
      <c r="PQ143" s="126"/>
      <c r="PR143" s="126"/>
      <c r="PS143" s="126"/>
      <c r="PT143" s="126"/>
      <c r="PU143" s="126"/>
      <c r="PV143" s="126"/>
      <c r="PW143" s="126"/>
      <c r="PX143" s="126"/>
      <c r="PY143" s="126"/>
      <c r="PZ143" s="126"/>
      <c r="QA143" s="126"/>
      <c r="QB143" s="126"/>
      <c r="QC143" s="126"/>
      <c r="QD143" s="126"/>
      <c r="QE143" s="126"/>
      <c r="QF143" s="126"/>
      <c r="QG143" s="126"/>
      <c r="QH143" s="126"/>
      <c r="QI143" s="126"/>
      <c r="QJ143" s="126"/>
      <c r="QK143" s="126"/>
      <c r="QL143" s="126"/>
      <c r="QM143" s="126"/>
      <c r="QN143" s="126"/>
      <c r="QO143" s="126"/>
      <c r="QP143" s="126"/>
      <c r="QQ143" s="126"/>
      <c r="QR143" s="126"/>
      <c r="QS143" s="126"/>
      <c r="QT143" s="126"/>
      <c r="QU143" s="126"/>
      <c r="QV143" s="126"/>
      <c r="QW143" s="126"/>
      <c r="QX143" s="126"/>
      <c r="QY143" s="126"/>
      <c r="QZ143" s="126"/>
      <c r="RA143" s="126"/>
      <c r="RB143" s="126"/>
      <c r="RC143" s="126"/>
      <c r="RD143" s="126"/>
      <c r="RE143" s="126"/>
      <c r="RF143" s="126"/>
      <c r="RG143" s="126"/>
      <c r="RH143" s="126"/>
      <c r="RI143" s="126"/>
      <c r="RJ143" s="126"/>
      <c r="RK143" s="126"/>
      <c r="RL143" s="126"/>
      <c r="RM143" s="126"/>
      <c r="RN143" s="126"/>
      <c r="RO143" s="126"/>
      <c r="RP143" s="126"/>
      <c r="RQ143" s="126"/>
      <c r="RR143" s="126"/>
      <c r="RS143" s="126"/>
      <c r="RT143" s="126"/>
      <c r="RU143" s="126"/>
      <c r="RV143" s="126"/>
      <c r="RW143" s="126"/>
      <c r="RX143" s="126"/>
      <c r="RY143" s="126"/>
      <c r="RZ143" s="126"/>
      <c r="SA143" s="126"/>
      <c r="SB143" s="126"/>
      <c r="SC143" s="126"/>
      <c r="SD143" s="126"/>
      <c r="SE143" s="126"/>
      <c r="SF143" s="126"/>
      <c r="SG143" s="126"/>
      <c r="SH143" s="126"/>
      <c r="SI143" s="126"/>
      <c r="SJ143" s="126"/>
      <c r="SK143" s="126"/>
      <c r="SL143" s="126"/>
      <c r="SM143" s="126"/>
      <c r="SN143" s="126"/>
      <c r="SO143" s="126"/>
      <c r="SP143" s="126"/>
      <c r="SQ143" s="126"/>
      <c r="SR143" s="126"/>
      <c r="SS143" s="126"/>
      <c r="ST143" s="126"/>
      <c r="SU143" s="126"/>
      <c r="SV143" s="126"/>
      <c r="SW143" s="126"/>
      <c r="SX143" s="126"/>
      <c r="SY143" s="126"/>
      <c r="SZ143" s="126"/>
      <c r="TA143" s="126"/>
      <c r="TB143" s="126"/>
      <c r="TC143" s="126"/>
      <c r="TD143" s="126"/>
      <c r="TE143" s="126"/>
    </row>
    <row r="144" spans="1:525" s="127" customFormat="1" ht="23.25" customHeight="1" x14ac:dyDescent="0.25">
      <c r="A144" s="117"/>
      <c r="B144" s="118"/>
      <c r="C144" s="118"/>
      <c r="D144" s="143" t="s">
        <v>662</v>
      </c>
      <c r="E144" s="81">
        <f>F144+I144</f>
        <v>0</v>
      </c>
      <c r="F144" s="197"/>
      <c r="G144" s="81"/>
      <c r="H144" s="81"/>
      <c r="I144" s="81"/>
      <c r="J144" s="82">
        <f>L144+O144</f>
        <v>390000</v>
      </c>
      <c r="K144" s="81"/>
      <c r="L144" s="82">
        <v>50000</v>
      </c>
      <c r="M144" s="81"/>
      <c r="N144" s="81"/>
      <c r="O144" s="82">
        <v>340000</v>
      </c>
      <c r="P144" s="82">
        <f t="shared" si="45"/>
        <v>390000</v>
      </c>
      <c r="Q144" s="260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  <c r="IU144" s="126"/>
      <c r="IV144" s="126"/>
      <c r="IW144" s="126"/>
      <c r="IX144" s="126"/>
      <c r="IY144" s="126"/>
      <c r="IZ144" s="126"/>
      <c r="JA144" s="126"/>
      <c r="JB144" s="126"/>
      <c r="JC144" s="126"/>
      <c r="JD144" s="126"/>
      <c r="JE144" s="126"/>
      <c r="JF144" s="126"/>
      <c r="JG144" s="126"/>
      <c r="JH144" s="126"/>
      <c r="JI144" s="126"/>
      <c r="JJ144" s="126"/>
      <c r="JK144" s="126"/>
      <c r="JL144" s="126"/>
      <c r="JM144" s="126"/>
      <c r="JN144" s="126"/>
      <c r="JO144" s="126"/>
      <c r="JP144" s="126"/>
      <c r="JQ144" s="126"/>
      <c r="JR144" s="126"/>
      <c r="JS144" s="126"/>
      <c r="JT144" s="126"/>
      <c r="JU144" s="126"/>
      <c r="JV144" s="126"/>
      <c r="JW144" s="126"/>
      <c r="JX144" s="126"/>
      <c r="JY144" s="126"/>
      <c r="JZ144" s="126"/>
      <c r="KA144" s="126"/>
      <c r="KB144" s="126"/>
      <c r="KC144" s="126"/>
      <c r="KD144" s="126"/>
      <c r="KE144" s="126"/>
      <c r="KF144" s="126"/>
      <c r="KG144" s="126"/>
      <c r="KH144" s="126"/>
      <c r="KI144" s="126"/>
      <c r="KJ144" s="126"/>
      <c r="KK144" s="126"/>
      <c r="KL144" s="126"/>
      <c r="KM144" s="126"/>
      <c r="KN144" s="126"/>
      <c r="KO144" s="126"/>
      <c r="KP144" s="126"/>
      <c r="KQ144" s="126"/>
      <c r="KR144" s="126"/>
      <c r="KS144" s="126"/>
      <c r="KT144" s="126"/>
      <c r="KU144" s="126"/>
      <c r="KV144" s="126"/>
      <c r="KW144" s="126"/>
      <c r="KX144" s="126"/>
      <c r="KY144" s="126"/>
      <c r="KZ144" s="126"/>
      <c r="LA144" s="126"/>
      <c r="LB144" s="126"/>
      <c r="LC144" s="126"/>
      <c r="LD144" s="126"/>
      <c r="LE144" s="126"/>
      <c r="LF144" s="126"/>
      <c r="LG144" s="126"/>
      <c r="LH144" s="126"/>
      <c r="LI144" s="126"/>
      <c r="LJ144" s="126"/>
      <c r="LK144" s="126"/>
      <c r="LL144" s="126"/>
      <c r="LM144" s="126"/>
      <c r="LN144" s="126"/>
      <c r="LO144" s="126"/>
      <c r="LP144" s="126"/>
      <c r="LQ144" s="126"/>
      <c r="LR144" s="126"/>
      <c r="LS144" s="126"/>
      <c r="LT144" s="126"/>
      <c r="LU144" s="126"/>
      <c r="LV144" s="126"/>
      <c r="LW144" s="126"/>
      <c r="LX144" s="126"/>
      <c r="LY144" s="126"/>
      <c r="LZ144" s="126"/>
      <c r="MA144" s="126"/>
      <c r="MB144" s="126"/>
      <c r="MC144" s="126"/>
      <c r="MD144" s="126"/>
      <c r="ME144" s="126"/>
      <c r="MF144" s="126"/>
      <c r="MG144" s="126"/>
      <c r="MH144" s="126"/>
      <c r="MI144" s="126"/>
      <c r="MJ144" s="126"/>
      <c r="MK144" s="126"/>
      <c r="ML144" s="126"/>
      <c r="MM144" s="126"/>
      <c r="MN144" s="126"/>
      <c r="MO144" s="126"/>
      <c r="MP144" s="126"/>
      <c r="MQ144" s="126"/>
      <c r="MR144" s="126"/>
      <c r="MS144" s="126"/>
      <c r="MT144" s="126"/>
      <c r="MU144" s="126"/>
      <c r="MV144" s="126"/>
      <c r="MW144" s="126"/>
      <c r="MX144" s="126"/>
      <c r="MY144" s="126"/>
      <c r="MZ144" s="126"/>
      <c r="NA144" s="126"/>
      <c r="NB144" s="126"/>
      <c r="NC144" s="126"/>
      <c r="ND144" s="126"/>
      <c r="NE144" s="126"/>
      <c r="NF144" s="126"/>
      <c r="NG144" s="126"/>
      <c r="NH144" s="126"/>
      <c r="NI144" s="126"/>
      <c r="NJ144" s="126"/>
      <c r="NK144" s="126"/>
      <c r="NL144" s="126"/>
      <c r="NM144" s="126"/>
      <c r="NN144" s="126"/>
      <c r="NO144" s="126"/>
      <c r="NP144" s="126"/>
      <c r="NQ144" s="126"/>
      <c r="NR144" s="126"/>
      <c r="NS144" s="126"/>
      <c r="NT144" s="126"/>
      <c r="NU144" s="126"/>
      <c r="NV144" s="126"/>
      <c r="NW144" s="126"/>
      <c r="NX144" s="126"/>
      <c r="NY144" s="126"/>
      <c r="NZ144" s="126"/>
      <c r="OA144" s="126"/>
      <c r="OB144" s="126"/>
      <c r="OC144" s="126"/>
      <c r="OD144" s="126"/>
      <c r="OE144" s="126"/>
      <c r="OF144" s="126"/>
      <c r="OG144" s="126"/>
      <c r="OH144" s="126"/>
      <c r="OI144" s="126"/>
      <c r="OJ144" s="126"/>
      <c r="OK144" s="126"/>
      <c r="OL144" s="126"/>
      <c r="OM144" s="126"/>
      <c r="ON144" s="126"/>
      <c r="OO144" s="126"/>
      <c r="OP144" s="126"/>
      <c r="OQ144" s="126"/>
      <c r="OR144" s="126"/>
      <c r="OS144" s="126"/>
      <c r="OT144" s="126"/>
      <c r="OU144" s="126"/>
      <c r="OV144" s="126"/>
      <c r="OW144" s="126"/>
      <c r="OX144" s="126"/>
      <c r="OY144" s="126"/>
      <c r="OZ144" s="126"/>
      <c r="PA144" s="126"/>
      <c r="PB144" s="126"/>
      <c r="PC144" s="126"/>
      <c r="PD144" s="126"/>
      <c r="PE144" s="126"/>
      <c r="PF144" s="126"/>
      <c r="PG144" s="126"/>
      <c r="PH144" s="126"/>
      <c r="PI144" s="126"/>
      <c r="PJ144" s="126"/>
      <c r="PK144" s="126"/>
      <c r="PL144" s="126"/>
      <c r="PM144" s="126"/>
      <c r="PN144" s="126"/>
      <c r="PO144" s="126"/>
      <c r="PP144" s="126"/>
      <c r="PQ144" s="126"/>
      <c r="PR144" s="126"/>
      <c r="PS144" s="126"/>
      <c r="PT144" s="126"/>
      <c r="PU144" s="126"/>
      <c r="PV144" s="126"/>
      <c r="PW144" s="126"/>
      <c r="PX144" s="126"/>
      <c r="PY144" s="126"/>
      <c r="PZ144" s="126"/>
      <c r="QA144" s="126"/>
      <c r="QB144" s="126"/>
      <c r="QC144" s="126"/>
      <c r="QD144" s="126"/>
      <c r="QE144" s="126"/>
      <c r="QF144" s="126"/>
      <c r="QG144" s="126"/>
      <c r="QH144" s="126"/>
      <c r="QI144" s="126"/>
      <c r="QJ144" s="126"/>
      <c r="QK144" s="126"/>
      <c r="QL144" s="126"/>
      <c r="QM144" s="126"/>
      <c r="QN144" s="126"/>
      <c r="QO144" s="126"/>
      <c r="QP144" s="126"/>
      <c r="QQ144" s="126"/>
      <c r="QR144" s="126"/>
      <c r="QS144" s="126"/>
      <c r="QT144" s="126"/>
      <c r="QU144" s="126"/>
      <c r="QV144" s="126"/>
      <c r="QW144" s="126"/>
      <c r="QX144" s="126"/>
      <c r="QY144" s="126"/>
      <c r="QZ144" s="126"/>
      <c r="RA144" s="126"/>
      <c r="RB144" s="126"/>
      <c r="RC144" s="126"/>
      <c r="RD144" s="126"/>
      <c r="RE144" s="126"/>
      <c r="RF144" s="126"/>
      <c r="RG144" s="126"/>
      <c r="RH144" s="126"/>
      <c r="RI144" s="126"/>
      <c r="RJ144" s="126"/>
      <c r="RK144" s="126"/>
      <c r="RL144" s="126"/>
      <c r="RM144" s="126"/>
      <c r="RN144" s="126"/>
      <c r="RO144" s="126"/>
      <c r="RP144" s="126"/>
      <c r="RQ144" s="126"/>
      <c r="RR144" s="126"/>
      <c r="RS144" s="126"/>
      <c r="RT144" s="126"/>
      <c r="RU144" s="126"/>
      <c r="RV144" s="126"/>
      <c r="RW144" s="126"/>
      <c r="RX144" s="126"/>
      <c r="RY144" s="126"/>
      <c r="RZ144" s="126"/>
      <c r="SA144" s="126"/>
      <c r="SB144" s="126"/>
      <c r="SC144" s="126"/>
      <c r="SD144" s="126"/>
      <c r="SE144" s="126"/>
      <c r="SF144" s="126"/>
      <c r="SG144" s="126"/>
      <c r="SH144" s="126"/>
      <c r="SI144" s="126"/>
      <c r="SJ144" s="126"/>
      <c r="SK144" s="126"/>
      <c r="SL144" s="126"/>
      <c r="SM144" s="126"/>
      <c r="SN144" s="126"/>
      <c r="SO144" s="126"/>
      <c r="SP144" s="126"/>
      <c r="SQ144" s="126"/>
      <c r="SR144" s="126"/>
      <c r="SS144" s="126"/>
      <c r="ST144" s="126"/>
      <c r="SU144" s="126"/>
      <c r="SV144" s="126"/>
      <c r="SW144" s="126"/>
      <c r="SX144" s="126"/>
      <c r="SY144" s="126"/>
      <c r="SZ144" s="126"/>
      <c r="TA144" s="126"/>
      <c r="TB144" s="126"/>
      <c r="TC144" s="126"/>
      <c r="TD144" s="126"/>
      <c r="TE144" s="126"/>
    </row>
    <row r="145" spans="1:525" s="127" customFormat="1" ht="47.25" customHeight="1" x14ac:dyDescent="0.25">
      <c r="A145" s="117" t="s">
        <v>689</v>
      </c>
      <c r="B145" s="118">
        <v>8240</v>
      </c>
      <c r="C145" s="118" t="str">
        <f>'дод 6'!B261</f>
        <v>0380</v>
      </c>
      <c r="D145" s="153" t="str">
        <f>'дод 6'!C261</f>
        <v>Заходи та роботи з територіальної оборони</v>
      </c>
      <c r="E145" s="81">
        <f>F145+I145</f>
        <v>9312880</v>
      </c>
      <c r="F145" s="198">
        <f>1500000+1200000+2647880+270000+3384000+311000</f>
        <v>9312880</v>
      </c>
      <c r="G145" s="81"/>
      <c r="H145" s="81">
        <f>200000+100000+318880+29500+348500+175000</f>
        <v>1171880</v>
      </c>
      <c r="I145" s="81"/>
      <c r="J145" s="81">
        <f t="shared" si="46"/>
        <v>0</v>
      </c>
      <c r="K145" s="81"/>
      <c r="L145" s="81"/>
      <c r="M145" s="81"/>
      <c r="N145" s="81"/>
      <c r="O145" s="81"/>
      <c r="P145" s="81">
        <f t="shared" si="45"/>
        <v>9312880</v>
      </c>
      <c r="Q145" s="260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  <c r="IW145" s="126"/>
      <c r="IX145" s="126"/>
      <c r="IY145" s="126"/>
      <c r="IZ145" s="126"/>
      <c r="JA145" s="126"/>
      <c r="JB145" s="126"/>
      <c r="JC145" s="126"/>
      <c r="JD145" s="126"/>
      <c r="JE145" s="126"/>
      <c r="JF145" s="126"/>
      <c r="JG145" s="126"/>
      <c r="JH145" s="126"/>
      <c r="JI145" s="126"/>
      <c r="JJ145" s="126"/>
      <c r="JK145" s="126"/>
      <c r="JL145" s="126"/>
      <c r="JM145" s="126"/>
      <c r="JN145" s="126"/>
      <c r="JO145" s="126"/>
      <c r="JP145" s="126"/>
      <c r="JQ145" s="126"/>
      <c r="JR145" s="126"/>
      <c r="JS145" s="126"/>
      <c r="JT145" s="126"/>
      <c r="JU145" s="126"/>
      <c r="JV145" s="126"/>
      <c r="JW145" s="126"/>
      <c r="JX145" s="126"/>
      <c r="JY145" s="126"/>
      <c r="JZ145" s="126"/>
      <c r="KA145" s="126"/>
      <c r="KB145" s="126"/>
      <c r="KC145" s="126"/>
      <c r="KD145" s="126"/>
      <c r="KE145" s="126"/>
      <c r="KF145" s="126"/>
      <c r="KG145" s="126"/>
      <c r="KH145" s="126"/>
      <c r="KI145" s="126"/>
      <c r="KJ145" s="126"/>
      <c r="KK145" s="126"/>
      <c r="KL145" s="126"/>
      <c r="KM145" s="126"/>
      <c r="KN145" s="126"/>
      <c r="KO145" s="126"/>
      <c r="KP145" s="126"/>
      <c r="KQ145" s="126"/>
      <c r="KR145" s="126"/>
      <c r="KS145" s="126"/>
      <c r="KT145" s="126"/>
      <c r="KU145" s="126"/>
      <c r="KV145" s="126"/>
      <c r="KW145" s="126"/>
      <c r="KX145" s="126"/>
      <c r="KY145" s="126"/>
      <c r="KZ145" s="126"/>
      <c r="LA145" s="126"/>
      <c r="LB145" s="126"/>
      <c r="LC145" s="126"/>
      <c r="LD145" s="126"/>
      <c r="LE145" s="126"/>
      <c r="LF145" s="126"/>
      <c r="LG145" s="126"/>
      <c r="LH145" s="126"/>
      <c r="LI145" s="126"/>
      <c r="LJ145" s="126"/>
      <c r="LK145" s="126"/>
      <c r="LL145" s="126"/>
      <c r="LM145" s="126"/>
      <c r="LN145" s="126"/>
      <c r="LO145" s="126"/>
      <c r="LP145" s="126"/>
      <c r="LQ145" s="126"/>
      <c r="LR145" s="126"/>
      <c r="LS145" s="126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6"/>
      <c r="MU145" s="126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6"/>
      <c r="NT145" s="126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126"/>
      <c r="OT145" s="126"/>
      <c r="OU145" s="126"/>
      <c r="OV145" s="126"/>
      <c r="OW145" s="126"/>
      <c r="OX145" s="126"/>
      <c r="OY145" s="126"/>
      <c r="OZ145" s="126"/>
      <c r="PA145" s="126"/>
      <c r="PB145" s="126"/>
      <c r="PC145" s="126"/>
      <c r="PD145" s="126"/>
      <c r="PE145" s="126"/>
      <c r="PF145" s="126"/>
      <c r="PG145" s="126"/>
      <c r="PH145" s="126"/>
      <c r="PI145" s="126"/>
      <c r="PJ145" s="126"/>
      <c r="PK145" s="126"/>
      <c r="PL145" s="126"/>
      <c r="PM145" s="126"/>
      <c r="PN145" s="126"/>
      <c r="PO145" s="126"/>
      <c r="PP145" s="126"/>
      <c r="PQ145" s="126"/>
      <c r="PR145" s="126"/>
      <c r="PS145" s="126"/>
      <c r="PT145" s="126"/>
      <c r="PU145" s="126"/>
      <c r="PV145" s="126"/>
      <c r="PW145" s="126"/>
      <c r="PX145" s="126"/>
      <c r="PY145" s="126"/>
      <c r="PZ145" s="126"/>
      <c r="QA145" s="126"/>
      <c r="QB145" s="126"/>
      <c r="QC145" s="126"/>
      <c r="QD145" s="126"/>
      <c r="QE145" s="126"/>
      <c r="QF145" s="126"/>
      <c r="QG145" s="126"/>
      <c r="QH145" s="126"/>
      <c r="QI145" s="126"/>
      <c r="QJ145" s="126"/>
      <c r="QK145" s="126"/>
      <c r="QL145" s="126"/>
      <c r="QM145" s="126"/>
      <c r="QN145" s="126"/>
      <c r="QO145" s="126"/>
      <c r="QP145" s="126"/>
      <c r="QQ145" s="126"/>
      <c r="QR145" s="126"/>
      <c r="QS145" s="126"/>
      <c r="QT145" s="126"/>
      <c r="QU145" s="126"/>
      <c r="QV145" s="126"/>
      <c r="QW145" s="126"/>
      <c r="QX145" s="126"/>
      <c r="QY145" s="126"/>
      <c r="QZ145" s="126"/>
      <c r="RA145" s="126"/>
      <c r="RB145" s="126"/>
      <c r="RC145" s="126"/>
      <c r="RD145" s="126"/>
      <c r="RE145" s="126"/>
      <c r="RF145" s="126"/>
      <c r="RG145" s="126"/>
      <c r="RH145" s="126"/>
      <c r="RI145" s="126"/>
      <c r="RJ145" s="126"/>
      <c r="RK145" s="126"/>
      <c r="RL145" s="126"/>
      <c r="RM145" s="126"/>
      <c r="RN145" s="126"/>
      <c r="RO145" s="126"/>
      <c r="RP145" s="126"/>
      <c r="RQ145" s="126"/>
      <c r="RR145" s="126"/>
      <c r="RS145" s="126"/>
      <c r="RT145" s="126"/>
      <c r="RU145" s="126"/>
      <c r="RV145" s="126"/>
      <c r="RW145" s="126"/>
      <c r="RX145" s="126"/>
      <c r="RY145" s="126"/>
      <c r="RZ145" s="126"/>
      <c r="SA145" s="126"/>
      <c r="SB145" s="126"/>
      <c r="SC145" s="126"/>
      <c r="SD145" s="126"/>
      <c r="SE145" s="126"/>
      <c r="SF145" s="126"/>
      <c r="SG145" s="126"/>
      <c r="SH145" s="126"/>
      <c r="SI145" s="126"/>
      <c r="SJ145" s="126"/>
      <c r="SK145" s="126"/>
      <c r="SL145" s="126"/>
      <c r="SM145" s="126"/>
      <c r="SN145" s="126"/>
      <c r="SO145" s="126"/>
      <c r="SP145" s="126"/>
      <c r="SQ145" s="126"/>
      <c r="SR145" s="126"/>
      <c r="SS145" s="126"/>
      <c r="ST145" s="126"/>
      <c r="SU145" s="126"/>
      <c r="SV145" s="126"/>
      <c r="SW145" s="126"/>
      <c r="SX145" s="126"/>
      <c r="SY145" s="126"/>
      <c r="SZ145" s="126"/>
      <c r="TA145" s="126"/>
      <c r="TB145" s="126"/>
      <c r="TC145" s="126"/>
      <c r="TD145" s="126"/>
      <c r="TE145" s="126"/>
    </row>
    <row r="146" spans="1:525" s="127" customFormat="1" ht="36" customHeight="1" x14ac:dyDescent="0.25">
      <c r="A146" s="117" t="s">
        <v>476</v>
      </c>
      <c r="B146" s="118">
        <v>8340</v>
      </c>
      <c r="C146" s="117" t="s">
        <v>91</v>
      </c>
      <c r="D146" s="128" t="str">
        <f>'дод 6'!C265</f>
        <v>Природоохоронні заходи за рахунок цільових фондів</v>
      </c>
      <c r="E146" s="81">
        <f t="shared" si="44"/>
        <v>0</v>
      </c>
      <c r="F146" s="81"/>
      <c r="G146" s="81"/>
      <c r="H146" s="81"/>
      <c r="I146" s="81"/>
      <c r="J146" s="81">
        <f>L146+O146</f>
        <v>665100</v>
      </c>
      <c r="K146" s="81"/>
      <c r="L146" s="81">
        <f>532100-137100+25000+20722</f>
        <v>440722</v>
      </c>
      <c r="M146" s="81"/>
      <c r="N146" s="81"/>
      <c r="O146" s="81">
        <f>37100+100000+108000-20722</f>
        <v>224378</v>
      </c>
      <c r="P146" s="81">
        <f t="shared" si="45"/>
        <v>665100</v>
      </c>
      <c r="Q146" s="260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  <c r="IU146" s="126"/>
      <c r="IV146" s="126"/>
      <c r="IW146" s="126"/>
      <c r="IX146" s="126"/>
      <c r="IY146" s="126"/>
      <c r="IZ146" s="126"/>
      <c r="JA146" s="126"/>
      <c r="JB146" s="126"/>
      <c r="JC146" s="126"/>
      <c r="JD146" s="126"/>
      <c r="JE146" s="126"/>
      <c r="JF146" s="126"/>
      <c r="JG146" s="126"/>
      <c r="JH146" s="126"/>
      <c r="JI146" s="126"/>
      <c r="JJ146" s="126"/>
      <c r="JK146" s="126"/>
      <c r="JL146" s="126"/>
      <c r="JM146" s="126"/>
      <c r="JN146" s="126"/>
      <c r="JO146" s="126"/>
      <c r="JP146" s="126"/>
      <c r="JQ146" s="126"/>
      <c r="JR146" s="126"/>
      <c r="JS146" s="126"/>
      <c r="JT146" s="126"/>
      <c r="JU146" s="126"/>
      <c r="JV146" s="126"/>
      <c r="JW146" s="126"/>
      <c r="JX146" s="126"/>
      <c r="JY146" s="126"/>
      <c r="JZ146" s="126"/>
      <c r="KA146" s="126"/>
      <c r="KB146" s="126"/>
      <c r="KC146" s="126"/>
      <c r="KD146" s="126"/>
      <c r="KE146" s="126"/>
      <c r="KF146" s="126"/>
      <c r="KG146" s="126"/>
      <c r="KH146" s="126"/>
      <c r="KI146" s="126"/>
      <c r="KJ146" s="126"/>
      <c r="KK146" s="126"/>
      <c r="KL146" s="126"/>
      <c r="KM146" s="126"/>
      <c r="KN146" s="126"/>
      <c r="KO146" s="126"/>
      <c r="KP146" s="126"/>
      <c r="KQ146" s="126"/>
      <c r="KR146" s="126"/>
      <c r="KS146" s="126"/>
      <c r="KT146" s="126"/>
      <c r="KU146" s="126"/>
      <c r="KV146" s="126"/>
      <c r="KW146" s="126"/>
      <c r="KX146" s="126"/>
      <c r="KY146" s="126"/>
      <c r="KZ146" s="126"/>
      <c r="LA146" s="126"/>
      <c r="LB146" s="126"/>
      <c r="LC146" s="126"/>
      <c r="LD146" s="126"/>
      <c r="LE146" s="126"/>
      <c r="LF146" s="126"/>
      <c r="LG146" s="126"/>
      <c r="LH146" s="126"/>
      <c r="LI146" s="126"/>
      <c r="LJ146" s="126"/>
      <c r="LK146" s="126"/>
      <c r="LL146" s="126"/>
      <c r="LM146" s="126"/>
      <c r="LN146" s="126"/>
      <c r="LO146" s="126"/>
      <c r="LP146" s="126"/>
      <c r="LQ146" s="126"/>
      <c r="LR146" s="126"/>
      <c r="LS146" s="126"/>
      <c r="LT146" s="126"/>
      <c r="LU146" s="126"/>
      <c r="LV146" s="126"/>
      <c r="LW146" s="126"/>
      <c r="LX146" s="126"/>
      <c r="LY146" s="126"/>
      <c r="LZ146" s="126"/>
      <c r="MA146" s="126"/>
      <c r="MB146" s="126"/>
      <c r="MC146" s="126"/>
      <c r="MD146" s="126"/>
      <c r="ME146" s="126"/>
      <c r="MF146" s="126"/>
      <c r="MG146" s="126"/>
      <c r="MH146" s="126"/>
      <c r="MI146" s="126"/>
      <c r="MJ146" s="126"/>
      <c r="MK146" s="126"/>
      <c r="ML146" s="126"/>
      <c r="MM146" s="126"/>
      <c r="MN146" s="126"/>
      <c r="MO146" s="126"/>
      <c r="MP146" s="126"/>
      <c r="MQ146" s="126"/>
      <c r="MR146" s="126"/>
      <c r="MS146" s="126"/>
      <c r="MT146" s="126"/>
      <c r="MU146" s="126"/>
      <c r="MV146" s="126"/>
      <c r="MW146" s="126"/>
      <c r="MX146" s="126"/>
      <c r="MY146" s="126"/>
      <c r="MZ146" s="126"/>
      <c r="NA146" s="126"/>
      <c r="NB146" s="126"/>
      <c r="NC146" s="126"/>
      <c r="ND146" s="126"/>
      <c r="NE146" s="126"/>
      <c r="NF146" s="126"/>
      <c r="NG146" s="126"/>
      <c r="NH146" s="126"/>
      <c r="NI146" s="126"/>
      <c r="NJ146" s="126"/>
      <c r="NK146" s="126"/>
      <c r="NL146" s="126"/>
      <c r="NM146" s="126"/>
      <c r="NN146" s="126"/>
      <c r="NO146" s="126"/>
      <c r="NP146" s="126"/>
      <c r="NQ146" s="126"/>
      <c r="NR146" s="126"/>
      <c r="NS146" s="126"/>
      <c r="NT146" s="126"/>
      <c r="NU146" s="126"/>
      <c r="NV146" s="126"/>
      <c r="NW146" s="126"/>
      <c r="NX146" s="126"/>
      <c r="NY146" s="126"/>
      <c r="NZ146" s="126"/>
      <c r="OA146" s="126"/>
      <c r="OB146" s="126"/>
      <c r="OC146" s="126"/>
      <c r="OD146" s="126"/>
      <c r="OE146" s="126"/>
      <c r="OF146" s="126"/>
      <c r="OG146" s="126"/>
      <c r="OH146" s="126"/>
      <c r="OI146" s="126"/>
      <c r="OJ146" s="126"/>
      <c r="OK146" s="126"/>
      <c r="OL146" s="126"/>
      <c r="OM146" s="126"/>
      <c r="ON146" s="126"/>
      <c r="OO146" s="126"/>
      <c r="OP146" s="126"/>
      <c r="OQ146" s="126"/>
      <c r="OR146" s="126"/>
      <c r="OS146" s="126"/>
      <c r="OT146" s="126"/>
      <c r="OU146" s="126"/>
      <c r="OV146" s="126"/>
      <c r="OW146" s="126"/>
      <c r="OX146" s="126"/>
      <c r="OY146" s="126"/>
      <c r="OZ146" s="126"/>
      <c r="PA146" s="126"/>
      <c r="PB146" s="126"/>
      <c r="PC146" s="126"/>
      <c r="PD146" s="126"/>
      <c r="PE146" s="126"/>
      <c r="PF146" s="126"/>
      <c r="PG146" s="126"/>
      <c r="PH146" s="126"/>
      <c r="PI146" s="126"/>
      <c r="PJ146" s="126"/>
      <c r="PK146" s="126"/>
      <c r="PL146" s="126"/>
      <c r="PM146" s="126"/>
      <c r="PN146" s="126"/>
      <c r="PO146" s="126"/>
      <c r="PP146" s="126"/>
      <c r="PQ146" s="126"/>
      <c r="PR146" s="126"/>
      <c r="PS146" s="126"/>
      <c r="PT146" s="126"/>
      <c r="PU146" s="126"/>
      <c r="PV146" s="126"/>
      <c r="PW146" s="126"/>
      <c r="PX146" s="126"/>
      <c r="PY146" s="126"/>
      <c r="PZ146" s="126"/>
      <c r="QA146" s="126"/>
      <c r="QB146" s="126"/>
      <c r="QC146" s="126"/>
      <c r="QD146" s="126"/>
      <c r="QE146" s="126"/>
      <c r="QF146" s="126"/>
      <c r="QG146" s="126"/>
      <c r="QH146" s="126"/>
      <c r="QI146" s="126"/>
      <c r="QJ146" s="126"/>
      <c r="QK146" s="126"/>
      <c r="QL146" s="126"/>
      <c r="QM146" s="126"/>
      <c r="QN146" s="126"/>
      <c r="QO146" s="126"/>
      <c r="QP146" s="126"/>
      <c r="QQ146" s="126"/>
      <c r="QR146" s="126"/>
      <c r="QS146" s="126"/>
      <c r="QT146" s="126"/>
      <c r="QU146" s="126"/>
      <c r="QV146" s="126"/>
      <c r="QW146" s="126"/>
      <c r="QX146" s="126"/>
      <c r="QY146" s="126"/>
      <c r="QZ146" s="126"/>
      <c r="RA146" s="126"/>
      <c r="RB146" s="126"/>
      <c r="RC146" s="126"/>
      <c r="RD146" s="126"/>
      <c r="RE146" s="126"/>
      <c r="RF146" s="126"/>
      <c r="RG146" s="126"/>
      <c r="RH146" s="126"/>
      <c r="RI146" s="126"/>
      <c r="RJ146" s="126"/>
      <c r="RK146" s="126"/>
      <c r="RL146" s="126"/>
      <c r="RM146" s="126"/>
      <c r="RN146" s="126"/>
      <c r="RO146" s="126"/>
      <c r="RP146" s="126"/>
      <c r="RQ146" s="126"/>
      <c r="RR146" s="126"/>
      <c r="RS146" s="126"/>
      <c r="RT146" s="126"/>
      <c r="RU146" s="126"/>
      <c r="RV146" s="126"/>
      <c r="RW146" s="126"/>
      <c r="RX146" s="126"/>
      <c r="RY146" s="126"/>
      <c r="RZ146" s="126"/>
      <c r="SA146" s="126"/>
      <c r="SB146" s="126"/>
      <c r="SC146" s="126"/>
      <c r="SD146" s="126"/>
      <c r="SE146" s="126"/>
      <c r="SF146" s="126"/>
      <c r="SG146" s="126"/>
      <c r="SH146" s="126"/>
      <c r="SI146" s="126"/>
      <c r="SJ146" s="126"/>
      <c r="SK146" s="126"/>
      <c r="SL146" s="126"/>
      <c r="SM146" s="126"/>
      <c r="SN146" s="126"/>
      <c r="SO146" s="126"/>
      <c r="SP146" s="126"/>
      <c r="SQ146" s="126"/>
      <c r="SR146" s="126"/>
      <c r="SS146" s="126"/>
      <c r="ST146" s="126"/>
      <c r="SU146" s="126"/>
      <c r="SV146" s="126"/>
      <c r="SW146" s="126"/>
      <c r="SX146" s="126"/>
      <c r="SY146" s="126"/>
      <c r="SZ146" s="126"/>
      <c r="TA146" s="126"/>
      <c r="TB146" s="126"/>
      <c r="TC146" s="126"/>
      <c r="TD146" s="126"/>
      <c r="TE146" s="126"/>
    </row>
    <row r="147" spans="1:525" s="127" customFormat="1" ht="47.25" hidden="1" customHeight="1" x14ac:dyDescent="0.25">
      <c r="A147" s="117" t="s">
        <v>501</v>
      </c>
      <c r="B147" s="118">
        <v>9320</v>
      </c>
      <c r="C147" s="117" t="s">
        <v>44</v>
      </c>
      <c r="D147" s="132" t="s">
        <v>544</v>
      </c>
      <c r="E147" s="81">
        <f t="shared" si="44"/>
        <v>0</v>
      </c>
      <c r="F147" s="81"/>
      <c r="G147" s="81"/>
      <c r="H147" s="81"/>
      <c r="I147" s="81"/>
      <c r="J147" s="81">
        <f t="shared" si="46"/>
        <v>0</v>
      </c>
      <c r="K147" s="81"/>
      <c r="L147" s="81"/>
      <c r="M147" s="81"/>
      <c r="N147" s="81"/>
      <c r="O147" s="81"/>
      <c r="P147" s="81">
        <f t="shared" si="45"/>
        <v>0</v>
      </c>
      <c r="Q147" s="260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  <c r="IW147" s="126"/>
      <c r="IX147" s="126"/>
      <c r="IY147" s="126"/>
      <c r="IZ147" s="126"/>
      <c r="JA147" s="126"/>
      <c r="JB147" s="126"/>
      <c r="JC147" s="126"/>
      <c r="JD147" s="126"/>
      <c r="JE147" s="126"/>
      <c r="JF147" s="126"/>
      <c r="JG147" s="126"/>
      <c r="JH147" s="126"/>
      <c r="JI147" s="126"/>
      <c r="JJ147" s="126"/>
      <c r="JK147" s="126"/>
      <c r="JL147" s="126"/>
      <c r="JM147" s="126"/>
      <c r="JN147" s="126"/>
      <c r="JO147" s="126"/>
      <c r="JP147" s="126"/>
      <c r="JQ147" s="126"/>
      <c r="JR147" s="126"/>
      <c r="JS147" s="126"/>
      <c r="JT147" s="126"/>
      <c r="JU147" s="126"/>
      <c r="JV147" s="126"/>
      <c r="JW147" s="126"/>
      <c r="JX147" s="126"/>
      <c r="JY147" s="126"/>
      <c r="JZ147" s="126"/>
      <c r="KA147" s="126"/>
      <c r="KB147" s="126"/>
      <c r="KC147" s="126"/>
      <c r="KD147" s="126"/>
      <c r="KE147" s="126"/>
      <c r="KF147" s="126"/>
      <c r="KG147" s="126"/>
      <c r="KH147" s="126"/>
      <c r="KI147" s="126"/>
      <c r="KJ147" s="126"/>
      <c r="KK147" s="126"/>
      <c r="KL147" s="126"/>
      <c r="KM147" s="126"/>
      <c r="KN147" s="126"/>
      <c r="KO147" s="126"/>
      <c r="KP147" s="126"/>
      <c r="KQ147" s="126"/>
      <c r="KR147" s="126"/>
      <c r="KS147" s="126"/>
      <c r="KT147" s="126"/>
      <c r="KU147" s="126"/>
      <c r="KV147" s="126"/>
      <c r="KW147" s="126"/>
      <c r="KX147" s="126"/>
      <c r="KY147" s="126"/>
      <c r="KZ147" s="126"/>
      <c r="LA147" s="126"/>
      <c r="LB147" s="126"/>
      <c r="LC147" s="126"/>
      <c r="LD147" s="126"/>
      <c r="LE147" s="126"/>
      <c r="LF147" s="126"/>
      <c r="LG147" s="126"/>
      <c r="LH147" s="126"/>
      <c r="LI147" s="126"/>
      <c r="LJ147" s="126"/>
      <c r="LK147" s="126"/>
      <c r="LL147" s="126"/>
      <c r="LM147" s="126"/>
      <c r="LN147" s="126"/>
      <c r="LO147" s="126"/>
      <c r="LP147" s="126"/>
      <c r="LQ147" s="126"/>
      <c r="LR147" s="126"/>
      <c r="LS147" s="126"/>
      <c r="LT147" s="126"/>
      <c r="LU147" s="126"/>
      <c r="LV147" s="126"/>
      <c r="LW147" s="126"/>
      <c r="LX147" s="126"/>
      <c r="LY147" s="126"/>
      <c r="LZ147" s="126"/>
      <c r="MA147" s="126"/>
      <c r="MB147" s="126"/>
      <c r="MC147" s="126"/>
      <c r="MD147" s="126"/>
      <c r="ME147" s="126"/>
      <c r="MF147" s="126"/>
      <c r="MG147" s="126"/>
      <c r="MH147" s="126"/>
      <c r="MI147" s="126"/>
      <c r="MJ147" s="126"/>
      <c r="MK147" s="126"/>
      <c r="ML147" s="126"/>
      <c r="MM147" s="126"/>
      <c r="MN147" s="126"/>
      <c r="MO147" s="126"/>
      <c r="MP147" s="126"/>
      <c r="MQ147" s="126"/>
      <c r="MR147" s="126"/>
      <c r="MS147" s="126"/>
      <c r="MT147" s="126"/>
      <c r="MU147" s="126"/>
      <c r="MV147" s="126"/>
      <c r="MW147" s="126"/>
      <c r="MX147" s="126"/>
      <c r="MY147" s="126"/>
      <c r="MZ147" s="126"/>
      <c r="NA147" s="126"/>
      <c r="NB147" s="126"/>
      <c r="NC147" s="126"/>
      <c r="ND147" s="126"/>
      <c r="NE147" s="126"/>
      <c r="NF147" s="126"/>
      <c r="NG147" s="126"/>
      <c r="NH147" s="126"/>
      <c r="NI147" s="126"/>
      <c r="NJ147" s="126"/>
      <c r="NK147" s="126"/>
      <c r="NL147" s="126"/>
      <c r="NM147" s="126"/>
      <c r="NN147" s="126"/>
      <c r="NO147" s="126"/>
      <c r="NP147" s="126"/>
      <c r="NQ147" s="126"/>
      <c r="NR147" s="126"/>
      <c r="NS147" s="126"/>
      <c r="NT147" s="126"/>
      <c r="NU147" s="126"/>
      <c r="NV147" s="126"/>
      <c r="NW147" s="126"/>
      <c r="NX147" s="126"/>
      <c r="NY147" s="126"/>
      <c r="NZ147" s="126"/>
      <c r="OA147" s="126"/>
      <c r="OB147" s="126"/>
      <c r="OC147" s="126"/>
      <c r="OD147" s="126"/>
      <c r="OE147" s="126"/>
      <c r="OF147" s="126"/>
      <c r="OG147" s="126"/>
      <c r="OH147" s="126"/>
      <c r="OI147" s="126"/>
      <c r="OJ147" s="126"/>
      <c r="OK147" s="126"/>
      <c r="OL147" s="126"/>
      <c r="OM147" s="126"/>
      <c r="ON147" s="126"/>
      <c r="OO147" s="126"/>
      <c r="OP147" s="126"/>
      <c r="OQ147" s="126"/>
      <c r="OR147" s="126"/>
      <c r="OS147" s="126"/>
      <c r="OT147" s="126"/>
      <c r="OU147" s="126"/>
      <c r="OV147" s="126"/>
      <c r="OW147" s="126"/>
      <c r="OX147" s="126"/>
      <c r="OY147" s="126"/>
      <c r="OZ147" s="126"/>
      <c r="PA147" s="126"/>
      <c r="PB147" s="126"/>
      <c r="PC147" s="126"/>
      <c r="PD147" s="126"/>
      <c r="PE147" s="126"/>
      <c r="PF147" s="126"/>
      <c r="PG147" s="126"/>
      <c r="PH147" s="126"/>
      <c r="PI147" s="126"/>
      <c r="PJ147" s="126"/>
      <c r="PK147" s="126"/>
      <c r="PL147" s="126"/>
      <c r="PM147" s="126"/>
      <c r="PN147" s="126"/>
      <c r="PO147" s="126"/>
      <c r="PP147" s="126"/>
      <c r="PQ147" s="126"/>
      <c r="PR147" s="126"/>
      <c r="PS147" s="126"/>
      <c r="PT147" s="126"/>
      <c r="PU147" s="126"/>
      <c r="PV147" s="126"/>
      <c r="PW147" s="126"/>
      <c r="PX147" s="126"/>
      <c r="PY147" s="126"/>
      <c r="PZ147" s="126"/>
      <c r="QA147" s="126"/>
      <c r="QB147" s="126"/>
      <c r="QC147" s="126"/>
      <c r="QD147" s="126"/>
      <c r="QE147" s="126"/>
      <c r="QF147" s="126"/>
      <c r="QG147" s="126"/>
      <c r="QH147" s="126"/>
      <c r="QI147" s="126"/>
      <c r="QJ147" s="126"/>
      <c r="QK147" s="126"/>
      <c r="QL147" s="126"/>
      <c r="QM147" s="126"/>
      <c r="QN147" s="126"/>
      <c r="QO147" s="126"/>
      <c r="QP147" s="126"/>
      <c r="QQ147" s="126"/>
      <c r="QR147" s="126"/>
      <c r="QS147" s="126"/>
      <c r="QT147" s="126"/>
      <c r="QU147" s="126"/>
      <c r="QV147" s="126"/>
      <c r="QW147" s="126"/>
      <c r="QX147" s="126"/>
      <c r="QY147" s="126"/>
      <c r="QZ147" s="126"/>
      <c r="RA147" s="126"/>
      <c r="RB147" s="126"/>
      <c r="RC147" s="126"/>
      <c r="RD147" s="126"/>
      <c r="RE147" s="126"/>
      <c r="RF147" s="126"/>
      <c r="RG147" s="126"/>
      <c r="RH147" s="126"/>
      <c r="RI147" s="126"/>
      <c r="RJ147" s="126"/>
      <c r="RK147" s="126"/>
      <c r="RL147" s="126"/>
      <c r="RM147" s="126"/>
      <c r="RN147" s="126"/>
      <c r="RO147" s="126"/>
      <c r="RP147" s="126"/>
      <c r="RQ147" s="126"/>
      <c r="RR147" s="126"/>
      <c r="RS147" s="126"/>
      <c r="RT147" s="126"/>
      <c r="RU147" s="126"/>
      <c r="RV147" s="126"/>
      <c r="RW147" s="126"/>
      <c r="RX147" s="126"/>
      <c r="RY147" s="126"/>
      <c r="RZ147" s="126"/>
      <c r="SA147" s="126"/>
      <c r="SB147" s="126"/>
      <c r="SC147" s="126"/>
      <c r="SD147" s="126"/>
      <c r="SE147" s="126"/>
      <c r="SF147" s="126"/>
      <c r="SG147" s="126"/>
      <c r="SH147" s="126"/>
      <c r="SI147" s="126"/>
      <c r="SJ147" s="126"/>
      <c r="SK147" s="126"/>
      <c r="SL147" s="126"/>
      <c r="SM147" s="126"/>
      <c r="SN147" s="126"/>
      <c r="SO147" s="126"/>
      <c r="SP147" s="126"/>
      <c r="SQ147" s="126"/>
      <c r="SR147" s="126"/>
      <c r="SS147" s="126"/>
      <c r="ST147" s="126"/>
      <c r="SU147" s="126"/>
      <c r="SV147" s="126"/>
      <c r="SW147" s="126"/>
      <c r="SX147" s="126"/>
      <c r="SY147" s="126"/>
      <c r="SZ147" s="126"/>
      <c r="TA147" s="126"/>
      <c r="TB147" s="126"/>
      <c r="TC147" s="126"/>
      <c r="TD147" s="126"/>
      <c r="TE147" s="126"/>
    </row>
    <row r="148" spans="1:525" s="127" customFormat="1" ht="31.5" hidden="1" customHeight="1" x14ac:dyDescent="0.25">
      <c r="A148" s="123"/>
      <c r="B148" s="144"/>
      <c r="C148" s="123"/>
      <c r="D148" s="125" t="s">
        <v>497</v>
      </c>
      <c r="E148" s="82">
        <f t="shared" si="44"/>
        <v>0</v>
      </c>
      <c r="F148" s="82"/>
      <c r="G148" s="82"/>
      <c r="H148" s="82"/>
      <c r="I148" s="82"/>
      <c r="J148" s="82">
        <f t="shared" si="46"/>
        <v>0</v>
      </c>
      <c r="K148" s="82"/>
      <c r="L148" s="82"/>
      <c r="M148" s="82"/>
      <c r="N148" s="82"/>
      <c r="O148" s="82"/>
      <c r="P148" s="82">
        <f t="shared" si="45"/>
        <v>0</v>
      </c>
      <c r="Q148" s="260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27" customFormat="1" ht="22.5" hidden="1" customHeight="1" x14ac:dyDescent="0.25">
      <c r="A149" s="117" t="s">
        <v>477</v>
      </c>
      <c r="B149" s="118">
        <v>9770</v>
      </c>
      <c r="C149" s="117" t="s">
        <v>44</v>
      </c>
      <c r="D149" s="132" t="str">
        <f>'дод 6'!C286</f>
        <v>Інші субвенції з місцевого бюджету</v>
      </c>
      <c r="E149" s="81">
        <f t="shared" ref="E149" si="56">F149+I149</f>
        <v>0</v>
      </c>
      <c r="F149" s="81"/>
      <c r="G149" s="81"/>
      <c r="H149" s="81"/>
      <c r="I149" s="81"/>
      <c r="J149" s="81">
        <f t="shared" ref="J149" si="57">L149+O149</f>
        <v>0</v>
      </c>
      <c r="K149" s="81"/>
      <c r="L149" s="81"/>
      <c r="M149" s="81"/>
      <c r="N149" s="81"/>
      <c r="O149" s="81"/>
      <c r="P149" s="81">
        <f t="shared" ref="P149" si="58">E149+J149</f>
        <v>0</v>
      </c>
      <c r="Q149" s="260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  <c r="HN149" s="126"/>
      <c r="HO149" s="126"/>
      <c r="HP149" s="126"/>
      <c r="HQ149" s="126"/>
      <c r="HR149" s="126"/>
      <c r="HS149" s="126"/>
      <c r="HT149" s="126"/>
      <c r="HU149" s="126"/>
      <c r="HV149" s="126"/>
      <c r="HW149" s="126"/>
      <c r="HX149" s="126"/>
      <c r="HY149" s="126"/>
      <c r="HZ149" s="126"/>
      <c r="IA149" s="126"/>
      <c r="IB149" s="126"/>
      <c r="IC149" s="126"/>
      <c r="ID149" s="126"/>
      <c r="IE149" s="126"/>
      <c r="IF149" s="126"/>
      <c r="IG149" s="126"/>
      <c r="IH149" s="126"/>
      <c r="II149" s="126"/>
      <c r="IJ149" s="126"/>
      <c r="IK149" s="126"/>
      <c r="IL149" s="126"/>
      <c r="IM149" s="126"/>
      <c r="IN149" s="126"/>
      <c r="IO149" s="126"/>
      <c r="IP149" s="126"/>
      <c r="IQ149" s="126"/>
      <c r="IR149" s="126"/>
      <c r="IS149" s="126"/>
      <c r="IT149" s="126"/>
      <c r="IU149" s="126"/>
      <c r="IV149" s="126"/>
      <c r="IW149" s="126"/>
      <c r="IX149" s="126"/>
      <c r="IY149" s="126"/>
      <c r="IZ149" s="126"/>
      <c r="JA149" s="126"/>
      <c r="JB149" s="126"/>
      <c r="JC149" s="126"/>
      <c r="JD149" s="126"/>
      <c r="JE149" s="126"/>
      <c r="JF149" s="126"/>
      <c r="JG149" s="126"/>
      <c r="JH149" s="126"/>
      <c r="JI149" s="126"/>
      <c r="JJ149" s="126"/>
      <c r="JK149" s="126"/>
      <c r="JL149" s="126"/>
      <c r="JM149" s="126"/>
      <c r="JN149" s="126"/>
      <c r="JO149" s="126"/>
      <c r="JP149" s="126"/>
      <c r="JQ149" s="126"/>
      <c r="JR149" s="126"/>
      <c r="JS149" s="126"/>
      <c r="JT149" s="126"/>
      <c r="JU149" s="126"/>
      <c r="JV149" s="126"/>
      <c r="JW149" s="126"/>
      <c r="JX149" s="126"/>
      <c r="JY149" s="126"/>
      <c r="JZ149" s="126"/>
      <c r="KA149" s="126"/>
      <c r="KB149" s="126"/>
      <c r="KC149" s="126"/>
      <c r="KD149" s="126"/>
      <c r="KE149" s="126"/>
      <c r="KF149" s="126"/>
      <c r="KG149" s="126"/>
      <c r="KH149" s="126"/>
      <c r="KI149" s="126"/>
      <c r="KJ149" s="126"/>
      <c r="KK149" s="126"/>
      <c r="KL149" s="126"/>
      <c r="KM149" s="126"/>
      <c r="KN149" s="126"/>
      <c r="KO149" s="126"/>
      <c r="KP149" s="126"/>
      <c r="KQ149" s="126"/>
      <c r="KR149" s="126"/>
      <c r="KS149" s="126"/>
      <c r="KT149" s="126"/>
      <c r="KU149" s="126"/>
      <c r="KV149" s="126"/>
      <c r="KW149" s="126"/>
      <c r="KX149" s="126"/>
      <c r="KY149" s="126"/>
      <c r="KZ149" s="126"/>
      <c r="LA149" s="126"/>
      <c r="LB149" s="126"/>
      <c r="LC149" s="126"/>
      <c r="LD149" s="126"/>
      <c r="LE149" s="126"/>
      <c r="LF149" s="126"/>
      <c r="LG149" s="126"/>
      <c r="LH149" s="126"/>
      <c r="LI149" s="126"/>
      <c r="LJ149" s="126"/>
      <c r="LK149" s="126"/>
      <c r="LL149" s="126"/>
      <c r="LM149" s="126"/>
      <c r="LN149" s="126"/>
      <c r="LO149" s="126"/>
      <c r="LP149" s="126"/>
      <c r="LQ149" s="126"/>
      <c r="LR149" s="126"/>
      <c r="LS149" s="126"/>
      <c r="LT149" s="126"/>
      <c r="LU149" s="126"/>
      <c r="LV149" s="126"/>
      <c r="LW149" s="126"/>
      <c r="LX149" s="126"/>
      <c r="LY149" s="126"/>
      <c r="LZ149" s="126"/>
      <c r="MA149" s="126"/>
      <c r="MB149" s="126"/>
      <c r="MC149" s="126"/>
      <c r="MD149" s="126"/>
      <c r="ME149" s="126"/>
      <c r="MF149" s="126"/>
      <c r="MG149" s="126"/>
      <c r="MH149" s="126"/>
      <c r="MI149" s="126"/>
      <c r="MJ149" s="126"/>
      <c r="MK149" s="126"/>
      <c r="ML149" s="126"/>
      <c r="MM149" s="126"/>
      <c r="MN149" s="126"/>
      <c r="MO149" s="126"/>
      <c r="MP149" s="126"/>
      <c r="MQ149" s="126"/>
      <c r="MR149" s="126"/>
      <c r="MS149" s="126"/>
      <c r="MT149" s="126"/>
      <c r="MU149" s="126"/>
      <c r="MV149" s="126"/>
      <c r="MW149" s="126"/>
      <c r="MX149" s="126"/>
      <c r="MY149" s="126"/>
      <c r="MZ149" s="126"/>
      <c r="NA149" s="126"/>
      <c r="NB149" s="126"/>
      <c r="NC149" s="126"/>
      <c r="ND149" s="126"/>
      <c r="NE149" s="126"/>
      <c r="NF149" s="126"/>
      <c r="NG149" s="126"/>
      <c r="NH149" s="126"/>
      <c r="NI149" s="126"/>
      <c r="NJ149" s="126"/>
      <c r="NK149" s="126"/>
      <c r="NL149" s="126"/>
      <c r="NM149" s="126"/>
      <c r="NN149" s="126"/>
      <c r="NO149" s="126"/>
      <c r="NP149" s="126"/>
      <c r="NQ149" s="126"/>
      <c r="NR149" s="126"/>
      <c r="NS149" s="126"/>
      <c r="NT149" s="126"/>
      <c r="NU149" s="126"/>
      <c r="NV149" s="126"/>
      <c r="NW149" s="126"/>
      <c r="NX149" s="126"/>
      <c r="NY149" s="126"/>
      <c r="NZ149" s="126"/>
      <c r="OA149" s="126"/>
      <c r="OB149" s="126"/>
      <c r="OC149" s="126"/>
      <c r="OD149" s="126"/>
      <c r="OE149" s="126"/>
      <c r="OF149" s="126"/>
      <c r="OG149" s="126"/>
      <c r="OH149" s="126"/>
      <c r="OI149" s="126"/>
      <c r="OJ149" s="126"/>
      <c r="OK149" s="126"/>
      <c r="OL149" s="126"/>
      <c r="OM149" s="126"/>
      <c r="ON149" s="126"/>
      <c r="OO149" s="126"/>
      <c r="OP149" s="126"/>
      <c r="OQ149" s="126"/>
      <c r="OR149" s="126"/>
      <c r="OS149" s="126"/>
      <c r="OT149" s="126"/>
      <c r="OU149" s="126"/>
      <c r="OV149" s="126"/>
      <c r="OW149" s="126"/>
      <c r="OX149" s="126"/>
      <c r="OY149" s="126"/>
      <c r="OZ149" s="126"/>
      <c r="PA149" s="126"/>
      <c r="PB149" s="126"/>
      <c r="PC149" s="126"/>
      <c r="PD149" s="126"/>
      <c r="PE149" s="126"/>
      <c r="PF149" s="126"/>
      <c r="PG149" s="126"/>
      <c r="PH149" s="126"/>
      <c r="PI149" s="126"/>
      <c r="PJ149" s="126"/>
      <c r="PK149" s="126"/>
      <c r="PL149" s="126"/>
      <c r="PM149" s="126"/>
      <c r="PN149" s="126"/>
      <c r="PO149" s="126"/>
      <c r="PP149" s="126"/>
      <c r="PQ149" s="126"/>
      <c r="PR149" s="126"/>
      <c r="PS149" s="126"/>
      <c r="PT149" s="126"/>
      <c r="PU149" s="126"/>
      <c r="PV149" s="126"/>
      <c r="PW149" s="126"/>
      <c r="PX149" s="126"/>
      <c r="PY149" s="126"/>
      <c r="PZ149" s="126"/>
      <c r="QA149" s="126"/>
      <c r="QB149" s="126"/>
      <c r="QC149" s="126"/>
      <c r="QD149" s="126"/>
      <c r="QE149" s="126"/>
      <c r="QF149" s="126"/>
      <c r="QG149" s="126"/>
      <c r="QH149" s="126"/>
      <c r="QI149" s="126"/>
      <c r="QJ149" s="126"/>
      <c r="QK149" s="126"/>
      <c r="QL149" s="126"/>
      <c r="QM149" s="126"/>
      <c r="QN149" s="126"/>
      <c r="QO149" s="126"/>
      <c r="QP149" s="126"/>
      <c r="QQ149" s="126"/>
      <c r="QR149" s="126"/>
      <c r="QS149" s="126"/>
      <c r="QT149" s="126"/>
      <c r="QU149" s="126"/>
      <c r="QV149" s="126"/>
      <c r="QW149" s="126"/>
      <c r="QX149" s="126"/>
      <c r="QY149" s="126"/>
      <c r="QZ149" s="126"/>
      <c r="RA149" s="126"/>
      <c r="RB149" s="126"/>
      <c r="RC149" s="126"/>
      <c r="RD149" s="126"/>
      <c r="RE149" s="126"/>
      <c r="RF149" s="126"/>
      <c r="RG149" s="126"/>
      <c r="RH149" s="126"/>
      <c r="RI149" s="126"/>
      <c r="RJ149" s="126"/>
      <c r="RK149" s="126"/>
      <c r="RL149" s="126"/>
      <c r="RM149" s="126"/>
      <c r="RN149" s="126"/>
      <c r="RO149" s="126"/>
      <c r="RP149" s="126"/>
      <c r="RQ149" s="126"/>
      <c r="RR149" s="126"/>
      <c r="RS149" s="126"/>
      <c r="RT149" s="126"/>
      <c r="RU149" s="126"/>
      <c r="RV149" s="126"/>
      <c r="RW149" s="126"/>
      <c r="RX149" s="126"/>
      <c r="RY149" s="126"/>
      <c r="RZ149" s="126"/>
      <c r="SA149" s="126"/>
      <c r="SB149" s="126"/>
      <c r="SC149" s="126"/>
      <c r="SD149" s="126"/>
      <c r="SE149" s="126"/>
      <c r="SF149" s="126"/>
      <c r="SG149" s="126"/>
      <c r="SH149" s="126"/>
      <c r="SI149" s="126"/>
      <c r="SJ149" s="126"/>
      <c r="SK149" s="126"/>
      <c r="SL149" s="126"/>
      <c r="SM149" s="126"/>
      <c r="SN149" s="126"/>
      <c r="SO149" s="126"/>
      <c r="SP149" s="126"/>
      <c r="SQ149" s="126"/>
      <c r="SR149" s="126"/>
      <c r="SS149" s="126"/>
      <c r="ST149" s="126"/>
      <c r="SU149" s="126"/>
      <c r="SV149" s="126"/>
      <c r="SW149" s="126"/>
      <c r="SX149" s="126"/>
      <c r="SY149" s="126"/>
      <c r="SZ149" s="126"/>
      <c r="TA149" s="126"/>
      <c r="TB149" s="126"/>
      <c r="TC149" s="126"/>
      <c r="TD149" s="126"/>
      <c r="TE149" s="126"/>
    </row>
    <row r="150" spans="1:525" s="127" customFormat="1" ht="48.75" customHeight="1" x14ac:dyDescent="0.25">
      <c r="A150" s="117" t="s">
        <v>493</v>
      </c>
      <c r="B150" s="118">
        <v>9800</v>
      </c>
      <c r="C150" s="117" t="s">
        <v>44</v>
      </c>
      <c r="D150" s="132" t="s">
        <v>362</v>
      </c>
      <c r="E150" s="81">
        <f t="shared" si="44"/>
        <v>100000</v>
      </c>
      <c r="F150" s="81">
        <v>100000</v>
      </c>
      <c r="G150" s="81"/>
      <c r="H150" s="81"/>
      <c r="I150" s="81"/>
      <c r="J150" s="81">
        <f t="shared" si="46"/>
        <v>0</v>
      </c>
      <c r="K150" s="81"/>
      <c r="L150" s="81"/>
      <c r="M150" s="81"/>
      <c r="N150" s="81"/>
      <c r="O150" s="81"/>
      <c r="P150" s="81">
        <f t="shared" si="45"/>
        <v>100000</v>
      </c>
      <c r="Q150" s="260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  <c r="IW150" s="126"/>
      <c r="IX150" s="126"/>
      <c r="IY150" s="126"/>
      <c r="IZ150" s="126"/>
      <c r="JA150" s="126"/>
      <c r="JB150" s="126"/>
      <c r="JC150" s="126"/>
      <c r="JD150" s="126"/>
      <c r="JE150" s="126"/>
      <c r="JF150" s="126"/>
      <c r="JG150" s="126"/>
      <c r="JH150" s="126"/>
      <c r="JI150" s="126"/>
      <c r="JJ150" s="126"/>
      <c r="JK150" s="126"/>
      <c r="JL150" s="126"/>
      <c r="JM150" s="126"/>
      <c r="JN150" s="126"/>
      <c r="JO150" s="126"/>
      <c r="JP150" s="126"/>
      <c r="JQ150" s="126"/>
      <c r="JR150" s="126"/>
      <c r="JS150" s="126"/>
      <c r="JT150" s="126"/>
      <c r="JU150" s="126"/>
      <c r="JV150" s="126"/>
      <c r="JW150" s="126"/>
      <c r="JX150" s="126"/>
      <c r="JY150" s="126"/>
      <c r="JZ150" s="126"/>
      <c r="KA150" s="126"/>
      <c r="KB150" s="126"/>
      <c r="KC150" s="126"/>
      <c r="KD150" s="126"/>
      <c r="KE150" s="126"/>
      <c r="KF150" s="126"/>
      <c r="KG150" s="126"/>
      <c r="KH150" s="126"/>
      <c r="KI150" s="126"/>
      <c r="KJ150" s="126"/>
      <c r="KK150" s="126"/>
      <c r="KL150" s="126"/>
      <c r="KM150" s="126"/>
      <c r="KN150" s="126"/>
      <c r="KO150" s="126"/>
      <c r="KP150" s="126"/>
      <c r="KQ150" s="126"/>
      <c r="KR150" s="126"/>
      <c r="KS150" s="126"/>
      <c r="KT150" s="126"/>
      <c r="KU150" s="126"/>
      <c r="KV150" s="126"/>
      <c r="KW150" s="126"/>
      <c r="KX150" s="126"/>
      <c r="KY150" s="126"/>
      <c r="KZ150" s="126"/>
      <c r="LA150" s="126"/>
      <c r="LB150" s="126"/>
      <c r="LC150" s="126"/>
      <c r="LD150" s="126"/>
      <c r="LE150" s="126"/>
      <c r="LF150" s="126"/>
      <c r="LG150" s="126"/>
      <c r="LH150" s="126"/>
      <c r="LI150" s="126"/>
      <c r="LJ150" s="126"/>
      <c r="LK150" s="126"/>
      <c r="LL150" s="126"/>
      <c r="LM150" s="126"/>
      <c r="LN150" s="126"/>
      <c r="LO150" s="126"/>
      <c r="LP150" s="126"/>
      <c r="LQ150" s="126"/>
      <c r="LR150" s="126"/>
      <c r="LS150" s="126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6"/>
      <c r="MU150" s="126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6"/>
      <c r="NT150" s="126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126"/>
      <c r="OT150" s="126"/>
      <c r="OU150" s="126"/>
      <c r="OV150" s="126"/>
      <c r="OW150" s="126"/>
      <c r="OX150" s="126"/>
      <c r="OY150" s="126"/>
      <c r="OZ150" s="126"/>
      <c r="PA150" s="126"/>
      <c r="PB150" s="126"/>
      <c r="PC150" s="126"/>
      <c r="PD150" s="126"/>
      <c r="PE150" s="126"/>
      <c r="PF150" s="126"/>
      <c r="PG150" s="126"/>
      <c r="PH150" s="126"/>
      <c r="PI150" s="126"/>
      <c r="PJ150" s="126"/>
      <c r="PK150" s="126"/>
      <c r="PL150" s="126"/>
      <c r="PM150" s="126"/>
      <c r="PN150" s="126"/>
      <c r="PO150" s="126"/>
      <c r="PP150" s="126"/>
      <c r="PQ150" s="126"/>
      <c r="PR150" s="126"/>
      <c r="PS150" s="126"/>
      <c r="PT150" s="126"/>
      <c r="PU150" s="126"/>
      <c r="PV150" s="126"/>
      <c r="PW150" s="126"/>
      <c r="PX150" s="126"/>
      <c r="PY150" s="126"/>
      <c r="PZ150" s="126"/>
      <c r="QA150" s="126"/>
      <c r="QB150" s="126"/>
      <c r="QC150" s="126"/>
      <c r="QD150" s="126"/>
      <c r="QE150" s="126"/>
      <c r="QF150" s="126"/>
      <c r="QG150" s="126"/>
      <c r="QH150" s="126"/>
      <c r="QI150" s="126"/>
      <c r="QJ150" s="126"/>
      <c r="QK150" s="126"/>
      <c r="QL150" s="126"/>
      <c r="QM150" s="126"/>
      <c r="QN150" s="126"/>
      <c r="QO150" s="126"/>
      <c r="QP150" s="126"/>
      <c r="QQ150" s="126"/>
      <c r="QR150" s="126"/>
      <c r="QS150" s="126"/>
      <c r="QT150" s="126"/>
      <c r="QU150" s="126"/>
      <c r="QV150" s="126"/>
      <c r="QW150" s="126"/>
      <c r="QX150" s="126"/>
      <c r="QY150" s="126"/>
      <c r="QZ150" s="126"/>
      <c r="RA150" s="126"/>
      <c r="RB150" s="126"/>
      <c r="RC150" s="126"/>
      <c r="RD150" s="126"/>
      <c r="RE150" s="126"/>
      <c r="RF150" s="126"/>
      <c r="RG150" s="126"/>
      <c r="RH150" s="126"/>
      <c r="RI150" s="126"/>
      <c r="RJ150" s="126"/>
      <c r="RK150" s="126"/>
      <c r="RL150" s="126"/>
      <c r="RM150" s="126"/>
      <c r="RN150" s="126"/>
      <c r="RO150" s="126"/>
      <c r="RP150" s="126"/>
      <c r="RQ150" s="126"/>
      <c r="RR150" s="126"/>
      <c r="RS150" s="126"/>
      <c r="RT150" s="126"/>
      <c r="RU150" s="126"/>
      <c r="RV150" s="126"/>
      <c r="RW150" s="126"/>
      <c r="RX150" s="126"/>
      <c r="RY150" s="126"/>
      <c r="RZ150" s="126"/>
      <c r="SA150" s="126"/>
      <c r="SB150" s="126"/>
      <c r="SC150" s="126"/>
      <c r="SD150" s="126"/>
      <c r="SE150" s="126"/>
      <c r="SF150" s="126"/>
      <c r="SG150" s="126"/>
      <c r="SH150" s="126"/>
      <c r="SI150" s="126"/>
      <c r="SJ150" s="126"/>
      <c r="SK150" s="126"/>
      <c r="SL150" s="126"/>
      <c r="SM150" s="126"/>
      <c r="SN150" s="126"/>
      <c r="SO150" s="126"/>
      <c r="SP150" s="126"/>
      <c r="SQ150" s="126"/>
      <c r="SR150" s="126"/>
      <c r="SS150" s="126"/>
      <c r="ST150" s="126"/>
      <c r="SU150" s="126"/>
      <c r="SV150" s="126"/>
      <c r="SW150" s="126"/>
      <c r="SX150" s="126"/>
      <c r="SY150" s="126"/>
      <c r="SZ150" s="126"/>
      <c r="TA150" s="126"/>
      <c r="TB150" s="126"/>
      <c r="TC150" s="126"/>
      <c r="TD150" s="126"/>
      <c r="TE150" s="126"/>
    </row>
    <row r="151" spans="1:525" s="111" customFormat="1" ht="33.75" customHeight="1" x14ac:dyDescent="0.25">
      <c r="A151" s="142" t="s">
        <v>166</v>
      </c>
      <c r="B151" s="148"/>
      <c r="C151" s="148"/>
      <c r="D151" s="138" t="s">
        <v>444</v>
      </c>
      <c r="E151" s="79">
        <f>E152</f>
        <v>120052698</v>
      </c>
      <c r="F151" s="79">
        <f t="shared" ref="F151:P151" si="59">F152</f>
        <v>120052698</v>
      </c>
      <c r="G151" s="79">
        <f t="shared" si="59"/>
        <v>4535700</v>
      </c>
      <c r="H151" s="79">
        <f t="shared" si="59"/>
        <v>171900</v>
      </c>
      <c r="I151" s="79">
        <f t="shared" si="59"/>
        <v>0</v>
      </c>
      <c r="J151" s="79">
        <f t="shared" si="59"/>
        <v>264130306</v>
      </c>
      <c r="K151" s="79">
        <f t="shared" si="59"/>
        <v>259930306</v>
      </c>
      <c r="L151" s="79">
        <f t="shared" si="59"/>
        <v>0</v>
      </c>
      <c r="M151" s="79">
        <f t="shared" si="59"/>
        <v>0</v>
      </c>
      <c r="N151" s="79">
        <f t="shared" si="59"/>
        <v>0</v>
      </c>
      <c r="O151" s="79">
        <f t="shared" si="59"/>
        <v>264130306</v>
      </c>
      <c r="P151" s="79">
        <f t="shared" si="59"/>
        <v>384183004</v>
      </c>
      <c r="Q151" s="26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/>
      <c r="JT151" s="110"/>
      <c r="JU151" s="110"/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/>
      <c r="LQ151" s="110"/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110"/>
      <c r="MF151" s="110"/>
      <c r="MG151" s="110"/>
      <c r="MH151" s="110"/>
      <c r="MI151" s="110"/>
      <c r="MJ151" s="110"/>
      <c r="MK151" s="110"/>
      <c r="ML151" s="110"/>
      <c r="MM151" s="110"/>
      <c r="MN151" s="110"/>
      <c r="MO151" s="110"/>
      <c r="MP151" s="110"/>
      <c r="MQ151" s="110"/>
      <c r="MR151" s="110"/>
      <c r="MS151" s="110"/>
      <c r="MT151" s="110"/>
      <c r="MU151" s="110"/>
      <c r="MV151" s="110"/>
      <c r="MW151" s="110"/>
      <c r="MX151" s="110"/>
      <c r="MY151" s="110"/>
      <c r="MZ151" s="110"/>
      <c r="NA151" s="110"/>
      <c r="NB151" s="110"/>
      <c r="NC151" s="110"/>
      <c r="ND151" s="110"/>
      <c r="NE151" s="110"/>
      <c r="NF151" s="110"/>
      <c r="NG151" s="110"/>
      <c r="NH151" s="110"/>
      <c r="NI151" s="110"/>
      <c r="NJ151" s="110"/>
      <c r="NK151" s="110"/>
      <c r="NL151" s="110"/>
      <c r="NM151" s="110"/>
      <c r="NN151" s="110"/>
      <c r="NO151" s="110"/>
      <c r="NP151" s="110"/>
      <c r="NQ151" s="110"/>
      <c r="NR151" s="110"/>
      <c r="NS151" s="110"/>
      <c r="NT151" s="110"/>
      <c r="NU151" s="110"/>
      <c r="NV151" s="110"/>
      <c r="NW151" s="110"/>
      <c r="NX151" s="110"/>
      <c r="NY151" s="110"/>
      <c r="NZ151" s="110"/>
      <c r="OA151" s="110"/>
      <c r="OB151" s="110"/>
      <c r="OC151" s="110"/>
      <c r="OD151" s="110"/>
      <c r="OE151" s="110"/>
      <c r="OF151" s="110"/>
      <c r="OG151" s="110"/>
      <c r="OH151" s="110"/>
      <c r="OI151" s="110"/>
      <c r="OJ151" s="110"/>
      <c r="OK151" s="110"/>
      <c r="OL151" s="110"/>
      <c r="OM151" s="110"/>
      <c r="ON151" s="110"/>
      <c r="OO151" s="110"/>
      <c r="OP151" s="110"/>
      <c r="OQ151" s="110"/>
      <c r="OR151" s="110"/>
      <c r="OS151" s="110"/>
      <c r="OT151" s="110"/>
      <c r="OU151" s="110"/>
      <c r="OV151" s="110"/>
      <c r="OW151" s="110"/>
      <c r="OX151" s="110"/>
      <c r="OY151" s="110"/>
      <c r="OZ151" s="110"/>
      <c r="PA151" s="110"/>
      <c r="PB151" s="110"/>
      <c r="PC151" s="110"/>
      <c r="PD151" s="110"/>
      <c r="PE151" s="110"/>
      <c r="PF151" s="110"/>
      <c r="PG151" s="110"/>
      <c r="PH151" s="110"/>
      <c r="PI151" s="110"/>
      <c r="PJ151" s="110"/>
      <c r="PK151" s="110"/>
      <c r="PL151" s="110"/>
      <c r="PM151" s="110"/>
      <c r="PN151" s="110"/>
      <c r="PO151" s="110"/>
      <c r="PP151" s="110"/>
      <c r="PQ151" s="110"/>
      <c r="PR151" s="110"/>
      <c r="PS151" s="110"/>
      <c r="PT151" s="110"/>
      <c r="PU151" s="110"/>
      <c r="PV151" s="110"/>
      <c r="PW151" s="110"/>
      <c r="PX151" s="110"/>
      <c r="PY151" s="110"/>
      <c r="PZ151" s="110"/>
      <c r="QA151" s="110"/>
      <c r="QB151" s="110"/>
      <c r="QC151" s="110"/>
      <c r="QD151" s="110"/>
      <c r="QE151" s="110"/>
      <c r="QF151" s="110"/>
      <c r="QG151" s="110"/>
      <c r="QH151" s="110"/>
      <c r="QI151" s="110"/>
      <c r="QJ151" s="110"/>
      <c r="QK151" s="110"/>
      <c r="QL151" s="110"/>
      <c r="QM151" s="110"/>
      <c r="QN151" s="110"/>
      <c r="QO151" s="110"/>
      <c r="QP151" s="110"/>
      <c r="QQ151" s="110"/>
      <c r="QR151" s="110"/>
      <c r="QS151" s="110"/>
      <c r="QT151" s="110"/>
      <c r="QU151" s="110"/>
      <c r="QV151" s="110"/>
      <c r="QW151" s="110"/>
      <c r="QX151" s="110"/>
      <c r="QY151" s="110"/>
      <c r="QZ151" s="110"/>
      <c r="RA151" s="110"/>
      <c r="RB151" s="110"/>
      <c r="RC151" s="110"/>
      <c r="RD151" s="110"/>
      <c r="RE151" s="110"/>
      <c r="RF151" s="110"/>
      <c r="RG151" s="110"/>
      <c r="RH151" s="110"/>
      <c r="RI151" s="110"/>
      <c r="RJ151" s="110"/>
      <c r="RK151" s="110"/>
      <c r="RL151" s="110"/>
      <c r="RM151" s="110"/>
      <c r="RN151" s="110"/>
      <c r="RO151" s="110"/>
      <c r="RP151" s="110"/>
      <c r="RQ151" s="110"/>
      <c r="RR151" s="110"/>
      <c r="RS151" s="110"/>
      <c r="RT151" s="110"/>
      <c r="RU151" s="110"/>
      <c r="RV151" s="110"/>
      <c r="RW151" s="110"/>
      <c r="RX151" s="110"/>
      <c r="RY151" s="110"/>
      <c r="RZ151" s="110"/>
      <c r="SA151" s="110"/>
      <c r="SB151" s="110"/>
      <c r="SC151" s="110"/>
      <c r="SD151" s="110"/>
      <c r="SE151" s="110"/>
      <c r="SF151" s="110"/>
      <c r="SG151" s="110"/>
      <c r="SH151" s="110"/>
      <c r="SI151" s="110"/>
      <c r="SJ151" s="110"/>
      <c r="SK151" s="110"/>
      <c r="SL151" s="110"/>
      <c r="SM151" s="110"/>
      <c r="SN151" s="110"/>
      <c r="SO151" s="110"/>
      <c r="SP151" s="110"/>
      <c r="SQ151" s="110"/>
      <c r="SR151" s="110"/>
      <c r="SS151" s="110"/>
      <c r="ST151" s="110"/>
      <c r="SU151" s="110"/>
      <c r="SV151" s="110"/>
      <c r="SW151" s="110"/>
      <c r="SX151" s="110"/>
      <c r="SY151" s="110"/>
      <c r="SZ151" s="110"/>
      <c r="TA151" s="110"/>
      <c r="TB151" s="110"/>
      <c r="TC151" s="110"/>
      <c r="TD151" s="110"/>
      <c r="TE151" s="110"/>
    </row>
    <row r="152" spans="1:525" s="116" customFormat="1" ht="33" customHeight="1" x14ac:dyDescent="0.25">
      <c r="A152" s="112" t="s">
        <v>167</v>
      </c>
      <c r="B152" s="141"/>
      <c r="C152" s="141"/>
      <c r="D152" s="114" t="s">
        <v>664</v>
      </c>
      <c r="E152" s="80">
        <f t="shared" ref="E152:P152" si="60">E162+E163+E170+E173+E175+E177+E180+E181+E182+E183+E184+E186+E188+E190+E168+E172+E191</f>
        <v>120052698</v>
      </c>
      <c r="F152" s="80">
        <f t="shared" si="60"/>
        <v>120052698</v>
      </c>
      <c r="G152" s="80">
        <f t="shared" si="60"/>
        <v>4535700</v>
      </c>
      <c r="H152" s="80">
        <f t="shared" si="60"/>
        <v>171900</v>
      </c>
      <c r="I152" s="80">
        <f t="shared" si="60"/>
        <v>0</v>
      </c>
      <c r="J152" s="80">
        <f t="shared" si="60"/>
        <v>264130306</v>
      </c>
      <c r="K152" s="80">
        <f t="shared" si="60"/>
        <v>259930306</v>
      </c>
      <c r="L152" s="80">
        <f t="shared" si="60"/>
        <v>0</v>
      </c>
      <c r="M152" s="80">
        <f t="shared" si="60"/>
        <v>0</v>
      </c>
      <c r="N152" s="80">
        <f t="shared" si="60"/>
        <v>0</v>
      </c>
      <c r="O152" s="80">
        <f t="shared" si="60"/>
        <v>264130306</v>
      </c>
      <c r="P152" s="80">
        <f t="shared" si="60"/>
        <v>384183004</v>
      </c>
      <c r="Q152" s="260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</row>
    <row r="153" spans="1:525" s="116" customFormat="1" ht="94.5" hidden="1" customHeight="1" x14ac:dyDescent="0.25">
      <c r="A153" s="112"/>
      <c r="B153" s="141"/>
      <c r="C153" s="141"/>
      <c r="D153" s="114" t="s">
        <v>605</v>
      </c>
      <c r="E153" s="80">
        <f>E167</f>
        <v>0</v>
      </c>
      <c r="F153" s="80">
        <f t="shared" ref="F153:P153" si="61">F167</f>
        <v>0</v>
      </c>
      <c r="G153" s="80">
        <f t="shared" si="61"/>
        <v>0</v>
      </c>
      <c r="H153" s="80">
        <f t="shared" si="61"/>
        <v>0</v>
      </c>
      <c r="I153" s="80">
        <f t="shared" si="61"/>
        <v>0</v>
      </c>
      <c r="J153" s="80">
        <f t="shared" si="61"/>
        <v>0</v>
      </c>
      <c r="K153" s="80">
        <f t="shared" si="61"/>
        <v>0</v>
      </c>
      <c r="L153" s="80">
        <f t="shared" si="61"/>
        <v>0</v>
      </c>
      <c r="M153" s="80">
        <f t="shared" si="61"/>
        <v>0</v>
      </c>
      <c r="N153" s="80">
        <f t="shared" si="61"/>
        <v>0</v>
      </c>
      <c r="O153" s="80">
        <f t="shared" si="61"/>
        <v>0</v>
      </c>
      <c r="P153" s="80">
        <f t="shared" si="61"/>
        <v>0</v>
      </c>
      <c r="Q153" s="260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</row>
    <row r="154" spans="1:525" s="116" customFormat="1" ht="31.5" hidden="1" customHeight="1" x14ac:dyDescent="0.25">
      <c r="A154" s="112"/>
      <c r="B154" s="141"/>
      <c r="C154" s="141"/>
      <c r="D154" s="114" t="s">
        <v>385</v>
      </c>
      <c r="E154" s="80">
        <f>E164+E171+E174</f>
        <v>0</v>
      </c>
      <c r="F154" s="80">
        <f t="shared" ref="F154:P154" si="62">F164+F171+F174</f>
        <v>0</v>
      </c>
      <c r="G154" s="80">
        <f t="shared" si="62"/>
        <v>0</v>
      </c>
      <c r="H154" s="80">
        <f t="shared" si="62"/>
        <v>0</v>
      </c>
      <c r="I154" s="80">
        <f t="shared" si="62"/>
        <v>0</v>
      </c>
      <c r="J154" s="80">
        <f t="shared" si="62"/>
        <v>0</v>
      </c>
      <c r="K154" s="80">
        <f t="shared" si="62"/>
        <v>0</v>
      </c>
      <c r="L154" s="80">
        <f t="shared" si="62"/>
        <v>0</v>
      </c>
      <c r="M154" s="80">
        <f t="shared" si="62"/>
        <v>0</v>
      </c>
      <c r="N154" s="80">
        <f t="shared" si="62"/>
        <v>0</v>
      </c>
      <c r="O154" s="80">
        <f t="shared" si="62"/>
        <v>0</v>
      </c>
      <c r="P154" s="80">
        <f t="shared" si="62"/>
        <v>0</v>
      </c>
      <c r="Q154" s="260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</row>
    <row r="155" spans="1:525" s="116" customFormat="1" ht="57" hidden="1" customHeight="1" x14ac:dyDescent="0.25">
      <c r="A155" s="112"/>
      <c r="B155" s="141"/>
      <c r="C155" s="141"/>
      <c r="D155" s="114" t="s">
        <v>383</v>
      </c>
      <c r="E155" s="80">
        <f>E185</f>
        <v>0</v>
      </c>
      <c r="F155" s="80">
        <f>F185</f>
        <v>0</v>
      </c>
      <c r="G155" s="80">
        <f t="shared" ref="G155:I155" si="63">G185</f>
        <v>0</v>
      </c>
      <c r="H155" s="80">
        <f t="shared" si="63"/>
        <v>0</v>
      </c>
      <c r="I155" s="80">
        <f t="shared" si="63"/>
        <v>0</v>
      </c>
      <c r="J155" s="80">
        <f>J185</f>
        <v>0</v>
      </c>
      <c r="K155" s="80">
        <f t="shared" ref="K155:P155" si="64">K185</f>
        <v>0</v>
      </c>
      <c r="L155" s="80">
        <f t="shared" si="64"/>
        <v>0</v>
      </c>
      <c r="M155" s="80">
        <f t="shared" si="64"/>
        <v>0</v>
      </c>
      <c r="N155" s="80">
        <f t="shared" si="64"/>
        <v>0</v>
      </c>
      <c r="O155" s="80">
        <f t="shared" si="64"/>
        <v>0</v>
      </c>
      <c r="P155" s="80">
        <f t="shared" si="64"/>
        <v>0</v>
      </c>
      <c r="Q155" s="260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</row>
    <row r="156" spans="1:525" s="116" customFormat="1" ht="47.25" hidden="1" customHeight="1" x14ac:dyDescent="0.25">
      <c r="A156" s="112"/>
      <c r="B156" s="141"/>
      <c r="C156" s="141"/>
      <c r="D156" s="114" t="s">
        <v>386</v>
      </c>
      <c r="E156" s="80">
        <f>E165+E178</f>
        <v>0</v>
      </c>
      <c r="F156" s="80">
        <f t="shared" ref="F156:P156" si="65">F165+F178</f>
        <v>0</v>
      </c>
      <c r="G156" s="80">
        <f t="shared" si="65"/>
        <v>0</v>
      </c>
      <c r="H156" s="80">
        <f t="shared" si="65"/>
        <v>0</v>
      </c>
      <c r="I156" s="80">
        <f t="shared" si="65"/>
        <v>0</v>
      </c>
      <c r="J156" s="80">
        <f t="shared" si="65"/>
        <v>0</v>
      </c>
      <c r="K156" s="80">
        <f t="shared" si="65"/>
        <v>0</v>
      </c>
      <c r="L156" s="80">
        <f t="shared" si="65"/>
        <v>0</v>
      </c>
      <c r="M156" s="80">
        <f t="shared" si="65"/>
        <v>0</v>
      </c>
      <c r="N156" s="80">
        <f t="shared" si="65"/>
        <v>0</v>
      </c>
      <c r="O156" s="80">
        <f t="shared" si="65"/>
        <v>0</v>
      </c>
      <c r="P156" s="80">
        <f t="shared" si="65"/>
        <v>0</v>
      </c>
      <c r="Q156" s="260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</row>
    <row r="157" spans="1:525" s="116" customFormat="1" ht="63" hidden="1" customHeight="1" x14ac:dyDescent="0.25">
      <c r="A157" s="112"/>
      <c r="B157" s="141"/>
      <c r="C157" s="141"/>
      <c r="D157" s="114" t="s">
        <v>387</v>
      </c>
      <c r="E157" s="80">
        <f>E176+E179</f>
        <v>0</v>
      </c>
      <c r="F157" s="80">
        <f>F176+F179</f>
        <v>0</v>
      </c>
      <c r="G157" s="80">
        <f t="shared" ref="G157:P157" si="66">G176+G179</f>
        <v>0</v>
      </c>
      <c r="H157" s="80">
        <f t="shared" si="66"/>
        <v>0</v>
      </c>
      <c r="I157" s="80">
        <f t="shared" si="66"/>
        <v>0</v>
      </c>
      <c r="J157" s="80">
        <f t="shared" si="66"/>
        <v>0</v>
      </c>
      <c r="K157" s="80">
        <f>K176+K179</f>
        <v>0</v>
      </c>
      <c r="L157" s="80">
        <f t="shared" si="66"/>
        <v>0</v>
      </c>
      <c r="M157" s="80">
        <f t="shared" si="66"/>
        <v>0</v>
      </c>
      <c r="N157" s="80">
        <f t="shared" si="66"/>
        <v>0</v>
      </c>
      <c r="O157" s="80">
        <f t="shared" si="66"/>
        <v>0</v>
      </c>
      <c r="P157" s="80">
        <f t="shared" si="66"/>
        <v>0</v>
      </c>
      <c r="Q157" s="260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</row>
    <row r="158" spans="1:525" s="116" customFormat="1" ht="53.25" hidden="1" customHeight="1" x14ac:dyDescent="0.25">
      <c r="A158" s="112"/>
      <c r="B158" s="141"/>
      <c r="C158" s="141"/>
      <c r="D158" s="114" t="s">
        <v>383</v>
      </c>
      <c r="E158" s="80">
        <f>E185</f>
        <v>0</v>
      </c>
      <c r="F158" s="80">
        <f t="shared" ref="F158:P158" si="67">F185</f>
        <v>0</v>
      </c>
      <c r="G158" s="80">
        <f t="shared" si="67"/>
        <v>0</v>
      </c>
      <c r="H158" s="80">
        <f t="shared" si="67"/>
        <v>0</v>
      </c>
      <c r="I158" s="80">
        <f t="shared" si="67"/>
        <v>0</v>
      </c>
      <c r="J158" s="80">
        <f t="shared" si="67"/>
        <v>0</v>
      </c>
      <c r="K158" s="80">
        <f t="shared" si="67"/>
        <v>0</v>
      </c>
      <c r="L158" s="80">
        <f t="shared" si="67"/>
        <v>0</v>
      </c>
      <c r="M158" s="80">
        <f t="shared" si="67"/>
        <v>0</v>
      </c>
      <c r="N158" s="80">
        <f t="shared" si="67"/>
        <v>0</v>
      </c>
      <c r="O158" s="80">
        <f t="shared" si="67"/>
        <v>0</v>
      </c>
      <c r="P158" s="80">
        <f t="shared" si="67"/>
        <v>0</v>
      </c>
      <c r="Q158" s="260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</row>
    <row r="159" spans="1:525" s="116" customFormat="1" ht="22.5" customHeight="1" x14ac:dyDescent="0.25">
      <c r="A159" s="112"/>
      <c r="B159" s="141"/>
      <c r="C159" s="141"/>
      <c r="D159" s="114" t="s">
        <v>388</v>
      </c>
      <c r="E159" s="80">
        <f>E166+E169</f>
        <v>252571</v>
      </c>
      <c r="F159" s="80">
        <f t="shared" ref="F159:P159" si="68">F166+F169</f>
        <v>252571</v>
      </c>
      <c r="G159" s="80">
        <f t="shared" si="68"/>
        <v>0</v>
      </c>
      <c r="H159" s="80">
        <f t="shared" si="68"/>
        <v>0</v>
      </c>
      <c r="I159" s="80">
        <f t="shared" si="68"/>
        <v>0</v>
      </c>
      <c r="J159" s="80">
        <f t="shared" si="68"/>
        <v>0</v>
      </c>
      <c r="K159" s="80">
        <f t="shared" si="68"/>
        <v>0</v>
      </c>
      <c r="L159" s="80">
        <f t="shared" si="68"/>
        <v>0</v>
      </c>
      <c r="M159" s="80">
        <f t="shared" si="68"/>
        <v>0</v>
      </c>
      <c r="N159" s="80">
        <f t="shared" si="68"/>
        <v>0</v>
      </c>
      <c r="O159" s="80">
        <f t="shared" si="68"/>
        <v>0</v>
      </c>
      <c r="P159" s="80">
        <f t="shared" si="68"/>
        <v>252571</v>
      </c>
      <c r="Q159" s="260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</row>
    <row r="160" spans="1:525" s="116" customFormat="1" ht="15.75" hidden="1" customHeight="1" x14ac:dyDescent="0.25">
      <c r="A160" s="112"/>
      <c r="B160" s="141"/>
      <c r="C160" s="141"/>
      <c r="D160" s="149" t="s">
        <v>410</v>
      </c>
      <c r="E160" s="80">
        <f>E187</f>
        <v>0</v>
      </c>
      <c r="F160" s="80">
        <f t="shared" ref="F160:P160" si="69">F187</f>
        <v>0</v>
      </c>
      <c r="G160" s="80">
        <f t="shared" si="69"/>
        <v>0</v>
      </c>
      <c r="H160" s="80">
        <f t="shared" si="69"/>
        <v>0</v>
      </c>
      <c r="I160" s="80">
        <f t="shared" si="69"/>
        <v>0</v>
      </c>
      <c r="J160" s="80">
        <f t="shared" si="69"/>
        <v>0</v>
      </c>
      <c r="K160" s="80">
        <f t="shared" si="69"/>
        <v>0</v>
      </c>
      <c r="L160" s="80">
        <f t="shared" si="69"/>
        <v>0</v>
      </c>
      <c r="M160" s="80">
        <f t="shared" si="69"/>
        <v>0</v>
      </c>
      <c r="N160" s="80">
        <f t="shared" si="69"/>
        <v>0</v>
      </c>
      <c r="O160" s="80">
        <f t="shared" si="69"/>
        <v>0</v>
      </c>
      <c r="P160" s="80">
        <f t="shared" si="69"/>
        <v>0</v>
      </c>
      <c r="Q160" s="260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</row>
    <row r="161" spans="1:525" s="116" customFormat="1" ht="15.75" customHeight="1" x14ac:dyDescent="0.25">
      <c r="A161" s="112"/>
      <c r="B161" s="141"/>
      <c r="C161" s="141"/>
      <c r="D161" s="149" t="s">
        <v>662</v>
      </c>
      <c r="E161" s="80">
        <f>E189</f>
        <v>0</v>
      </c>
      <c r="F161" s="80">
        <f t="shared" ref="F161:P161" si="70">F189</f>
        <v>0</v>
      </c>
      <c r="G161" s="80">
        <f t="shared" si="70"/>
        <v>0</v>
      </c>
      <c r="H161" s="80">
        <f t="shared" si="70"/>
        <v>0</v>
      </c>
      <c r="I161" s="80">
        <f t="shared" si="70"/>
        <v>0</v>
      </c>
      <c r="J161" s="80">
        <f t="shared" si="70"/>
        <v>4200000</v>
      </c>
      <c r="K161" s="80">
        <f t="shared" si="70"/>
        <v>0</v>
      </c>
      <c r="L161" s="80">
        <f t="shared" si="70"/>
        <v>0</v>
      </c>
      <c r="M161" s="80">
        <f t="shared" si="70"/>
        <v>0</v>
      </c>
      <c r="N161" s="80">
        <f t="shared" si="70"/>
        <v>0</v>
      </c>
      <c r="O161" s="80">
        <f t="shared" si="70"/>
        <v>4200000</v>
      </c>
      <c r="P161" s="80">
        <f t="shared" si="70"/>
        <v>4200000</v>
      </c>
      <c r="Q161" s="260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</row>
    <row r="162" spans="1:525" s="121" customFormat="1" ht="48" customHeight="1" x14ac:dyDescent="0.25">
      <c r="A162" s="117" t="s">
        <v>168</v>
      </c>
      <c r="B162" s="118" t="str">
        <f>'дод 6'!A16</f>
        <v>0160</v>
      </c>
      <c r="C162" s="118" t="str">
        <f>'дод 6'!B16</f>
        <v>0111</v>
      </c>
      <c r="D162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162" s="81">
        <f t="shared" ref="E162:E190" si="71">F162+I162</f>
        <v>2622571</v>
      </c>
      <c r="F162" s="81">
        <f>2766200+4271-138600-9300</f>
        <v>2622571</v>
      </c>
      <c r="G162" s="81">
        <f>2027400-113600</f>
        <v>1913800</v>
      </c>
      <c r="H162" s="81">
        <f>65400-9300</f>
        <v>56100</v>
      </c>
      <c r="I162" s="81"/>
      <c r="J162" s="81">
        <f>L162+O162</f>
        <v>0</v>
      </c>
      <c r="K162" s="81"/>
      <c r="L162" s="81"/>
      <c r="M162" s="81"/>
      <c r="N162" s="81"/>
      <c r="O162" s="81"/>
      <c r="P162" s="81">
        <f t="shared" ref="P162:P191" si="72">E162+J162</f>
        <v>2622571</v>
      </c>
      <c r="Q162" s="26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</row>
    <row r="163" spans="1:525" s="121" customFormat="1" ht="33" customHeight="1" x14ac:dyDescent="0.25">
      <c r="A163" s="117" t="s">
        <v>169</v>
      </c>
      <c r="B163" s="118" t="str">
        <f>'дод 6'!A97</f>
        <v>2010</v>
      </c>
      <c r="C163" s="118" t="str">
        <f>'дод 6'!B97</f>
        <v>0731</v>
      </c>
      <c r="D163" s="132" t="str">
        <f>'дод 6'!C97</f>
        <v>Багатопрофільна стаціонарна медична допомога населенню, у т.ч. за рахунок:</v>
      </c>
      <c r="E163" s="81">
        <f>F163+I163</f>
        <v>68321161</v>
      </c>
      <c r="F163" s="81">
        <f>62030900+3000000+600000+23490+1000000+1000000+3000000+238400-7478200+100000-775000+710000+34600+4619000+200000+17971</f>
        <v>68321161</v>
      </c>
      <c r="G163" s="81"/>
      <c r="H163" s="81"/>
      <c r="I163" s="81"/>
      <c r="J163" s="81">
        <f t="shared" ref="J163:J191" si="73">L163+O163</f>
        <v>125693391</v>
      </c>
      <c r="K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L163" s="81"/>
      <c r="M163" s="81"/>
      <c r="N163" s="81"/>
      <c r="O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P163" s="81">
        <f t="shared" si="72"/>
        <v>194014552</v>
      </c>
      <c r="Q163" s="26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</row>
    <row r="164" spans="1:525" s="127" customFormat="1" ht="31.5" hidden="1" customHeight="1" x14ac:dyDescent="0.25">
      <c r="A164" s="123"/>
      <c r="B164" s="144"/>
      <c r="C164" s="144"/>
      <c r="D164" s="125" t="s">
        <v>385</v>
      </c>
      <c r="E164" s="81">
        <f t="shared" ref="E164:E169" si="74">F164+I164</f>
        <v>0</v>
      </c>
      <c r="F164" s="82"/>
      <c r="G164" s="82"/>
      <c r="H164" s="82"/>
      <c r="I164" s="82"/>
      <c r="J164" s="81">
        <f t="shared" si="73"/>
        <v>0</v>
      </c>
      <c r="K164" s="82"/>
      <c r="L164" s="82"/>
      <c r="M164" s="82"/>
      <c r="N164" s="82"/>
      <c r="O164" s="82"/>
      <c r="P164" s="81">
        <f t="shared" si="72"/>
        <v>0</v>
      </c>
      <c r="Q164" s="260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</row>
    <row r="165" spans="1:525" s="127" customFormat="1" ht="47.25" hidden="1" customHeight="1" x14ac:dyDescent="0.25">
      <c r="A165" s="123"/>
      <c r="B165" s="144"/>
      <c r="C165" s="144"/>
      <c r="D165" s="125" t="s">
        <v>386</v>
      </c>
      <c r="E165" s="81">
        <f t="shared" si="74"/>
        <v>0</v>
      </c>
      <c r="F165" s="82"/>
      <c r="G165" s="82"/>
      <c r="H165" s="82"/>
      <c r="I165" s="82"/>
      <c r="J165" s="81">
        <f t="shared" si="73"/>
        <v>0</v>
      </c>
      <c r="K165" s="82"/>
      <c r="L165" s="82"/>
      <c r="M165" s="82"/>
      <c r="N165" s="82"/>
      <c r="O165" s="82"/>
      <c r="P165" s="81">
        <f t="shared" si="72"/>
        <v>0</v>
      </c>
      <c r="Q165" s="260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</row>
    <row r="166" spans="1:525" s="127" customFormat="1" ht="15.75" hidden="1" customHeight="1" x14ac:dyDescent="0.25">
      <c r="A166" s="123"/>
      <c r="B166" s="144"/>
      <c r="C166" s="144"/>
      <c r="D166" s="125" t="s">
        <v>388</v>
      </c>
      <c r="E166" s="81">
        <f t="shared" si="74"/>
        <v>0</v>
      </c>
      <c r="F166" s="82"/>
      <c r="G166" s="82"/>
      <c r="H166" s="82"/>
      <c r="I166" s="82"/>
      <c r="J166" s="81">
        <f t="shared" si="73"/>
        <v>0</v>
      </c>
      <c r="K166" s="82"/>
      <c r="L166" s="82"/>
      <c r="M166" s="82"/>
      <c r="N166" s="82"/>
      <c r="O166" s="82"/>
      <c r="P166" s="81">
        <f t="shared" si="72"/>
        <v>0</v>
      </c>
      <c r="Q166" s="260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</row>
    <row r="167" spans="1:525" s="127" customFormat="1" ht="94.5" hidden="1" customHeight="1" x14ac:dyDescent="0.25">
      <c r="A167" s="123"/>
      <c r="B167" s="144"/>
      <c r="C167" s="144"/>
      <c r="D167" s="125" t="s">
        <v>605</v>
      </c>
      <c r="E167" s="81">
        <f t="shared" si="74"/>
        <v>0</v>
      </c>
      <c r="F167" s="82"/>
      <c r="G167" s="82"/>
      <c r="H167" s="82"/>
      <c r="I167" s="82"/>
      <c r="J167" s="81">
        <f t="shared" si="73"/>
        <v>0</v>
      </c>
      <c r="K167" s="81"/>
      <c r="L167" s="82"/>
      <c r="M167" s="82"/>
      <c r="N167" s="82"/>
      <c r="O167" s="81"/>
      <c r="P167" s="81">
        <f t="shared" si="72"/>
        <v>0</v>
      </c>
      <c r="Q167" s="260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</row>
    <row r="168" spans="1:525" s="121" customFormat="1" ht="31.5" hidden="1" customHeight="1" x14ac:dyDescent="0.25">
      <c r="A168" s="117" t="s">
        <v>430</v>
      </c>
      <c r="B168" s="118">
        <v>2020</v>
      </c>
      <c r="C168" s="117" t="s">
        <v>431</v>
      </c>
      <c r="D168" s="122" t="str">
        <f>'дод 6'!C101</f>
        <v xml:space="preserve"> Спеціалізована стаціонарна медична допомога населенню</v>
      </c>
      <c r="E168" s="81">
        <f t="shared" si="74"/>
        <v>0</v>
      </c>
      <c r="F168" s="81"/>
      <c r="G168" s="81"/>
      <c r="H168" s="81"/>
      <c r="I168" s="81"/>
      <c r="J168" s="81">
        <f t="shared" si="73"/>
        <v>0</v>
      </c>
      <c r="K168" s="81"/>
      <c r="L168" s="81"/>
      <c r="M168" s="81"/>
      <c r="N168" s="81"/>
      <c r="O168" s="81"/>
      <c r="P168" s="81">
        <f t="shared" si="72"/>
        <v>0</v>
      </c>
      <c r="Q168" s="26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</row>
    <row r="169" spans="1:525" s="121" customFormat="1" ht="25.5" customHeight="1" x14ac:dyDescent="0.25">
      <c r="A169" s="117"/>
      <c r="B169" s="118"/>
      <c r="C169" s="117"/>
      <c r="D169" s="125" t="s">
        <v>388</v>
      </c>
      <c r="E169" s="82">
        <f t="shared" si="74"/>
        <v>252571</v>
      </c>
      <c r="F169" s="82">
        <f>34600+200000+17971</f>
        <v>252571</v>
      </c>
      <c r="G169" s="82"/>
      <c r="H169" s="82"/>
      <c r="I169" s="82"/>
      <c r="J169" s="82">
        <f t="shared" si="73"/>
        <v>0</v>
      </c>
      <c r="K169" s="82"/>
      <c r="L169" s="82"/>
      <c r="M169" s="82"/>
      <c r="N169" s="82"/>
      <c r="O169" s="82"/>
      <c r="P169" s="82">
        <f t="shared" si="72"/>
        <v>252571</v>
      </c>
      <c r="Q169" s="26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</row>
    <row r="170" spans="1:525" s="121" customFormat="1" ht="31.5" x14ac:dyDescent="0.25">
      <c r="A170" s="117" t="s">
        <v>174</v>
      </c>
      <c r="B170" s="118" t="str">
        <f>'дод 6'!A103</f>
        <v>2030</v>
      </c>
      <c r="C170" s="118" t="str">
        <f>'дод 6'!B103</f>
        <v>0733</v>
      </c>
      <c r="D170" s="122" t="str">
        <f>'дод 6'!C103</f>
        <v>Лікарсько-акушерська допомога вагітним, породіллям та новонародженим</v>
      </c>
      <c r="E170" s="81">
        <f t="shared" si="71"/>
        <v>4309900</v>
      </c>
      <c r="F170" s="81">
        <f>5512000-882300-117000-202800</f>
        <v>4309900</v>
      </c>
      <c r="G170" s="81"/>
      <c r="H170" s="81"/>
      <c r="I170" s="81"/>
      <c r="J170" s="81">
        <f t="shared" si="73"/>
        <v>0</v>
      </c>
      <c r="K170" s="81"/>
      <c r="L170" s="81"/>
      <c r="M170" s="81"/>
      <c r="N170" s="81"/>
      <c r="O170" s="81"/>
      <c r="P170" s="81">
        <f t="shared" si="72"/>
        <v>4309900</v>
      </c>
      <c r="Q170" s="26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</row>
    <row r="171" spans="1:525" s="127" customFormat="1" ht="31.5" hidden="1" customHeight="1" x14ac:dyDescent="0.25">
      <c r="A171" s="123"/>
      <c r="B171" s="144"/>
      <c r="C171" s="144"/>
      <c r="D171" s="125" t="s">
        <v>385</v>
      </c>
      <c r="E171" s="82">
        <f t="shared" si="71"/>
        <v>0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1">
        <f t="shared" si="72"/>
        <v>0</v>
      </c>
      <c r="Q171" s="260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  <c r="HN171" s="126"/>
      <c r="HO171" s="126"/>
      <c r="HP171" s="126"/>
      <c r="HQ171" s="126"/>
      <c r="HR171" s="126"/>
      <c r="HS171" s="126"/>
      <c r="HT171" s="126"/>
      <c r="HU171" s="126"/>
      <c r="HV171" s="126"/>
      <c r="HW171" s="126"/>
      <c r="HX171" s="126"/>
      <c r="HY171" s="126"/>
      <c r="HZ171" s="126"/>
      <c r="IA171" s="126"/>
      <c r="IB171" s="126"/>
      <c r="IC171" s="126"/>
      <c r="ID171" s="126"/>
      <c r="IE171" s="126"/>
      <c r="IF171" s="126"/>
      <c r="IG171" s="126"/>
      <c r="IH171" s="126"/>
      <c r="II171" s="126"/>
      <c r="IJ171" s="126"/>
      <c r="IK171" s="126"/>
      <c r="IL171" s="126"/>
      <c r="IM171" s="126"/>
      <c r="IN171" s="126"/>
      <c r="IO171" s="126"/>
      <c r="IP171" s="126"/>
      <c r="IQ171" s="126"/>
      <c r="IR171" s="126"/>
      <c r="IS171" s="126"/>
      <c r="IT171" s="126"/>
      <c r="IU171" s="126"/>
      <c r="IV171" s="126"/>
      <c r="IW171" s="126"/>
      <c r="IX171" s="126"/>
      <c r="IY171" s="126"/>
      <c r="IZ171" s="126"/>
      <c r="JA171" s="126"/>
      <c r="JB171" s="126"/>
      <c r="JC171" s="126"/>
      <c r="JD171" s="126"/>
      <c r="JE171" s="126"/>
      <c r="JF171" s="126"/>
      <c r="JG171" s="126"/>
      <c r="JH171" s="126"/>
      <c r="JI171" s="126"/>
      <c r="JJ171" s="126"/>
      <c r="JK171" s="126"/>
      <c r="JL171" s="126"/>
      <c r="JM171" s="126"/>
      <c r="JN171" s="126"/>
      <c r="JO171" s="126"/>
      <c r="JP171" s="126"/>
      <c r="JQ171" s="126"/>
      <c r="JR171" s="126"/>
      <c r="JS171" s="126"/>
      <c r="JT171" s="126"/>
      <c r="JU171" s="126"/>
      <c r="JV171" s="126"/>
      <c r="JW171" s="126"/>
      <c r="JX171" s="126"/>
      <c r="JY171" s="126"/>
      <c r="JZ171" s="126"/>
      <c r="KA171" s="126"/>
      <c r="KB171" s="126"/>
      <c r="KC171" s="126"/>
      <c r="KD171" s="126"/>
      <c r="KE171" s="126"/>
      <c r="KF171" s="126"/>
      <c r="KG171" s="126"/>
      <c r="KH171" s="126"/>
      <c r="KI171" s="126"/>
      <c r="KJ171" s="126"/>
      <c r="KK171" s="126"/>
      <c r="KL171" s="126"/>
      <c r="KM171" s="126"/>
      <c r="KN171" s="126"/>
      <c r="KO171" s="126"/>
      <c r="KP171" s="126"/>
      <c r="KQ171" s="126"/>
      <c r="KR171" s="126"/>
      <c r="KS171" s="126"/>
      <c r="KT171" s="126"/>
      <c r="KU171" s="126"/>
      <c r="KV171" s="126"/>
      <c r="KW171" s="126"/>
      <c r="KX171" s="126"/>
      <c r="KY171" s="126"/>
      <c r="KZ171" s="126"/>
      <c r="LA171" s="126"/>
      <c r="LB171" s="126"/>
      <c r="LC171" s="126"/>
      <c r="LD171" s="126"/>
      <c r="LE171" s="126"/>
      <c r="LF171" s="126"/>
      <c r="LG171" s="126"/>
      <c r="LH171" s="126"/>
      <c r="LI171" s="126"/>
      <c r="LJ171" s="126"/>
      <c r="LK171" s="126"/>
      <c r="LL171" s="126"/>
      <c r="LM171" s="126"/>
      <c r="LN171" s="126"/>
      <c r="LO171" s="126"/>
      <c r="LP171" s="126"/>
      <c r="LQ171" s="126"/>
      <c r="LR171" s="126"/>
      <c r="LS171" s="126"/>
      <c r="LT171" s="126"/>
      <c r="LU171" s="126"/>
      <c r="LV171" s="126"/>
      <c r="LW171" s="126"/>
      <c r="LX171" s="126"/>
      <c r="LY171" s="126"/>
      <c r="LZ171" s="126"/>
      <c r="MA171" s="126"/>
      <c r="MB171" s="126"/>
      <c r="MC171" s="126"/>
      <c r="MD171" s="126"/>
      <c r="ME171" s="126"/>
      <c r="MF171" s="126"/>
      <c r="MG171" s="126"/>
      <c r="MH171" s="126"/>
      <c r="MI171" s="126"/>
      <c r="MJ171" s="126"/>
      <c r="MK171" s="126"/>
      <c r="ML171" s="126"/>
      <c r="MM171" s="126"/>
      <c r="MN171" s="126"/>
      <c r="MO171" s="126"/>
      <c r="MP171" s="126"/>
      <c r="MQ171" s="126"/>
      <c r="MR171" s="126"/>
      <c r="MS171" s="126"/>
      <c r="MT171" s="126"/>
      <c r="MU171" s="126"/>
      <c r="MV171" s="126"/>
      <c r="MW171" s="126"/>
      <c r="MX171" s="126"/>
      <c r="MY171" s="126"/>
      <c r="MZ171" s="126"/>
      <c r="NA171" s="126"/>
      <c r="NB171" s="126"/>
      <c r="NC171" s="126"/>
      <c r="ND171" s="126"/>
      <c r="NE171" s="126"/>
      <c r="NF171" s="126"/>
      <c r="NG171" s="126"/>
      <c r="NH171" s="126"/>
      <c r="NI171" s="126"/>
      <c r="NJ171" s="126"/>
      <c r="NK171" s="126"/>
      <c r="NL171" s="126"/>
      <c r="NM171" s="126"/>
      <c r="NN171" s="126"/>
      <c r="NO171" s="126"/>
      <c r="NP171" s="126"/>
      <c r="NQ171" s="126"/>
      <c r="NR171" s="126"/>
      <c r="NS171" s="126"/>
      <c r="NT171" s="126"/>
      <c r="NU171" s="126"/>
      <c r="NV171" s="126"/>
      <c r="NW171" s="126"/>
      <c r="NX171" s="126"/>
      <c r="NY171" s="126"/>
      <c r="NZ171" s="126"/>
      <c r="OA171" s="126"/>
      <c r="OB171" s="126"/>
      <c r="OC171" s="126"/>
      <c r="OD171" s="126"/>
      <c r="OE171" s="126"/>
      <c r="OF171" s="126"/>
      <c r="OG171" s="126"/>
      <c r="OH171" s="126"/>
      <c r="OI171" s="126"/>
      <c r="OJ171" s="126"/>
      <c r="OK171" s="126"/>
      <c r="OL171" s="126"/>
      <c r="OM171" s="126"/>
      <c r="ON171" s="126"/>
      <c r="OO171" s="126"/>
      <c r="OP171" s="126"/>
      <c r="OQ171" s="126"/>
      <c r="OR171" s="126"/>
      <c r="OS171" s="126"/>
      <c r="OT171" s="126"/>
      <c r="OU171" s="126"/>
      <c r="OV171" s="126"/>
      <c r="OW171" s="126"/>
      <c r="OX171" s="126"/>
      <c r="OY171" s="126"/>
      <c r="OZ171" s="126"/>
      <c r="PA171" s="126"/>
      <c r="PB171" s="126"/>
      <c r="PC171" s="126"/>
      <c r="PD171" s="126"/>
      <c r="PE171" s="126"/>
      <c r="PF171" s="126"/>
      <c r="PG171" s="126"/>
      <c r="PH171" s="126"/>
      <c r="PI171" s="126"/>
      <c r="PJ171" s="126"/>
      <c r="PK171" s="126"/>
      <c r="PL171" s="126"/>
      <c r="PM171" s="126"/>
      <c r="PN171" s="126"/>
      <c r="PO171" s="126"/>
      <c r="PP171" s="126"/>
      <c r="PQ171" s="126"/>
      <c r="PR171" s="126"/>
      <c r="PS171" s="126"/>
      <c r="PT171" s="126"/>
      <c r="PU171" s="126"/>
      <c r="PV171" s="126"/>
      <c r="PW171" s="126"/>
      <c r="PX171" s="126"/>
      <c r="PY171" s="126"/>
      <c r="PZ171" s="126"/>
      <c r="QA171" s="126"/>
      <c r="QB171" s="126"/>
      <c r="QC171" s="126"/>
      <c r="QD171" s="126"/>
      <c r="QE171" s="126"/>
      <c r="QF171" s="126"/>
      <c r="QG171" s="126"/>
      <c r="QH171" s="126"/>
      <c r="QI171" s="126"/>
      <c r="QJ171" s="126"/>
      <c r="QK171" s="126"/>
      <c r="QL171" s="126"/>
      <c r="QM171" s="126"/>
      <c r="QN171" s="126"/>
      <c r="QO171" s="126"/>
      <c r="QP171" s="126"/>
      <c r="QQ171" s="126"/>
      <c r="QR171" s="126"/>
      <c r="QS171" s="126"/>
      <c r="QT171" s="126"/>
      <c r="QU171" s="126"/>
      <c r="QV171" s="126"/>
      <c r="QW171" s="126"/>
      <c r="QX171" s="126"/>
      <c r="QY171" s="126"/>
      <c r="QZ171" s="126"/>
      <c r="RA171" s="126"/>
      <c r="RB171" s="126"/>
      <c r="RC171" s="126"/>
      <c r="RD171" s="126"/>
      <c r="RE171" s="126"/>
      <c r="RF171" s="126"/>
      <c r="RG171" s="126"/>
      <c r="RH171" s="126"/>
      <c r="RI171" s="126"/>
      <c r="RJ171" s="126"/>
      <c r="RK171" s="126"/>
      <c r="RL171" s="126"/>
      <c r="RM171" s="126"/>
      <c r="RN171" s="126"/>
      <c r="RO171" s="126"/>
      <c r="RP171" s="126"/>
      <c r="RQ171" s="126"/>
      <c r="RR171" s="126"/>
      <c r="RS171" s="126"/>
      <c r="RT171" s="126"/>
      <c r="RU171" s="126"/>
      <c r="RV171" s="126"/>
      <c r="RW171" s="126"/>
      <c r="RX171" s="126"/>
      <c r="RY171" s="126"/>
      <c r="RZ171" s="126"/>
      <c r="SA171" s="126"/>
      <c r="SB171" s="126"/>
      <c r="SC171" s="126"/>
      <c r="SD171" s="126"/>
      <c r="SE171" s="126"/>
      <c r="SF171" s="126"/>
      <c r="SG171" s="126"/>
      <c r="SH171" s="126"/>
      <c r="SI171" s="126"/>
      <c r="SJ171" s="126"/>
      <c r="SK171" s="126"/>
      <c r="SL171" s="126"/>
      <c r="SM171" s="126"/>
      <c r="SN171" s="126"/>
      <c r="SO171" s="126"/>
      <c r="SP171" s="126"/>
      <c r="SQ171" s="126"/>
      <c r="SR171" s="126"/>
      <c r="SS171" s="126"/>
      <c r="ST171" s="126"/>
      <c r="SU171" s="126"/>
      <c r="SV171" s="126"/>
      <c r="SW171" s="126"/>
      <c r="SX171" s="126"/>
      <c r="SY171" s="126"/>
      <c r="SZ171" s="126"/>
      <c r="TA171" s="126"/>
      <c r="TB171" s="126"/>
      <c r="TC171" s="126"/>
      <c r="TD171" s="126"/>
      <c r="TE171" s="126"/>
    </row>
    <row r="172" spans="1:525" s="127" customFormat="1" ht="21" hidden="1" customHeight="1" x14ac:dyDescent="0.25">
      <c r="A172" s="117" t="s">
        <v>581</v>
      </c>
      <c r="B172" s="118">
        <v>2070</v>
      </c>
      <c r="C172" s="150" t="s">
        <v>582</v>
      </c>
      <c r="D172" s="122" t="s">
        <v>583</v>
      </c>
      <c r="E172" s="81">
        <f t="shared" si="71"/>
        <v>0</v>
      </c>
      <c r="F172" s="81"/>
      <c r="G172" s="122"/>
      <c r="H172" s="122"/>
      <c r="I172" s="122"/>
      <c r="J172" s="81">
        <f t="shared" si="73"/>
        <v>0</v>
      </c>
      <c r="K172" s="81"/>
      <c r="L172" s="81"/>
      <c r="M172" s="81"/>
      <c r="N172" s="81"/>
      <c r="O172" s="81"/>
      <c r="P172" s="81">
        <f t="shared" si="72"/>
        <v>0</v>
      </c>
      <c r="Q172" s="260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  <c r="HN172" s="126"/>
      <c r="HO172" s="126"/>
      <c r="HP172" s="126"/>
      <c r="HQ172" s="126"/>
      <c r="HR172" s="126"/>
      <c r="HS172" s="126"/>
      <c r="HT172" s="126"/>
      <c r="HU172" s="126"/>
      <c r="HV172" s="126"/>
      <c r="HW172" s="126"/>
      <c r="HX172" s="126"/>
      <c r="HY172" s="126"/>
      <c r="HZ172" s="126"/>
      <c r="IA172" s="126"/>
      <c r="IB172" s="126"/>
      <c r="IC172" s="126"/>
      <c r="ID172" s="126"/>
      <c r="IE172" s="126"/>
      <c r="IF172" s="126"/>
      <c r="IG172" s="126"/>
      <c r="IH172" s="126"/>
      <c r="II172" s="126"/>
      <c r="IJ172" s="126"/>
      <c r="IK172" s="126"/>
      <c r="IL172" s="126"/>
      <c r="IM172" s="126"/>
      <c r="IN172" s="126"/>
      <c r="IO172" s="126"/>
      <c r="IP172" s="126"/>
      <c r="IQ172" s="126"/>
      <c r="IR172" s="126"/>
      <c r="IS172" s="126"/>
      <c r="IT172" s="126"/>
      <c r="IU172" s="126"/>
      <c r="IV172" s="126"/>
      <c r="IW172" s="126"/>
      <c r="IX172" s="126"/>
      <c r="IY172" s="126"/>
      <c r="IZ172" s="126"/>
      <c r="JA172" s="126"/>
      <c r="JB172" s="126"/>
      <c r="JC172" s="126"/>
      <c r="JD172" s="126"/>
      <c r="JE172" s="126"/>
      <c r="JF172" s="126"/>
      <c r="JG172" s="126"/>
      <c r="JH172" s="126"/>
      <c r="JI172" s="126"/>
      <c r="JJ172" s="126"/>
      <c r="JK172" s="126"/>
      <c r="JL172" s="126"/>
      <c r="JM172" s="126"/>
      <c r="JN172" s="126"/>
      <c r="JO172" s="126"/>
      <c r="JP172" s="126"/>
      <c r="JQ172" s="126"/>
      <c r="JR172" s="126"/>
      <c r="JS172" s="126"/>
      <c r="JT172" s="126"/>
      <c r="JU172" s="126"/>
      <c r="JV172" s="126"/>
      <c r="JW172" s="126"/>
      <c r="JX172" s="126"/>
      <c r="JY172" s="126"/>
      <c r="JZ172" s="126"/>
      <c r="KA172" s="126"/>
      <c r="KB172" s="126"/>
      <c r="KC172" s="126"/>
      <c r="KD172" s="126"/>
      <c r="KE172" s="126"/>
      <c r="KF172" s="126"/>
      <c r="KG172" s="126"/>
      <c r="KH172" s="126"/>
      <c r="KI172" s="126"/>
      <c r="KJ172" s="126"/>
      <c r="KK172" s="126"/>
      <c r="KL172" s="126"/>
      <c r="KM172" s="126"/>
      <c r="KN172" s="126"/>
      <c r="KO172" s="126"/>
      <c r="KP172" s="126"/>
      <c r="KQ172" s="126"/>
      <c r="KR172" s="126"/>
      <c r="KS172" s="126"/>
      <c r="KT172" s="126"/>
      <c r="KU172" s="126"/>
      <c r="KV172" s="126"/>
      <c r="KW172" s="126"/>
      <c r="KX172" s="126"/>
      <c r="KY172" s="126"/>
      <c r="KZ172" s="126"/>
      <c r="LA172" s="126"/>
      <c r="LB172" s="126"/>
      <c r="LC172" s="126"/>
      <c r="LD172" s="126"/>
      <c r="LE172" s="126"/>
      <c r="LF172" s="126"/>
      <c r="LG172" s="126"/>
      <c r="LH172" s="126"/>
      <c r="LI172" s="126"/>
      <c r="LJ172" s="126"/>
      <c r="LK172" s="126"/>
      <c r="LL172" s="126"/>
      <c r="LM172" s="126"/>
      <c r="LN172" s="126"/>
      <c r="LO172" s="126"/>
      <c r="LP172" s="126"/>
      <c r="LQ172" s="126"/>
      <c r="LR172" s="126"/>
      <c r="LS172" s="126"/>
      <c r="LT172" s="126"/>
      <c r="LU172" s="126"/>
      <c r="LV172" s="126"/>
      <c r="LW172" s="126"/>
      <c r="LX172" s="126"/>
      <c r="LY172" s="126"/>
      <c r="LZ172" s="126"/>
      <c r="MA172" s="126"/>
      <c r="MB172" s="126"/>
      <c r="MC172" s="126"/>
      <c r="MD172" s="126"/>
      <c r="ME172" s="126"/>
      <c r="MF172" s="126"/>
      <c r="MG172" s="126"/>
      <c r="MH172" s="126"/>
      <c r="MI172" s="126"/>
      <c r="MJ172" s="126"/>
      <c r="MK172" s="126"/>
      <c r="ML172" s="126"/>
      <c r="MM172" s="126"/>
      <c r="MN172" s="126"/>
      <c r="MO172" s="126"/>
      <c r="MP172" s="126"/>
      <c r="MQ172" s="126"/>
      <c r="MR172" s="126"/>
      <c r="MS172" s="126"/>
      <c r="MT172" s="126"/>
      <c r="MU172" s="126"/>
      <c r="MV172" s="126"/>
      <c r="MW172" s="126"/>
      <c r="MX172" s="126"/>
      <c r="MY172" s="126"/>
      <c r="MZ172" s="126"/>
      <c r="NA172" s="126"/>
      <c r="NB172" s="126"/>
      <c r="NC172" s="126"/>
      <c r="ND172" s="126"/>
      <c r="NE172" s="126"/>
      <c r="NF172" s="126"/>
      <c r="NG172" s="126"/>
      <c r="NH172" s="126"/>
      <c r="NI172" s="126"/>
      <c r="NJ172" s="126"/>
      <c r="NK172" s="126"/>
      <c r="NL172" s="126"/>
      <c r="NM172" s="126"/>
      <c r="NN172" s="126"/>
      <c r="NO172" s="126"/>
      <c r="NP172" s="126"/>
      <c r="NQ172" s="126"/>
      <c r="NR172" s="126"/>
      <c r="NS172" s="126"/>
      <c r="NT172" s="126"/>
      <c r="NU172" s="126"/>
      <c r="NV172" s="126"/>
      <c r="NW172" s="126"/>
      <c r="NX172" s="126"/>
      <c r="NY172" s="126"/>
      <c r="NZ172" s="126"/>
      <c r="OA172" s="126"/>
      <c r="OB172" s="126"/>
      <c r="OC172" s="126"/>
      <c r="OD172" s="126"/>
      <c r="OE172" s="126"/>
      <c r="OF172" s="126"/>
      <c r="OG172" s="126"/>
      <c r="OH172" s="126"/>
      <c r="OI172" s="126"/>
      <c r="OJ172" s="126"/>
      <c r="OK172" s="126"/>
      <c r="OL172" s="126"/>
      <c r="OM172" s="126"/>
      <c r="ON172" s="126"/>
      <c r="OO172" s="126"/>
      <c r="OP172" s="126"/>
      <c r="OQ172" s="126"/>
      <c r="OR172" s="126"/>
      <c r="OS172" s="126"/>
      <c r="OT172" s="126"/>
      <c r="OU172" s="126"/>
      <c r="OV172" s="126"/>
      <c r="OW172" s="126"/>
      <c r="OX172" s="126"/>
      <c r="OY172" s="126"/>
      <c r="OZ172" s="126"/>
      <c r="PA172" s="126"/>
      <c r="PB172" s="126"/>
      <c r="PC172" s="126"/>
      <c r="PD172" s="126"/>
      <c r="PE172" s="126"/>
      <c r="PF172" s="126"/>
      <c r="PG172" s="126"/>
      <c r="PH172" s="126"/>
      <c r="PI172" s="126"/>
      <c r="PJ172" s="126"/>
      <c r="PK172" s="126"/>
      <c r="PL172" s="126"/>
      <c r="PM172" s="126"/>
      <c r="PN172" s="126"/>
      <c r="PO172" s="126"/>
      <c r="PP172" s="126"/>
      <c r="PQ172" s="126"/>
      <c r="PR172" s="126"/>
      <c r="PS172" s="126"/>
      <c r="PT172" s="126"/>
      <c r="PU172" s="126"/>
      <c r="PV172" s="126"/>
      <c r="PW172" s="126"/>
      <c r="PX172" s="126"/>
      <c r="PY172" s="126"/>
      <c r="PZ172" s="126"/>
      <c r="QA172" s="126"/>
      <c r="QB172" s="126"/>
      <c r="QC172" s="126"/>
      <c r="QD172" s="126"/>
      <c r="QE172" s="126"/>
      <c r="QF172" s="126"/>
      <c r="QG172" s="126"/>
      <c r="QH172" s="126"/>
      <c r="QI172" s="126"/>
      <c r="QJ172" s="126"/>
      <c r="QK172" s="126"/>
      <c r="QL172" s="126"/>
      <c r="QM172" s="126"/>
      <c r="QN172" s="126"/>
      <c r="QO172" s="126"/>
      <c r="QP172" s="126"/>
      <c r="QQ172" s="126"/>
      <c r="QR172" s="126"/>
      <c r="QS172" s="126"/>
      <c r="QT172" s="126"/>
      <c r="QU172" s="126"/>
      <c r="QV172" s="126"/>
      <c r="QW172" s="126"/>
      <c r="QX172" s="126"/>
      <c r="QY172" s="126"/>
      <c r="QZ172" s="126"/>
      <c r="RA172" s="126"/>
      <c r="RB172" s="126"/>
      <c r="RC172" s="126"/>
      <c r="RD172" s="126"/>
      <c r="RE172" s="126"/>
      <c r="RF172" s="126"/>
      <c r="RG172" s="126"/>
      <c r="RH172" s="126"/>
      <c r="RI172" s="126"/>
      <c r="RJ172" s="126"/>
      <c r="RK172" s="126"/>
      <c r="RL172" s="126"/>
      <c r="RM172" s="126"/>
      <c r="RN172" s="126"/>
      <c r="RO172" s="126"/>
      <c r="RP172" s="126"/>
      <c r="RQ172" s="126"/>
      <c r="RR172" s="126"/>
      <c r="RS172" s="126"/>
      <c r="RT172" s="126"/>
      <c r="RU172" s="126"/>
      <c r="RV172" s="126"/>
      <c r="RW172" s="126"/>
      <c r="RX172" s="126"/>
      <c r="RY172" s="126"/>
      <c r="RZ172" s="126"/>
      <c r="SA172" s="126"/>
      <c r="SB172" s="126"/>
      <c r="SC172" s="126"/>
      <c r="SD172" s="126"/>
      <c r="SE172" s="126"/>
      <c r="SF172" s="126"/>
      <c r="SG172" s="126"/>
      <c r="SH172" s="126"/>
      <c r="SI172" s="126"/>
      <c r="SJ172" s="126"/>
      <c r="SK172" s="126"/>
      <c r="SL172" s="126"/>
      <c r="SM172" s="126"/>
      <c r="SN172" s="126"/>
      <c r="SO172" s="126"/>
      <c r="SP172" s="126"/>
      <c r="SQ172" s="126"/>
      <c r="SR172" s="126"/>
      <c r="SS172" s="126"/>
      <c r="ST172" s="126"/>
      <c r="SU172" s="126"/>
      <c r="SV172" s="126"/>
      <c r="SW172" s="126"/>
      <c r="SX172" s="126"/>
      <c r="SY172" s="126"/>
      <c r="SZ172" s="126"/>
      <c r="TA172" s="126"/>
      <c r="TB172" s="126"/>
      <c r="TC172" s="126"/>
      <c r="TD172" s="126"/>
      <c r="TE172" s="126"/>
    </row>
    <row r="173" spans="1:525" s="121" customFormat="1" ht="24" customHeight="1" x14ac:dyDescent="0.25">
      <c r="A173" s="117" t="s">
        <v>173</v>
      </c>
      <c r="B173" s="118" t="str">
        <f>'дод 6'!A106</f>
        <v>2100</v>
      </c>
      <c r="C173" s="118" t="str">
        <f>'дод 6'!B106</f>
        <v>0722</v>
      </c>
      <c r="D173" s="122" t="str">
        <f>'дод 6'!C106</f>
        <v>Стоматологічна допомога населенню</v>
      </c>
      <c r="E173" s="81">
        <f t="shared" si="71"/>
        <v>12756400</v>
      </c>
      <c r="F173" s="81">
        <f>12846800-166900-13000+89500</f>
        <v>12756400</v>
      </c>
      <c r="G173" s="81"/>
      <c r="H173" s="81"/>
      <c r="I173" s="81"/>
      <c r="J173" s="81">
        <f t="shared" si="73"/>
        <v>200000</v>
      </c>
      <c r="K173" s="81">
        <v>200000</v>
      </c>
      <c r="L173" s="81"/>
      <c r="M173" s="81"/>
      <c r="N173" s="81"/>
      <c r="O173" s="81">
        <v>200000</v>
      </c>
      <c r="P173" s="81">
        <f t="shared" si="72"/>
        <v>12956400</v>
      </c>
      <c r="Q173" s="26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</row>
    <row r="174" spans="1:525" s="127" customFormat="1" ht="30" hidden="1" customHeight="1" x14ac:dyDescent="0.25">
      <c r="A174" s="123"/>
      <c r="B174" s="144"/>
      <c r="C174" s="144"/>
      <c r="D174" s="125" t="s">
        <v>385</v>
      </c>
      <c r="E174" s="82">
        <f t="shared" si="71"/>
        <v>0</v>
      </c>
      <c r="F174" s="82"/>
      <c r="G174" s="82"/>
      <c r="H174" s="82"/>
      <c r="I174" s="82"/>
      <c r="J174" s="82">
        <f t="shared" si="73"/>
        <v>0</v>
      </c>
      <c r="K174" s="82"/>
      <c r="L174" s="82"/>
      <c r="M174" s="82"/>
      <c r="N174" s="82"/>
      <c r="O174" s="82"/>
      <c r="P174" s="82">
        <f t="shared" si="72"/>
        <v>0</v>
      </c>
      <c r="Q174" s="260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  <c r="IU174" s="126"/>
      <c r="IV174" s="126"/>
      <c r="IW174" s="126"/>
      <c r="IX174" s="126"/>
      <c r="IY174" s="126"/>
      <c r="IZ174" s="126"/>
      <c r="JA174" s="126"/>
      <c r="JB174" s="126"/>
      <c r="JC174" s="126"/>
      <c r="JD174" s="126"/>
      <c r="JE174" s="126"/>
      <c r="JF174" s="126"/>
      <c r="JG174" s="126"/>
      <c r="JH174" s="126"/>
      <c r="JI174" s="126"/>
      <c r="JJ174" s="126"/>
      <c r="JK174" s="126"/>
      <c r="JL174" s="126"/>
      <c r="JM174" s="126"/>
      <c r="JN174" s="126"/>
      <c r="JO174" s="126"/>
      <c r="JP174" s="126"/>
      <c r="JQ174" s="126"/>
      <c r="JR174" s="126"/>
      <c r="JS174" s="126"/>
      <c r="JT174" s="126"/>
      <c r="JU174" s="126"/>
      <c r="JV174" s="126"/>
      <c r="JW174" s="126"/>
      <c r="JX174" s="126"/>
      <c r="JY174" s="126"/>
      <c r="JZ174" s="126"/>
      <c r="KA174" s="126"/>
      <c r="KB174" s="126"/>
      <c r="KC174" s="126"/>
      <c r="KD174" s="126"/>
      <c r="KE174" s="126"/>
      <c r="KF174" s="126"/>
      <c r="KG174" s="126"/>
      <c r="KH174" s="126"/>
      <c r="KI174" s="126"/>
      <c r="KJ174" s="126"/>
      <c r="KK174" s="126"/>
      <c r="KL174" s="126"/>
      <c r="KM174" s="126"/>
      <c r="KN174" s="126"/>
      <c r="KO174" s="126"/>
      <c r="KP174" s="126"/>
      <c r="KQ174" s="126"/>
      <c r="KR174" s="126"/>
      <c r="KS174" s="126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126"/>
      <c r="LZ174" s="126"/>
      <c r="MA174" s="126"/>
      <c r="MB174" s="126"/>
      <c r="MC174" s="126"/>
      <c r="MD174" s="126"/>
      <c r="ME174" s="126"/>
      <c r="MF174" s="126"/>
      <c r="MG174" s="126"/>
      <c r="MH174" s="126"/>
      <c r="MI174" s="126"/>
      <c r="MJ174" s="126"/>
      <c r="MK174" s="126"/>
      <c r="ML174" s="126"/>
      <c r="MM174" s="126"/>
      <c r="MN174" s="126"/>
      <c r="MO174" s="126"/>
      <c r="MP174" s="126"/>
      <c r="MQ174" s="126"/>
      <c r="MR174" s="126"/>
      <c r="MS174" s="126"/>
      <c r="MT174" s="126"/>
      <c r="MU174" s="126"/>
      <c r="MV174" s="126"/>
      <c r="MW174" s="126"/>
      <c r="MX174" s="126"/>
      <c r="MY174" s="126"/>
      <c r="MZ174" s="126"/>
      <c r="NA174" s="126"/>
      <c r="NB174" s="126"/>
      <c r="NC174" s="126"/>
      <c r="ND174" s="126"/>
      <c r="NE174" s="126"/>
      <c r="NF174" s="126"/>
      <c r="NG174" s="126"/>
      <c r="NH174" s="126"/>
      <c r="NI174" s="126"/>
      <c r="NJ174" s="126"/>
      <c r="NK174" s="126"/>
      <c r="NL174" s="126"/>
      <c r="NM174" s="126"/>
      <c r="NN174" s="126"/>
      <c r="NO174" s="126"/>
      <c r="NP174" s="126"/>
      <c r="NQ174" s="126"/>
      <c r="NR174" s="126"/>
      <c r="NS174" s="126"/>
      <c r="NT174" s="126"/>
      <c r="NU174" s="126"/>
      <c r="NV174" s="126"/>
      <c r="NW174" s="126"/>
      <c r="NX174" s="126"/>
      <c r="NY174" s="126"/>
      <c r="NZ174" s="126"/>
      <c r="OA174" s="126"/>
      <c r="OB174" s="126"/>
      <c r="OC174" s="126"/>
      <c r="OD174" s="126"/>
      <c r="OE174" s="126"/>
      <c r="OF174" s="126"/>
      <c r="OG174" s="126"/>
      <c r="OH174" s="126"/>
      <c r="OI174" s="126"/>
      <c r="OJ174" s="126"/>
      <c r="OK174" s="126"/>
      <c r="OL174" s="126"/>
      <c r="OM174" s="126"/>
      <c r="ON174" s="126"/>
      <c r="OO174" s="126"/>
      <c r="OP174" s="126"/>
      <c r="OQ174" s="126"/>
      <c r="OR174" s="126"/>
      <c r="OS174" s="126"/>
      <c r="OT174" s="126"/>
      <c r="OU174" s="126"/>
      <c r="OV174" s="126"/>
      <c r="OW174" s="126"/>
      <c r="OX174" s="126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6"/>
      <c r="PW174" s="126"/>
      <c r="PX174" s="126"/>
      <c r="PY174" s="126"/>
      <c r="PZ174" s="126"/>
      <c r="QA174" s="126"/>
      <c r="QB174" s="126"/>
      <c r="QC174" s="126"/>
      <c r="QD174" s="126"/>
      <c r="QE174" s="126"/>
      <c r="QF174" s="126"/>
      <c r="QG174" s="126"/>
      <c r="QH174" s="126"/>
      <c r="QI174" s="126"/>
      <c r="QJ174" s="126"/>
      <c r="QK174" s="126"/>
      <c r="QL174" s="126"/>
      <c r="QM174" s="126"/>
      <c r="QN174" s="126"/>
      <c r="QO174" s="126"/>
      <c r="QP174" s="126"/>
      <c r="QQ174" s="126"/>
      <c r="QR174" s="126"/>
      <c r="QS174" s="126"/>
      <c r="QT174" s="126"/>
      <c r="QU174" s="126"/>
      <c r="QV174" s="126"/>
      <c r="QW174" s="126"/>
      <c r="QX174" s="126"/>
      <c r="QY174" s="126"/>
      <c r="QZ174" s="126"/>
      <c r="RA174" s="126"/>
      <c r="RB174" s="126"/>
      <c r="RC174" s="126"/>
      <c r="RD174" s="126"/>
      <c r="RE174" s="126"/>
      <c r="RF174" s="126"/>
      <c r="RG174" s="126"/>
      <c r="RH174" s="126"/>
      <c r="RI174" s="126"/>
      <c r="RJ174" s="126"/>
      <c r="RK174" s="126"/>
      <c r="RL174" s="126"/>
      <c r="RM174" s="126"/>
      <c r="RN174" s="126"/>
      <c r="RO174" s="126"/>
      <c r="RP174" s="126"/>
      <c r="RQ174" s="126"/>
      <c r="RR174" s="126"/>
      <c r="RS174" s="126"/>
      <c r="RT174" s="126"/>
      <c r="RU174" s="126"/>
      <c r="RV174" s="126"/>
      <c r="RW174" s="126"/>
      <c r="RX174" s="126"/>
      <c r="RY174" s="126"/>
      <c r="RZ174" s="126"/>
      <c r="SA174" s="126"/>
      <c r="SB174" s="126"/>
      <c r="SC174" s="126"/>
      <c r="SD174" s="126"/>
      <c r="SE174" s="126"/>
      <c r="SF174" s="126"/>
      <c r="SG174" s="126"/>
      <c r="SH174" s="126"/>
      <c r="SI174" s="126"/>
      <c r="SJ174" s="126"/>
      <c r="SK174" s="126"/>
      <c r="SL174" s="126"/>
      <c r="SM174" s="126"/>
      <c r="SN174" s="126"/>
      <c r="SO174" s="126"/>
      <c r="SP174" s="126"/>
      <c r="SQ174" s="126"/>
      <c r="SR174" s="126"/>
      <c r="SS174" s="126"/>
      <c r="ST174" s="126"/>
      <c r="SU174" s="126"/>
      <c r="SV174" s="126"/>
      <c r="SW174" s="126"/>
      <c r="SX174" s="126"/>
      <c r="SY174" s="126"/>
      <c r="SZ174" s="126"/>
      <c r="TA174" s="126"/>
      <c r="TB174" s="126"/>
      <c r="TC174" s="126"/>
      <c r="TD174" s="126"/>
      <c r="TE174" s="126"/>
    </row>
    <row r="175" spans="1:525" s="121" customFormat="1" ht="48" customHeight="1" x14ac:dyDescent="0.25">
      <c r="A175" s="117" t="s">
        <v>172</v>
      </c>
      <c r="B175" s="118" t="str">
        <f>'дод 6'!A108</f>
        <v>2111</v>
      </c>
      <c r="C175" s="118" t="str">
        <f>'дод 6'!B108</f>
        <v>0726</v>
      </c>
      <c r="D175" s="122" t="str">
        <f>'дод 6'!C108</f>
        <v>Первинна медична допомога населенню, що надається центрами первинної медичної (медико-санітарної) допомоги</v>
      </c>
      <c r="E175" s="81">
        <f t="shared" si="71"/>
        <v>4555000</v>
      </c>
      <c r="F175" s="81">
        <f>5707000-834600-95000-222400</f>
        <v>4555000</v>
      </c>
      <c r="G175" s="81"/>
      <c r="H175" s="81"/>
      <c r="I175" s="81"/>
      <c r="J175" s="81">
        <f t="shared" si="73"/>
        <v>8841300</v>
      </c>
      <c r="K175" s="81">
        <v>8841300</v>
      </c>
      <c r="L175" s="81"/>
      <c r="M175" s="81"/>
      <c r="N175" s="81"/>
      <c r="O175" s="81">
        <v>8841300</v>
      </c>
      <c r="P175" s="81">
        <f t="shared" si="72"/>
        <v>13396300</v>
      </c>
      <c r="Q175" s="26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</row>
    <row r="176" spans="1:525" s="127" customFormat="1" ht="63" hidden="1" customHeight="1" x14ac:dyDescent="0.25">
      <c r="A176" s="123"/>
      <c r="B176" s="144"/>
      <c r="C176" s="144"/>
      <c r="D176" s="143" t="s">
        <v>387</v>
      </c>
      <c r="E176" s="82">
        <f t="shared" si="71"/>
        <v>0</v>
      </c>
      <c r="F176" s="82"/>
      <c r="G176" s="82"/>
      <c r="H176" s="82"/>
      <c r="I176" s="82"/>
      <c r="J176" s="82">
        <f t="shared" si="73"/>
        <v>0</v>
      </c>
      <c r="K176" s="82"/>
      <c r="L176" s="82"/>
      <c r="M176" s="82"/>
      <c r="N176" s="82"/>
      <c r="O176" s="82"/>
      <c r="P176" s="82">
        <f t="shared" si="72"/>
        <v>0</v>
      </c>
      <c r="Q176" s="260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  <c r="HN176" s="126"/>
      <c r="HO176" s="126"/>
      <c r="HP176" s="126"/>
      <c r="HQ176" s="126"/>
      <c r="HR176" s="126"/>
      <c r="HS176" s="126"/>
      <c r="HT176" s="126"/>
      <c r="HU176" s="126"/>
      <c r="HV176" s="126"/>
      <c r="HW176" s="126"/>
      <c r="HX176" s="126"/>
      <c r="HY176" s="126"/>
      <c r="HZ176" s="126"/>
      <c r="IA176" s="126"/>
      <c r="IB176" s="126"/>
      <c r="IC176" s="126"/>
      <c r="ID176" s="126"/>
      <c r="IE176" s="126"/>
      <c r="IF176" s="126"/>
      <c r="IG176" s="126"/>
      <c r="IH176" s="126"/>
      <c r="II176" s="126"/>
      <c r="IJ176" s="126"/>
      <c r="IK176" s="126"/>
      <c r="IL176" s="126"/>
      <c r="IM176" s="126"/>
      <c r="IN176" s="126"/>
      <c r="IO176" s="126"/>
      <c r="IP176" s="126"/>
      <c r="IQ176" s="126"/>
      <c r="IR176" s="126"/>
      <c r="IS176" s="126"/>
      <c r="IT176" s="126"/>
      <c r="IU176" s="126"/>
      <c r="IV176" s="126"/>
      <c r="IW176" s="126"/>
      <c r="IX176" s="126"/>
      <c r="IY176" s="126"/>
      <c r="IZ176" s="126"/>
      <c r="JA176" s="126"/>
      <c r="JB176" s="126"/>
      <c r="JC176" s="126"/>
      <c r="JD176" s="126"/>
      <c r="JE176" s="126"/>
      <c r="JF176" s="126"/>
      <c r="JG176" s="126"/>
      <c r="JH176" s="126"/>
      <c r="JI176" s="126"/>
      <c r="JJ176" s="126"/>
      <c r="JK176" s="126"/>
      <c r="JL176" s="126"/>
      <c r="JM176" s="126"/>
      <c r="JN176" s="126"/>
      <c r="JO176" s="126"/>
      <c r="JP176" s="126"/>
      <c r="JQ176" s="126"/>
      <c r="JR176" s="126"/>
      <c r="JS176" s="126"/>
      <c r="JT176" s="126"/>
      <c r="JU176" s="126"/>
      <c r="JV176" s="126"/>
      <c r="JW176" s="126"/>
      <c r="JX176" s="126"/>
      <c r="JY176" s="126"/>
      <c r="JZ176" s="126"/>
      <c r="KA176" s="126"/>
      <c r="KB176" s="126"/>
      <c r="KC176" s="126"/>
      <c r="KD176" s="126"/>
      <c r="KE176" s="126"/>
      <c r="KF176" s="126"/>
      <c r="KG176" s="126"/>
      <c r="KH176" s="126"/>
      <c r="KI176" s="126"/>
      <c r="KJ176" s="126"/>
      <c r="KK176" s="126"/>
      <c r="KL176" s="126"/>
      <c r="KM176" s="126"/>
      <c r="KN176" s="126"/>
      <c r="KO176" s="126"/>
      <c r="KP176" s="126"/>
      <c r="KQ176" s="126"/>
      <c r="KR176" s="126"/>
      <c r="KS176" s="126"/>
      <c r="KT176" s="126"/>
      <c r="KU176" s="126"/>
      <c r="KV176" s="126"/>
      <c r="KW176" s="126"/>
      <c r="KX176" s="126"/>
      <c r="KY176" s="126"/>
      <c r="KZ176" s="126"/>
      <c r="LA176" s="126"/>
      <c r="LB176" s="126"/>
      <c r="LC176" s="126"/>
      <c r="LD176" s="126"/>
      <c r="LE176" s="126"/>
      <c r="LF176" s="126"/>
      <c r="LG176" s="126"/>
      <c r="LH176" s="126"/>
      <c r="LI176" s="126"/>
      <c r="LJ176" s="126"/>
      <c r="LK176" s="126"/>
      <c r="LL176" s="126"/>
      <c r="LM176" s="126"/>
      <c r="LN176" s="126"/>
      <c r="LO176" s="126"/>
      <c r="LP176" s="126"/>
      <c r="LQ176" s="126"/>
      <c r="LR176" s="126"/>
      <c r="LS176" s="126"/>
      <c r="LT176" s="126"/>
      <c r="LU176" s="126"/>
      <c r="LV176" s="126"/>
      <c r="LW176" s="126"/>
      <c r="LX176" s="126"/>
      <c r="LY176" s="126"/>
      <c r="LZ176" s="126"/>
      <c r="MA176" s="126"/>
      <c r="MB176" s="126"/>
      <c r="MC176" s="126"/>
      <c r="MD176" s="126"/>
      <c r="ME176" s="126"/>
      <c r="MF176" s="126"/>
      <c r="MG176" s="126"/>
      <c r="MH176" s="126"/>
      <c r="MI176" s="126"/>
      <c r="MJ176" s="126"/>
      <c r="MK176" s="126"/>
      <c r="ML176" s="126"/>
      <c r="MM176" s="126"/>
      <c r="MN176" s="126"/>
      <c r="MO176" s="126"/>
      <c r="MP176" s="126"/>
      <c r="MQ176" s="126"/>
      <c r="MR176" s="126"/>
      <c r="MS176" s="126"/>
      <c r="MT176" s="126"/>
      <c r="MU176" s="126"/>
      <c r="MV176" s="126"/>
      <c r="MW176" s="126"/>
      <c r="MX176" s="126"/>
      <c r="MY176" s="126"/>
      <c r="MZ176" s="126"/>
      <c r="NA176" s="126"/>
      <c r="NB176" s="126"/>
      <c r="NC176" s="126"/>
      <c r="ND176" s="126"/>
      <c r="NE176" s="126"/>
      <c r="NF176" s="126"/>
      <c r="NG176" s="126"/>
      <c r="NH176" s="126"/>
      <c r="NI176" s="126"/>
      <c r="NJ176" s="126"/>
      <c r="NK176" s="126"/>
      <c r="NL176" s="126"/>
      <c r="NM176" s="126"/>
      <c r="NN176" s="126"/>
      <c r="NO176" s="126"/>
      <c r="NP176" s="126"/>
      <c r="NQ176" s="126"/>
      <c r="NR176" s="126"/>
      <c r="NS176" s="126"/>
      <c r="NT176" s="126"/>
      <c r="NU176" s="126"/>
      <c r="NV176" s="126"/>
      <c r="NW176" s="126"/>
      <c r="NX176" s="126"/>
      <c r="NY176" s="126"/>
      <c r="NZ176" s="126"/>
      <c r="OA176" s="126"/>
      <c r="OB176" s="126"/>
      <c r="OC176" s="126"/>
      <c r="OD176" s="126"/>
      <c r="OE176" s="126"/>
      <c r="OF176" s="126"/>
      <c r="OG176" s="126"/>
      <c r="OH176" s="126"/>
      <c r="OI176" s="126"/>
      <c r="OJ176" s="126"/>
      <c r="OK176" s="126"/>
      <c r="OL176" s="126"/>
      <c r="OM176" s="126"/>
      <c r="ON176" s="126"/>
      <c r="OO176" s="126"/>
      <c r="OP176" s="126"/>
      <c r="OQ176" s="126"/>
      <c r="OR176" s="126"/>
      <c r="OS176" s="126"/>
      <c r="OT176" s="126"/>
      <c r="OU176" s="126"/>
      <c r="OV176" s="126"/>
      <c r="OW176" s="126"/>
      <c r="OX176" s="126"/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6"/>
      <c r="PW176" s="126"/>
      <c r="PX176" s="126"/>
      <c r="PY176" s="126"/>
      <c r="PZ176" s="126"/>
      <c r="QA176" s="126"/>
      <c r="QB176" s="126"/>
      <c r="QC176" s="126"/>
      <c r="QD176" s="126"/>
      <c r="QE176" s="126"/>
      <c r="QF176" s="126"/>
      <c r="QG176" s="126"/>
      <c r="QH176" s="126"/>
      <c r="QI176" s="126"/>
      <c r="QJ176" s="126"/>
      <c r="QK176" s="126"/>
      <c r="QL176" s="126"/>
      <c r="QM176" s="126"/>
      <c r="QN176" s="126"/>
      <c r="QO176" s="126"/>
      <c r="QP176" s="126"/>
      <c r="QQ176" s="126"/>
      <c r="QR176" s="126"/>
      <c r="QS176" s="126"/>
      <c r="QT176" s="126"/>
      <c r="QU176" s="126"/>
      <c r="QV176" s="126"/>
      <c r="QW176" s="126"/>
      <c r="QX176" s="126"/>
      <c r="QY176" s="126"/>
      <c r="QZ176" s="126"/>
      <c r="RA176" s="126"/>
      <c r="RB176" s="126"/>
      <c r="RC176" s="126"/>
      <c r="RD176" s="126"/>
      <c r="RE176" s="126"/>
      <c r="RF176" s="126"/>
      <c r="RG176" s="126"/>
      <c r="RH176" s="126"/>
      <c r="RI176" s="126"/>
      <c r="RJ176" s="126"/>
      <c r="RK176" s="126"/>
      <c r="RL176" s="126"/>
      <c r="RM176" s="126"/>
      <c r="RN176" s="126"/>
      <c r="RO176" s="126"/>
      <c r="RP176" s="126"/>
      <c r="RQ176" s="126"/>
      <c r="RR176" s="126"/>
      <c r="RS176" s="126"/>
      <c r="RT176" s="126"/>
      <c r="RU176" s="126"/>
      <c r="RV176" s="126"/>
      <c r="RW176" s="126"/>
      <c r="RX176" s="126"/>
      <c r="RY176" s="126"/>
      <c r="RZ176" s="126"/>
      <c r="SA176" s="126"/>
      <c r="SB176" s="126"/>
      <c r="SC176" s="126"/>
      <c r="SD176" s="126"/>
      <c r="SE176" s="126"/>
      <c r="SF176" s="126"/>
      <c r="SG176" s="126"/>
      <c r="SH176" s="126"/>
      <c r="SI176" s="126"/>
      <c r="SJ176" s="126"/>
      <c r="SK176" s="126"/>
      <c r="SL176" s="126"/>
      <c r="SM176" s="126"/>
      <c r="SN176" s="126"/>
      <c r="SO176" s="126"/>
      <c r="SP176" s="126"/>
      <c r="SQ176" s="126"/>
      <c r="SR176" s="126"/>
      <c r="SS176" s="126"/>
      <c r="ST176" s="126"/>
      <c r="SU176" s="126"/>
      <c r="SV176" s="126"/>
      <c r="SW176" s="126"/>
      <c r="SX176" s="126"/>
      <c r="SY176" s="126"/>
      <c r="SZ176" s="126"/>
      <c r="TA176" s="126"/>
      <c r="TB176" s="126"/>
      <c r="TC176" s="126"/>
      <c r="TD176" s="126"/>
      <c r="TE176" s="126"/>
    </row>
    <row r="177" spans="1:525" s="121" customFormat="1" ht="31.5" hidden="1" customHeight="1" x14ac:dyDescent="0.25">
      <c r="A177" s="117" t="s">
        <v>171</v>
      </c>
      <c r="B177" s="118">
        <f>'дод 6'!A110</f>
        <v>2144</v>
      </c>
      <c r="C177" s="118" t="str">
        <f>'дод 6'!B110</f>
        <v>0763</v>
      </c>
      <c r="D177" s="151" t="str">
        <f>'дод 6'!C110</f>
        <v>Централізовані заходи з лікування хворих на цукровий та нецукровий діабет, у т.ч. за рахунок:</v>
      </c>
      <c r="E177" s="81">
        <f t="shared" si="71"/>
        <v>0</v>
      </c>
      <c r="F177" s="81"/>
      <c r="G177" s="81"/>
      <c r="H177" s="81"/>
      <c r="I177" s="81"/>
      <c r="J177" s="81">
        <f t="shared" si="73"/>
        <v>0</v>
      </c>
      <c r="K177" s="81"/>
      <c r="L177" s="81"/>
      <c r="M177" s="81"/>
      <c r="N177" s="81"/>
      <c r="O177" s="81"/>
      <c r="P177" s="81">
        <f t="shared" si="72"/>
        <v>0</v>
      </c>
      <c r="Q177" s="26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</row>
    <row r="178" spans="1:525" s="127" customFormat="1" ht="47.25" hidden="1" customHeight="1" x14ac:dyDescent="0.25">
      <c r="A178" s="123"/>
      <c r="B178" s="144"/>
      <c r="C178" s="144"/>
      <c r="D178" s="152" t="s">
        <v>386</v>
      </c>
      <c r="E178" s="82">
        <f t="shared" si="71"/>
        <v>0</v>
      </c>
      <c r="F178" s="82"/>
      <c r="G178" s="82"/>
      <c r="H178" s="82"/>
      <c r="I178" s="82"/>
      <c r="J178" s="82">
        <f t="shared" si="73"/>
        <v>0</v>
      </c>
      <c r="K178" s="82"/>
      <c r="L178" s="82"/>
      <c r="M178" s="82"/>
      <c r="N178" s="82"/>
      <c r="O178" s="82"/>
      <c r="P178" s="82">
        <f t="shared" si="72"/>
        <v>0</v>
      </c>
      <c r="Q178" s="260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  <c r="IU178" s="126"/>
      <c r="IV178" s="126"/>
      <c r="IW178" s="126"/>
      <c r="IX178" s="126"/>
      <c r="IY178" s="126"/>
      <c r="IZ178" s="126"/>
      <c r="JA178" s="126"/>
      <c r="JB178" s="126"/>
      <c r="JC178" s="126"/>
      <c r="JD178" s="126"/>
      <c r="JE178" s="126"/>
      <c r="JF178" s="126"/>
      <c r="JG178" s="126"/>
      <c r="JH178" s="126"/>
      <c r="JI178" s="126"/>
      <c r="JJ178" s="126"/>
      <c r="JK178" s="126"/>
      <c r="JL178" s="126"/>
      <c r="JM178" s="126"/>
      <c r="JN178" s="126"/>
      <c r="JO178" s="126"/>
      <c r="JP178" s="126"/>
      <c r="JQ178" s="126"/>
      <c r="JR178" s="126"/>
      <c r="JS178" s="126"/>
      <c r="JT178" s="126"/>
      <c r="JU178" s="126"/>
      <c r="JV178" s="126"/>
      <c r="JW178" s="126"/>
      <c r="JX178" s="126"/>
      <c r="JY178" s="126"/>
      <c r="JZ178" s="126"/>
      <c r="KA178" s="126"/>
      <c r="KB178" s="126"/>
      <c r="KC178" s="126"/>
      <c r="KD178" s="126"/>
      <c r="KE178" s="126"/>
      <c r="KF178" s="126"/>
      <c r="KG178" s="126"/>
      <c r="KH178" s="126"/>
      <c r="KI178" s="126"/>
      <c r="KJ178" s="126"/>
      <c r="KK178" s="126"/>
      <c r="KL178" s="126"/>
      <c r="KM178" s="126"/>
      <c r="KN178" s="126"/>
      <c r="KO178" s="126"/>
      <c r="KP178" s="126"/>
      <c r="KQ178" s="126"/>
      <c r="KR178" s="126"/>
      <c r="KS178" s="126"/>
      <c r="KT178" s="126"/>
      <c r="KU178" s="126"/>
      <c r="KV178" s="126"/>
      <c r="KW178" s="126"/>
      <c r="KX178" s="126"/>
      <c r="KY178" s="126"/>
      <c r="KZ178" s="126"/>
      <c r="LA178" s="126"/>
      <c r="LB178" s="126"/>
      <c r="LC178" s="126"/>
      <c r="LD178" s="126"/>
      <c r="LE178" s="126"/>
      <c r="LF178" s="126"/>
      <c r="LG178" s="126"/>
      <c r="LH178" s="126"/>
      <c r="LI178" s="126"/>
      <c r="LJ178" s="126"/>
      <c r="LK178" s="126"/>
      <c r="LL178" s="126"/>
      <c r="LM178" s="126"/>
      <c r="LN178" s="126"/>
      <c r="LO178" s="126"/>
      <c r="LP178" s="126"/>
      <c r="LQ178" s="126"/>
      <c r="LR178" s="126"/>
      <c r="LS178" s="126"/>
      <c r="LT178" s="126"/>
      <c r="LU178" s="126"/>
      <c r="LV178" s="126"/>
      <c r="LW178" s="126"/>
      <c r="LX178" s="126"/>
      <c r="LY178" s="126"/>
      <c r="LZ178" s="126"/>
      <c r="MA178" s="126"/>
      <c r="MB178" s="126"/>
      <c r="MC178" s="126"/>
      <c r="MD178" s="126"/>
      <c r="ME178" s="126"/>
      <c r="MF178" s="126"/>
      <c r="MG178" s="126"/>
      <c r="MH178" s="126"/>
      <c r="MI178" s="126"/>
      <c r="MJ178" s="126"/>
      <c r="MK178" s="126"/>
      <c r="ML178" s="126"/>
      <c r="MM178" s="126"/>
      <c r="MN178" s="126"/>
      <c r="MO178" s="126"/>
      <c r="MP178" s="126"/>
      <c r="MQ178" s="126"/>
      <c r="MR178" s="126"/>
      <c r="MS178" s="126"/>
      <c r="MT178" s="126"/>
      <c r="MU178" s="126"/>
      <c r="MV178" s="126"/>
      <c r="MW178" s="126"/>
      <c r="MX178" s="126"/>
      <c r="MY178" s="126"/>
      <c r="MZ178" s="126"/>
      <c r="NA178" s="126"/>
      <c r="NB178" s="126"/>
      <c r="NC178" s="126"/>
      <c r="ND178" s="126"/>
      <c r="NE178" s="126"/>
      <c r="NF178" s="126"/>
      <c r="NG178" s="126"/>
      <c r="NH178" s="126"/>
      <c r="NI178" s="126"/>
      <c r="NJ178" s="126"/>
      <c r="NK178" s="126"/>
      <c r="NL178" s="126"/>
      <c r="NM178" s="126"/>
      <c r="NN178" s="126"/>
      <c r="NO178" s="126"/>
      <c r="NP178" s="126"/>
      <c r="NQ178" s="126"/>
      <c r="NR178" s="126"/>
      <c r="NS178" s="126"/>
      <c r="NT178" s="126"/>
      <c r="NU178" s="126"/>
      <c r="NV178" s="126"/>
      <c r="NW178" s="126"/>
      <c r="NX178" s="126"/>
      <c r="NY178" s="126"/>
      <c r="NZ178" s="126"/>
      <c r="OA178" s="126"/>
      <c r="OB178" s="126"/>
      <c r="OC178" s="126"/>
      <c r="OD178" s="126"/>
      <c r="OE178" s="126"/>
      <c r="OF178" s="126"/>
      <c r="OG178" s="126"/>
      <c r="OH178" s="126"/>
      <c r="OI178" s="126"/>
      <c r="OJ178" s="126"/>
      <c r="OK178" s="126"/>
      <c r="OL178" s="126"/>
      <c r="OM178" s="126"/>
      <c r="ON178" s="126"/>
      <c r="OO178" s="126"/>
      <c r="OP178" s="126"/>
      <c r="OQ178" s="126"/>
      <c r="OR178" s="126"/>
      <c r="OS178" s="126"/>
      <c r="OT178" s="126"/>
      <c r="OU178" s="126"/>
      <c r="OV178" s="126"/>
      <c r="OW178" s="126"/>
      <c r="OX178" s="126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6"/>
      <c r="PW178" s="126"/>
      <c r="PX178" s="126"/>
      <c r="PY178" s="126"/>
      <c r="PZ178" s="126"/>
      <c r="QA178" s="126"/>
      <c r="QB178" s="126"/>
      <c r="QC178" s="126"/>
      <c r="QD178" s="126"/>
      <c r="QE178" s="126"/>
      <c r="QF178" s="126"/>
      <c r="QG178" s="126"/>
      <c r="QH178" s="126"/>
      <c r="QI178" s="126"/>
      <c r="QJ178" s="126"/>
      <c r="QK178" s="126"/>
      <c r="QL178" s="126"/>
      <c r="QM178" s="126"/>
      <c r="QN178" s="126"/>
      <c r="QO178" s="126"/>
      <c r="QP178" s="126"/>
      <c r="QQ178" s="126"/>
      <c r="QR178" s="126"/>
      <c r="QS178" s="126"/>
      <c r="QT178" s="126"/>
      <c r="QU178" s="126"/>
      <c r="QV178" s="126"/>
      <c r="QW178" s="126"/>
      <c r="QX178" s="126"/>
      <c r="QY178" s="126"/>
      <c r="QZ178" s="126"/>
      <c r="RA178" s="126"/>
      <c r="RB178" s="126"/>
      <c r="RC178" s="126"/>
      <c r="RD178" s="126"/>
      <c r="RE178" s="126"/>
      <c r="RF178" s="126"/>
      <c r="RG178" s="126"/>
      <c r="RH178" s="126"/>
      <c r="RI178" s="126"/>
      <c r="RJ178" s="126"/>
      <c r="RK178" s="126"/>
      <c r="RL178" s="126"/>
      <c r="RM178" s="126"/>
      <c r="RN178" s="126"/>
      <c r="RO178" s="126"/>
      <c r="RP178" s="126"/>
      <c r="RQ178" s="126"/>
      <c r="RR178" s="126"/>
      <c r="RS178" s="126"/>
      <c r="RT178" s="126"/>
      <c r="RU178" s="126"/>
      <c r="RV178" s="126"/>
      <c r="RW178" s="126"/>
      <c r="RX178" s="126"/>
      <c r="RY178" s="126"/>
      <c r="RZ178" s="126"/>
      <c r="SA178" s="126"/>
      <c r="SB178" s="126"/>
      <c r="SC178" s="126"/>
      <c r="SD178" s="126"/>
      <c r="SE178" s="126"/>
      <c r="SF178" s="126"/>
      <c r="SG178" s="126"/>
      <c r="SH178" s="126"/>
      <c r="SI178" s="126"/>
      <c r="SJ178" s="126"/>
      <c r="SK178" s="126"/>
      <c r="SL178" s="126"/>
      <c r="SM178" s="126"/>
      <c r="SN178" s="126"/>
      <c r="SO178" s="126"/>
      <c r="SP178" s="126"/>
      <c r="SQ178" s="126"/>
      <c r="SR178" s="126"/>
      <c r="SS178" s="126"/>
      <c r="ST178" s="126"/>
      <c r="SU178" s="126"/>
      <c r="SV178" s="126"/>
      <c r="SW178" s="126"/>
      <c r="SX178" s="126"/>
      <c r="SY178" s="126"/>
      <c r="SZ178" s="126"/>
      <c r="TA178" s="126"/>
      <c r="TB178" s="126"/>
      <c r="TC178" s="126"/>
      <c r="TD178" s="126"/>
      <c r="TE178" s="126"/>
    </row>
    <row r="179" spans="1:525" s="127" customFormat="1" ht="63" hidden="1" customHeight="1" x14ac:dyDescent="0.25">
      <c r="A179" s="123"/>
      <c r="B179" s="144"/>
      <c r="C179" s="144"/>
      <c r="D179" s="152" t="s">
        <v>387</v>
      </c>
      <c r="E179" s="82">
        <f t="shared" si="71"/>
        <v>0</v>
      </c>
      <c r="F179" s="82"/>
      <c r="G179" s="82"/>
      <c r="H179" s="82"/>
      <c r="I179" s="82"/>
      <c r="J179" s="82">
        <f t="shared" si="73"/>
        <v>0</v>
      </c>
      <c r="K179" s="82"/>
      <c r="L179" s="82"/>
      <c r="M179" s="82"/>
      <c r="N179" s="82"/>
      <c r="O179" s="82"/>
      <c r="P179" s="82">
        <f t="shared" si="72"/>
        <v>0</v>
      </c>
      <c r="Q179" s="260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  <c r="IW179" s="126"/>
      <c r="IX179" s="126"/>
      <c r="IY179" s="126"/>
      <c r="IZ179" s="126"/>
      <c r="JA179" s="126"/>
      <c r="JB179" s="126"/>
      <c r="JC179" s="126"/>
      <c r="JD179" s="126"/>
      <c r="JE179" s="126"/>
      <c r="JF179" s="126"/>
      <c r="JG179" s="126"/>
      <c r="JH179" s="126"/>
      <c r="JI179" s="126"/>
      <c r="JJ179" s="126"/>
      <c r="JK179" s="126"/>
      <c r="JL179" s="126"/>
      <c r="JM179" s="126"/>
      <c r="JN179" s="126"/>
      <c r="JO179" s="126"/>
      <c r="JP179" s="126"/>
      <c r="JQ179" s="126"/>
      <c r="JR179" s="126"/>
      <c r="JS179" s="126"/>
      <c r="JT179" s="126"/>
      <c r="JU179" s="126"/>
      <c r="JV179" s="126"/>
      <c r="JW179" s="126"/>
      <c r="JX179" s="126"/>
      <c r="JY179" s="126"/>
      <c r="JZ179" s="126"/>
      <c r="KA179" s="126"/>
      <c r="KB179" s="126"/>
      <c r="KC179" s="126"/>
      <c r="KD179" s="126"/>
      <c r="KE179" s="126"/>
      <c r="KF179" s="126"/>
      <c r="KG179" s="126"/>
      <c r="KH179" s="126"/>
      <c r="KI179" s="126"/>
      <c r="KJ179" s="126"/>
      <c r="KK179" s="126"/>
      <c r="KL179" s="126"/>
      <c r="KM179" s="126"/>
      <c r="KN179" s="126"/>
      <c r="KO179" s="126"/>
      <c r="KP179" s="126"/>
      <c r="KQ179" s="126"/>
      <c r="KR179" s="126"/>
      <c r="KS179" s="126"/>
      <c r="KT179" s="126"/>
      <c r="KU179" s="126"/>
      <c r="KV179" s="126"/>
      <c r="KW179" s="126"/>
      <c r="KX179" s="126"/>
      <c r="KY179" s="126"/>
      <c r="KZ179" s="126"/>
      <c r="LA179" s="126"/>
      <c r="LB179" s="126"/>
      <c r="LC179" s="126"/>
      <c r="LD179" s="126"/>
      <c r="LE179" s="126"/>
      <c r="LF179" s="126"/>
      <c r="LG179" s="126"/>
      <c r="LH179" s="126"/>
      <c r="LI179" s="126"/>
      <c r="LJ179" s="126"/>
      <c r="LK179" s="126"/>
      <c r="LL179" s="126"/>
      <c r="LM179" s="126"/>
      <c r="LN179" s="126"/>
      <c r="LO179" s="126"/>
      <c r="LP179" s="126"/>
      <c r="LQ179" s="126"/>
      <c r="LR179" s="126"/>
      <c r="LS179" s="126"/>
      <c r="LT179" s="126"/>
      <c r="LU179" s="126"/>
      <c r="LV179" s="126"/>
      <c r="LW179" s="126"/>
      <c r="LX179" s="126"/>
      <c r="LY179" s="126"/>
      <c r="LZ179" s="126"/>
      <c r="MA179" s="126"/>
      <c r="MB179" s="126"/>
      <c r="MC179" s="126"/>
      <c r="MD179" s="126"/>
      <c r="ME179" s="126"/>
      <c r="MF179" s="126"/>
      <c r="MG179" s="126"/>
      <c r="MH179" s="126"/>
      <c r="MI179" s="126"/>
      <c r="MJ179" s="126"/>
      <c r="MK179" s="126"/>
      <c r="ML179" s="126"/>
      <c r="MM179" s="126"/>
      <c r="MN179" s="126"/>
      <c r="MO179" s="126"/>
      <c r="MP179" s="126"/>
      <c r="MQ179" s="126"/>
      <c r="MR179" s="126"/>
      <c r="MS179" s="126"/>
      <c r="MT179" s="126"/>
      <c r="MU179" s="126"/>
      <c r="MV179" s="126"/>
      <c r="MW179" s="126"/>
      <c r="MX179" s="126"/>
      <c r="MY179" s="126"/>
      <c r="MZ179" s="126"/>
      <c r="NA179" s="126"/>
      <c r="NB179" s="126"/>
      <c r="NC179" s="126"/>
      <c r="ND179" s="126"/>
      <c r="NE179" s="126"/>
      <c r="NF179" s="126"/>
      <c r="NG179" s="126"/>
      <c r="NH179" s="126"/>
      <c r="NI179" s="126"/>
      <c r="NJ179" s="126"/>
      <c r="NK179" s="126"/>
      <c r="NL179" s="126"/>
      <c r="NM179" s="126"/>
      <c r="NN179" s="126"/>
      <c r="NO179" s="126"/>
      <c r="NP179" s="126"/>
      <c r="NQ179" s="126"/>
      <c r="NR179" s="126"/>
      <c r="NS179" s="126"/>
      <c r="NT179" s="126"/>
      <c r="NU179" s="126"/>
      <c r="NV179" s="126"/>
      <c r="NW179" s="126"/>
      <c r="NX179" s="126"/>
      <c r="NY179" s="126"/>
      <c r="NZ179" s="126"/>
      <c r="OA179" s="126"/>
      <c r="OB179" s="126"/>
      <c r="OC179" s="126"/>
      <c r="OD179" s="126"/>
      <c r="OE179" s="126"/>
      <c r="OF179" s="126"/>
      <c r="OG179" s="126"/>
      <c r="OH179" s="126"/>
      <c r="OI179" s="126"/>
      <c r="OJ179" s="126"/>
      <c r="OK179" s="126"/>
      <c r="OL179" s="126"/>
      <c r="OM179" s="126"/>
      <c r="ON179" s="126"/>
      <c r="OO179" s="126"/>
      <c r="OP179" s="126"/>
      <c r="OQ179" s="126"/>
      <c r="OR179" s="126"/>
      <c r="OS179" s="126"/>
      <c r="OT179" s="126"/>
      <c r="OU179" s="126"/>
      <c r="OV179" s="126"/>
      <c r="OW179" s="126"/>
      <c r="OX179" s="126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6"/>
      <c r="PW179" s="126"/>
      <c r="PX179" s="126"/>
      <c r="PY179" s="126"/>
      <c r="PZ179" s="126"/>
      <c r="QA179" s="126"/>
      <c r="QB179" s="126"/>
      <c r="QC179" s="126"/>
      <c r="QD179" s="126"/>
      <c r="QE179" s="126"/>
      <c r="QF179" s="126"/>
      <c r="QG179" s="126"/>
      <c r="QH179" s="126"/>
      <c r="QI179" s="126"/>
      <c r="QJ179" s="126"/>
      <c r="QK179" s="126"/>
      <c r="QL179" s="126"/>
      <c r="QM179" s="126"/>
      <c r="QN179" s="126"/>
      <c r="QO179" s="126"/>
      <c r="QP179" s="126"/>
      <c r="QQ179" s="126"/>
      <c r="QR179" s="126"/>
      <c r="QS179" s="126"/>
      <c r="QT179" s="126"/>
      <c r="QU179" s="126"/>
      <c r="QV179" s="126"/>
      <c r="QW179" s="126"/>
      <c r="QX179" s="126"/>
      <c r="QY179" s="126"/>
      <c r="QZ179" s="126"/>
      <c r="RA179" s="126"/>
      <c r="RB179" s="126"/>
      <c r="RC179" s="126"/>
      <c r="RD179" s="126"/>
      <c r="RE179" s="126"/>
      <c r="RF179" s="126"/>
      <c r="RG179" s="126"/>
      <c r="RH179" s="126"/>
      <c r="RI179" s="126"/>
      <c r="RJ179" s="126"/>
      <c r="RK179" s="126"/>
      <c r="RL179" s="126"/>
      <c r="RM179" s="126"/>
      <c r="RN179" s="126"/>
      <c r="RO179" s="126"/>
      <c r="RP179" s="126"/>
      <c r="RQ179" s="126"/>
      <c r="RR179" s="126"/>
      <c r="RS179" s="126"/>
      <c r="RT179" s="126"/>
      <c r="RU179" s="126"/>
      <c r="RV179" s="126"/>
      <c r="RW179" s="126"/>
      <c r="RX179" s="126"/>
      <c r="RY179" s="126"/>
      <c r="RZ179" s="126"/>
      <c r="SA179" s="126"/>
      <c r="SB179" s="126"/>
      <c r="SC179" s="126"/>
      <c r="SD179" s="126"/>
      <c r="SE179" s="126"/>
      <c r="SF179" s="126"/>
      <c r="SG179" s="126"/>
      <c r="SH179" s="126"/>
      <c r="SI179" s="126"/>
      <c r="SJ179" s="126"/>
      <c r="SK179" s="126"/>
      <c r="SL179" s="126"/>
      <c r="SM179" s="126"/>
      <c r="SN179" s="126"/>
      <c r="SO179" s="126"/>
      <c r="SP179" s="126"/>
      <c r="SQ179" s="126"/>
      <c r="SR179" s="126"/>
      <c r="SS179" s="126"/>
      <c r="ST179" s="126"/>
      <c r="SU179" s="126"/>
      <c r="SV179" s="126"/>
      <c r="SW179" s="126"/>
      <c r="SX179" s="126"/>
      <c r="SY179" s="126"/>
      <c r="SZ179" s="126"/>
      <c r="TA179" s="126"/>
      <c r="TB179" s="126"/>
      <c r="TC179" s="126"/>
      <c r="TD179" s="126"/>
      <c r="TE179" s="126"/>
    </row>
    <row r="180" spans="1:525" s="121" customFormat="1" ht="30" customHeight="1" x14ac:dyDescent="0.25">
      <c r="A180" s="117" t="s">
        <v>320</v>
      </c>
      <c r="B180" s="130" t="str">
        <f>'дод 6'!A113</f>
        <v>2151</v>
      </c>
      <c r="C180" s="130" t="str">
        <f>'дод 6'!B113</f>
        <v>0763</v>
      </c>
      <c r="D180" s="122" t="str">
        <f>'дод 6'!C113</f>
        <v>Забезпечення діяльності інших закладів у сфері охорони здоров'я</v>
      </c>
      <c r="E180" s="81">
        <f t="shared" si="71"/>
        <v>3789166</v>
      </c>
      <c r="F180" s="81">
        <f>3507000+5966+200000-23800+100000</f>
        <v>3789166</v>
      </c>
      <c r="G180" s="81">
        <v>2621900</v>
      </c>
      <c r="H180" s="81">
        <f>139600-23800</f>
        <v>115800</v>
      </c>
      <c r="I180" s="81"/>
      <c r="J180" s="81">
        <f t="shared" si="73"/>
        <v>0</v>
      </c>
      <c r="K180" s="81"/>
      <c r="L180" s="81"/>
      <c r="M180" s="81"/>
      <c r="N180" s="81"/>
      <c r="O180" s="81"/>
      <c r="P180" s="81">
        <f t="shared" si="72"/>
        <v>3789166</v>
      </c>
      <c r="Q180" s="26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</row>
    <row r="181" spans="1:525" s="121" customFormat="1" ht="24.75" customHeight="1" x14ac:dyDescent="0.25">
      <c r="A181" s="117" t="s">
        <v>321</v>
      </c>
      <c r="B181" s="130" t="str">
        <f>'дод 6'!A114</f>
        <v>2152</v>
      </c>
      <c r="C181" s="130" t="str">
        <f>'дод 6'!B114</f>
        <v>0763</v>
      </c>
      <c r="D181" s="119" t="str">
        <f>'дод 6'!C114</f>
        <v>Інші програми та заходи у сфері охорони здоров'я</v>
      </c>
      <c r="E181" s="81">
        <f>F181+I181</f>
        <v>23355800</v>
      </c>
      <c r="F181" s="81">
        <f>21055800+300000+1000000+1000000-900000-100000+1000000</f>
        <v>23355800</v>
      </c>
      <c r="G181" s="81"/>
      <c r="H181" s="81"/>
      <c r="I181" s="81"/>
      <c r="J181" s="81">
        <f t="shared" si="73"/>
        <v>111446590</v>
      </c>
      <c r="K181" s="81">
        <f>80000000+176590-5000000+25000000-3500000+9000000-9000000+7000000+2000000+5770000</f>
        <v>111446590</v>
      </c>
      <c r="L181" s="81"/>
      <c r="M181" s="81"/>
      <c r="N181" s="81"/>
      <c r="O181" s="81">
        <f>80000000+176590-5000000+25000000-3500000+9000000-9000000+7000000+2000000+5770000</f>
        <v>111446590</v>
      </c>
      <c r="P181" s="81">
        <f t="shared" si="72"/>
        <v>134802390</v>
      </c>
      <c r="Q181" s="26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</row>
    <row r="182" spans="1:525" s="121" customFormat="1" ht="24.75" hidden="1" customHeight="1" x14ac:dyDescent="0.25">
      <c r="A182" s="117" t="s">
        <v>407</v>
      </c>
      <c r="B182" s="130">
        <v>7322</v>
      </c>
      <c r="C182" s="129" t="s">
        <v>110</v>
      </c>
      <c r="D182" s="132" t="str">
        <f>'дод 6'!C202</f>
        <v>Будівництво1 медичних установ та закладів</v>
      </c>
      <c r="E182" s="81">
        <f>F182+I182</f>
        <v>0</v>
      </c>
      <c r="F182" s="81"/>
      <c r="G182" s="81"/>
      <c r="H182" s="81"/>
      <c r="I182" s="81"/>
      <c r="J182" s="81">
        <f t="shared" si="73"/>
        <v>0</v>
      </c>
      <c r="K182" s="81"/>
      <c r="L182" s="81"/>
      <c r="M182" s="81"/>
      <c r="N182" s="81"/>
      <c r="O182" s="81"/>
      <c r="P182" s="81">
        <f t="shared" si="72"/>
        <v>0</v>
      </c>
      <c r="Q182" s="26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</row>
    <row r="183" spans="1:525" s="121" customFormat="1" ht="47.25" customHeight="1" x14ac:dyDescent="0.25">
      <c r="A183" s="117" t="s">
        <v>368</v>
      </c>
      <c r="B183" s="130">
        <f>'дод 6'!A209</f>
        <v>7361</v>
      </c>
      <c r="C183" s="130" t="str">
        <f>'дод 6'!B209</f>
        <v>0490</v>
      </c>
      <c r="D183" s="119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183" s="81">
        <f t="shared" si="71"/>
        <v>0</v>
      </c>
      <c r="F183" s="81"/>
      <c r="G183" s="81"/>
      <c r="H183" s="81"/>
      <c r="I183" s="81"/>
      <c r="J183" s="81">
        <f t="shared" si="73"/>
        <v>107164</v>
      </c>
      <c r="K183" s="81">
        <v>107164</v>
      </c>
      <c r="L183" s="81"/>
      <c r="M183" s="81"/>
      <c r="N183" s="81"/>
      <c r="O183" s="81">
        <v>107164</v>
      </c>
      <c r="P183" s="81">
        <f t="shared" si="72"/>
        <v>107164</v>
      </c>
      <c r="Q183" s="26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</row>
    <row r="184" spans="1:525" s="121" customFormat="1" ht="47.25" hidden="1" customHeight="1" x14ac:dyDescent="0.25">
      <c r="A184" s="117" t="s">
        <v>414</v>
      </c>
      <c r="B184" s="130">
        <v>7363</v>
      </c>
      <c r="C184" s="129" t="s">
        <v>81</v>
      </c>
      <c r="D184" s="122" t="s">
        <v>391</v>
      </c>
      <c r="E184" s="81">
        <f t="shared" si="71"/>
        <v>0</v>
      </c>
      <c r="F184" s="81"/>
      <c r="G184" s="81"/>
      <c r="H184" s="81"/>
      <c r="I184" s="81"/>
      <c r="J184" s="81">
        <f t="shared" si="73"/>
        <v>0</v>
      </c>
      <c r="K184" s="81"/>
      <c r="L184" s="81"/>
      <c r="M184" s="81"/>
      <c r="N184" s="81"/>
      <c r="O184" s="81"/>
      <c r="P184" s="81">
        <f t="shared" si="72"/>
        <v>0</v>
      </c>
      <c r="Q184" s="26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</row>
    <row r="185" spans="1:525" s="121" customFormat="1" ht="47.25" hidden="1" customHeight="1" x14ac:dyDescent="0.25">
      <c r="A185" s="117"/>
      <c r="B185" s="130"/>
      <c r="C185" s="130"/>
      <c r="D185" s="125" t="s">
        <v>383</v>
      </c>
      <c r="E185" s="82">
        <f t="shared" si="71"/>
        <v>0</v>
      </c>
      <c r="F185" s="82"/>
      <c r="G185" s="82"/>
      <c r="H185" s="82"/>
      <c r="I185" s="82"/>
      <c r="J185" s="82">
        <f t="shared" si="73"/>
        <v>0</v>
      </c>
      <c r="K185" s="82"/>
      <c r="L185" s="82"/>
      <c r="M185" s="82"/>
      <c r="N185" s="82"/>
      <c r="O185" s="82"/>
      <c r="P185" s="82">
        <f t="shared" si="72"/>
        <v>0</v>
      </c>
      <c r="Q185" s="26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</row>
    <row r="186" spans="1:525" s="121" customFormat="1" ht="23.25" customHeight="1" x14ac:dyDescent="0.25">
      <c r="A186" s="117" t="s">
        <v>170</v>
      </c>
      <c r="B186" s="118" t="str">
        <f>'дод 6'!A239</f>
        <v>7640</v>
      </c>
      <c r="C186" s="118" t="str">
        <f>'дод 6'!B239</f>
        <v>0470</v>
      </c>
      <c r="D186" s="122" t="s">
        <v>413</v>
      </c>
      <c r="E186" s="81">
        <f t="shared" si="71"/>
        <v>342700</v>
      </c>
      <c r="F186" s="81">
        <f>309000+400+33300</f>
        <v>342700</v>
      </c>
      <c r="G186" s="81"/>
      <c r="H186" s="81"/>
      <c r="I186" s="81"/>
      <c r="J186" s="81">
        <f t="shared" si="73"/>
        <v>12521861</v>
      </c>
      <c r="K186" s="81">
        <f>10000000+824760+750000+947101</f>
        <v>12521861</v>
      </c>
      <c r="L186" s="81"/>
      <c r="M186" s="81"/>
      <c r="N186" s="81"/>
      <c r="O186" s="81">
        <f>10000000+824760+750000+947101</f>
        <v>12521861</v>
      </c>
      <c r="P186" s="81">
        <f t="shared" si="72"/>
        <v>12864561</v>
      </c>
      <c r="Q186" s="26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</row>
    <row r="187" spans="1:525" s="127" customFormat="1" ht="15" hidden="1" customHeight="1" x14ac:dyDescent="0.25">
      <c r="A187" s="123"/>
      <c r="B187" s="144"/>
      <c r="C187" s="144"/>
      <c r="D187" s="143" t="s">
        <v>410</v>
      </c>
      <c r="E187" s="82">
        <f t="shared" si="71"/>
        <v>0</v>
      </c>
      <c r="F187" s="82"/>
      <c r="G187" s="82"/>
      <c r="H187" s="82"/>
      <c r="I187" s="82"/>
      <c r="J187" s="82">
        <f t="shared" si="73"/>
        <v>0</v>
      </c>
      <c r="K187" s="82"/>
      <c r="L187" s="82"/>
      <c r="M187" s="82"/>
      <c r="N187" s="82"/>
      <c r="O187" s="82"/>
      <c r="P187" s="82">
        <f t="shared" si="72"/>
        <v>0</v>
      </c>
      <c r="Q187" s="260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  <c r="HN187" s="126"/>
      <c r="HO187" s="126"/>
      <c r="HP187" s="126"/>
      <c r="HQ187" s="126"/>
      <c r="HR187" s="126"/>
      <c r="HS187" s="126"/>
      <c r="HT187" s="126"/>
      <c r="HU187" s="126"/>
      <c r="HV187" s="126"/>
      <c r="HW187" s="126"/>
      <c r="HX187" s="126"/>
      <c r="HY187" s="126"/>
      <c r="HZ187" s="126"/>
      <c r="IA187" s="126"/>
      <c r="IB187" s="126"/>
      <c r="IC187" s="126"/>
      <c r="ID187" s="126"/>
      <c r="IE187" s="126"/>
      <c r="IF187" s="126"/>
      <c r="IG187" s="126"/>
      <c r="IH187" s="126"/>
      <c r="II187" s="126"/>
      <c r="IJ187" s="126"/>
      <c r="IK187" s="126"/>
      <c r="IL187" s="126"/>
      <c r="IM187" s="126"/>
      <c r="IN187" s="126"/>
      <c r="IO187" s="126"/>
      <c r="IP187" s="126"/>
      <c r="IQ187" s="126"/>
      <c r="IR187" s="126"/>
      <c r="IS187" s="126"/>
      <c r="IT187" s="126"/>
      <c r="IU187" s="126"/>
      <c r="IV187" s="126"/>
      <c r="IW187" s="126"/>
      <c r="IX187" s="126"/>
      <c r="IY187" s="126"/>
      <c r="IZ187" s="126"/>
      <c r="JA187" s="126"/>
      <c r="JB187" s="126"/>
      <c r="JC187" s="126"/>
      <c r="JD187" s="126"/>
      <c r="JE187" s="126"/>
      <c r="JF187" s="126"/>
      <c r="JG187" s="126"/>
      <c r="JH187" s="126"/>
      <c r="JI187" s="126"/>
      <c r="JJ187" s="126"/>
      <c r="JK187" s="126"/>
      <c r="JL187" s="126"/>
      <c r="JM187" s="126"/>
      <c r="JN187" s="126"/>
      <c r="JO187" s="126"/>
      <c r="JP187" s="126"/>
      <c r="JQ187" s="126"/>
      <c r="JR187" s="126"/>
      <c r="JS187" s="126"/>
      <c r="JT187" s="126"/>
      <c r="JU187" s="126"/>
      <c r="JV187" s="126"/>
      <c r="JW187" s="126"/>
      <c r="JX187" s="126"/>
      <c r="JY187" s="126"/>
      <c r="JZ187" s="126"/>
      <c r="KA187" s="126"/>
      <c r="KB187" s="126"/>
      <c r="KC187" s="126"/>
      <c r="KD187" s="126"/>
      <c r="KE187" s="126"/>
      <c r="KF187" s="126"/>
      <c r="KG187" s="126"/>
      <c r="KH187" s="126"/>
      <c r="KI187" s="126"/>
      <c r="KJ187" s="126"/>
      <c r="KK187" s="126"/>
      <c r="KL187" s="126"/>
      <c r="KM187" s="126"/>
      <c r="KN187" s="126"/>
      <c r="KO187" s="126"/>
      <c r="KP187" s="126"/>
      <c r="KQ187" s="126"/>
      <c r="KR187" s="126"/>
      <c r="KS187" s="126"/>
      <c r="KT187" s="126"/>
      <c r="KU187" s="126"/>
      <c r="KV187" s="126"/>
      <c r="KW187" s="126"/>
      <c r="KX187" s="126"/>
      <c r="KY187" s="126"/>
      <c r="KZ187" s="126"/>
      <c r="LA187" s="126"/>
      <c r="LB187" s="126"/>
      <c r="LC187" s="126"/>
      <c r="LD187" s="126"/>
      <c r="LE187" s="126"/>
      <c r="LF187" s="126"/>
      <c r="LG187" s="126"/>
      <c r="LH187" s="126"/>
      <c r="LI187" s="126"/>
      <c r="LJ187" s="126"/>
      <c r="LK187" s="126"/>
      <c r="LL187" s="126"/>
      <c r="LM187" s="126"/>
      <c r="LN187" s="126"/>
      <c r="LO187" s="126"/>
      <c r="LP187" s="126"/>
      <c r="LQ187" s="126"/>
      <c r="LR187" s="126"/>
      <c r="LS187" s="126"/>
      <c r="LT187" s="126"/>
      <c r="LU187" s="126"/>
      <c r="LV187" s="126"/>
      <c r="LW187" s="126"/>
      <c r="LX187" s="126"/>
      <c r="LY187" s="126"/>
      <c r="LZ187" s="126"/>
      <c r="MA187" s="126"/>
      <c r="MB187" s="126"/>
      <c r="MC187" s="126"/>
      <c r="MD187" s="126"/>
      <c r="ME187" s="126"/>
      <c r="MF187" s="126"/>
      <c r="MG187" s="126"/>
      <c r="MH187" s="126"/>
      <c r="MI187" s="126"/>
      <c r="MJ187" s="126"/>
      <c r="MK187" s="126"/>
      <c r="ML187" s="126"/>
      <c r="MM187" s="126"/>
      <c r="MN187" s="126"/>
      <c r="MO187" s="126"/>
      <c r="MP187" s="126"/>
      <c r="MQ187" s="126"/>
      <c r="MR187" s="126"/>
      <c r="MS187" s="126"/>
      <c r="MT187" s="126"/>
      <c r="MU187" s="126"/>
      <c r="MV187" s="126"/>
      <c r="MW187" s="126"/>
      <c r="MX187" s="126"/>
      <c r="MY187" s="126"/>
      <c r="MZ187" s="126"/>
      <c r="NA187" s="126"/>
      <c r="NB187" s="126"/>
      <c r="NC187" s="126"/>
      <c r="ND187" s="126"/>
      <c r="NE187" s="126"/>
      <c r="NF187" s="126"/>
      <c r="NG187" s="126"/>
      <c r="NH187" s="126"/>
      <c r="NI187" s="126"/>
      <c r="NJ187" s="126"/>
      <c r="NK187" s="126"/>
      <c r="NL187" s="126"/>
      <c r="NM187" s="126"/>
      <c r="NN187" s="126"/>
      <c r="NO187" s="126"/>
      <c r="NP187" s="126"/>
      <c r="NQ187" s="126"/>
      <c r="NR187" s="126"/>
      <c r="NS187" s="126"/>
      <c r="NT187" s="126"/>
      <c r="NU187" s="126"/>
      <c r="NV187" s="126"/>
      <c r="NW187" s="126"/>
      <c r="NX187" s="126"/>
      <c r="NY187" s="126"/>
      <c r="NZ187" s="126"/>
      <c r="OA187" s="126"/>
      <c r="OB187" s="126"/>
      <c r="OC187" s="126"/>
      <c r="OD187" s="126"/>
      <c r="OE187" s="126"/>
      <c r="OF187" s="126"/>
      <c r="OG187" s="126"/>
      <c r="OH187" s="126"/>
      <c r="OI187" s="126"/>
      <c r="OJ187" s="126"/>
      <c r="OK187" s="126"/>
      <c r="OL187" s="126"/>
      <c r="OM187" s="126"/>
      <c r="ON187" s="126"/>
      <c r="OO187" s="126"/>
      <c r="OP187" s="126"/>
      <c r="OQ187" s="126"/>
      <c r="OR187" s="126"/>
      <c r="OS187" s="126"/>
      <c r="OT187" s="126"/>
      <c r="OU187" s="126"/>
      <c r="OV187" s="126"/>
      <c r="OW187" s="126"/>
      <c r="OX187" s="126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6"/>
      <c r="PW187" s="126"/>
      <c r="PX187" s="126"/>
      <c r="PY187" s="126"/>
      <c r="PZ187" s="126"/>
      <c r="QA187" s="126"/>
      <c r="QB187" s="126"/>
      <c r="QC187" s="126"/>
      <c r="QD187" s="126"/>
      <c r="QE187" s="126"/>
      <c r="QF187" s="126"/>
      <c r="QG187" s="126"/>
      <c r="QH187" s="126"/>
      <c r="QI187" s="126"/>
      <c r="QJ187" s="126"/>
      <c r="QK187" s="126"/>
      <c r="QL187" s="126"/>
      <c r="QM187" s="126"/>
      <c r="QN187" s="126"/>
      <c r="QO187" s="126"/>
      <c r="QP187" s="126"/>
      <c r="QQ187" s="126"/>
      <c r="QR187" s="126"/>
      <c r="QS187" s="126"/>
      <c r="QT187" s="126"/>
      <c r="QU187" s="126"/>
      <c r="QV187" s="126"/>
      <c r="QW187" s="126"/>
      <c r="QX187" s="126"/>
      <c r="QY187" s="126"/>
      <c r="QZ187" s="126"/>
      <c r="RA187" s="126"/>
      <c r="RB187" s="126"/>
      <c r="RC187" s="126"/>
      <c r="RD187" s="126"/>
      <c r="RE187" s="126"/>
      <c r="RF187" s="126"/>
      <c r="RG187" s="126"/>
      <c r="RH187" s="126"/>
      <c r="RI187" s="126"/>
      <c r="RJ187" s="126"/>
      <c r="RK187" s="126"/>
      <c r="RL187" s="126"/>
      <c r="RM187" s="126"/>
      <c r="RN187" s="126"/>
      <c r="RO187" s="126"/>
      <c r="RP187" s="126"/>
      <c r="RQ187" s="126"/>
      <c r="RR187" s="126"/>
      <c r="RS187" s="126"/>
      <c r="RT187" s="126"/>
      <c r="RU187" s="126"/>
      <c r="RV187" s="126"/>
      <c r="RW187" s="126"/>
      <c r="RX187" s="126"/>
      <c r="RY187" s="126"/>
      <c r="RZ187" s="126"/>
      <c r="SA187" s="126"/>
      <c r="SB187" s="126"/>
      <c r="SC187" s="126"/>
      <c r="SD187" s="126"/>
      <c r="SE187" s="126"/>
      <c r="SF187" s="126"/>
      <c r="SG187" s="126"/>
      <c r="SH187" s="126"/>
      <c r="SI187" s="126"/>
      <c r="SJ187" s="126"/>
      <c r="SK187" s="126"/>
      <c r="SL187" s="126"/>
      <c r="SM187" s="126"/>
      <c r="SN187" s="126"/>
      <c r="SO187" s="126"/>
      <c r="SP187" s="126"/>
      <c r="SQ187" s="126"/>
      <c r="SR187" s="126"/>
      <c r="SS187" s="126"/>
      <c r="ST187" s="126"/>
      <c r="SU187" s="126"/>
      <c r="SV187" s="126"/>
      <c r="SW187" s="126"/>
      <c r="SX187" s="126"/>
      <c r="SY187" s="126"/>
      <c r="SZ187" s="126"/>
      <c r="TA187" s="126"/>
      <c r="TB187" s="126"/>
      <c r="TC187" s="126"/>
      <c r="TD187" s="126"/>
      <c r="TE187" s="126"/>
    </row>
    <row r="188" spans="1:525" s="121" customFormat="1" ht="78" customHeight="1" x14ac:dyDescent="0.25">
      <c r="A188" s="117" t="s">
        <v>356</v>
      </c>
      <c r="B188" s="118">
        <v>7700</v>
      </c>
      <c r="C188" s="117" t="s">
        <v>92</v>
      </c>
      <c r="D188" s="122" t="str">
        <f>'дод 6'!C250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8" s="81">
        <f t="shared" si="71"/>
        <v>0</v>
      </c>
      <c r="F188" s="81"/>
      <c r="G188" s="81"/>
      <c r="H188" s="81"/>
      <c r="I188" s="81"/>
      <c r="J188" s="81">
        <f t="shared" si="73"/>
        <v>4620000</v>
      </c>
      <c r="K188" s="81">
        <v>420000</v>
      </c>
      <c r="L188" s="81"/>
      <c r="M188" s="81"/>
      <c r="N188" s="81"/>
      <c r="O188" s="81">
        <f>4200000+420000</f>
        <v>4620000</v>
      </c>
      <c r="P188" s="81">
        <f t="shared" si="72"/>
        <v>4620000</v>
      </c>
      <c r="Q188" s="26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7" customFormat="1" ht="22.5" customHeight="1" x14ac:dyDescent="0.25">
      <c r="A189" s="123"/>
      <c r="B189" s="144"/>
      <c r="C189" s="123"/>
      <c r="D189" s="143" t="s">
        <v>662</v>
      </c>
      <c r="E189" s="82">
        <f t="shared" ref="E189" si="75">F189+I189</f>
        <v>0</v>
      </c>
      <c r="F189" s="82"/>
      <c r="G189" s="82"/>
      <c r="H189" s="82"/>
      <c r="I189" s="82"/>
      <c r="J189" s="82">
        <f t="shared" ref="J189" si="76">L189+O189</f>
        <v>4200000</v>
      </c>
      <c r="K189" s="82"/>
      <c r="L189" s="82"/>
      <c r="M189" s="82"/>
      <c r="N189" s="82"/>
      <c r="O189" s="82">
        <f>4200000</f>
        <v>4200000</v>
      </c>
      <c r="P189" s="82">
        <f t="shared" ref="P189" si="77">E189+J189</f>
        <v>4200000</v>
      </c>
      <c r="Q189" s="260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  <c r="IW189" s="126"/>
      <c r="IX189" s="126"/>
      <c r="IY189" s="126"/>
      <c r="IZ189" s="126"/>
      <c r="JA189" s="126"/>
      <c r="JB189" s="126"/>
      <c r="JC189" s="126"/>
      <c r="JD189" s="126"/>
      <c r="JE189" s="126"/>
      <c r="JF189" s="126"/>
      <c r="JG189" s="126"/>
      <c r="JH189" s="126"/>
      <c r="JI189" s="126"/>
      <c r="JJ189" s="126"/>
      <c r="JK189" s="126"/>
      <c r="JL189" s="126"/>
      <c r="JM189" s="126"/>
      <c r="JN189" s="126"/>
      <c r="JO189" s="126"/>
      <c r="JP189" s="126"/>
      <c r="JQ189" s="126"/>
      <c r="JR189" s="126"/>
      <c r="JS189" s="126"/>
      <c r="JT189" s="126"/>
      <c r="JU189" s="126"/>
      <c r="JV189" s="126"/>
      <c r="JW189" s="126"/>
      <c r="JX189" s="126"/>
      <c r="JY189" s="126"/>
      <c r="JZ189" s="126"/>
      <c r="KA189" s="126"/>
      <c r="KB189" s="126"/>
      <c r="KC189" s="126"/>
      <c r="KD189" s="126"/>
      <c r="KE189" s="126"/>
      <c r="KF189" s="126"/>
      <c r="KG189" s="126"/>
      <c r="KH189" s="126"/>
      <c r="KI189" s="126"/>
      <c r="KJ189" s="126"/>
      <c r="KK189" s="126"/>
      <c r="KL189" s="126"/>
      <c r="KM189" s="126"/>
      <c r="KN189" s="126"/>
      <c r="KO189" s="126"/>
      <c r="KP189" s="126"/>
      <c r="KQ189" s="126"/>
      <c r="KR189" s="126"/>
      <c r="KS189" s="126"/>
      <c r="KT189" s="126"/>
      <c r="KU189" s="126"/>
      <c r="KV189" s="126"/>
      <c r="KW189" s="126"/>
      <c r="KX189" s="126"/>
      <c r="KY189" s="126"/>
      <c r="KZ189" s="126"/>
      <c r="LA189" s="126"/>
      <c r="LB189" s="126"/>
      <c r="LC189" s="126"/>
      <c r="LD189" s="126"/>
      <c r="LE189" s="126"/>
      <c r="LF189" s="126"/>
      <c r="LG189" s="126"/>
      <c r="LH189" s="126"/>
      <c r="LI189" s="126"/>
      <c r="LJ189" s="126"/>
      <c r="LK189" s="126"/>
      <c r="LL189" s="126"/>
      <c r="LM189" s="126"/>
      <c r="LN189" s="126"/>
      <c r="LO189" s="126"/>
      <c r="LP189" s="126"/>
      <c r="LQ189" s="126"/>
      <c r="LR189" s="126"/>
      <c r="LS189" s="126"/>
      <c r="LT189" s="126"/>
      <c r="LU189" s="126"/>
      <c r="LV189" s="126"/>
      <c r="LW189" s="126"/>
      <c r="LX189" s="126"/>
      <c r="LY189" s="126"/>
      <c r="LZ189" s="126"/>
      <c r="MA189" s="126"/>
      <c r="MB189" s="126"/>
      <c r="MC189" s="126"/>
      <c r="MD189" s="126"/>
      <c r="ME189" s="126"/>
      <c r="MF189" s="126"/>
      <c r="MG189" s="126"/>
      <c r="MH189" s="126"/>
      <c r="MI189" s="126"/>
      <c r="MJ189" s="126"/>
      <c r="MK189" s="126"/>
      <c r="ML189" s="126"/>
      <c r="MM189" s="126"/>
      <c r="MN189" s="126"/>
      <c r="MO189" s="126"/>
      <c r="MP189" s="126"/>
      <c r="MQ189" s="126"/>
      <c r="MR189" s="126"/>
      <c r="MS189" s="126"/>
      <c r="MT189" s="126"/>
      <c r="MU189" s="126"/>
      <c r="MV189" s="126"/>
      <c r="MW189" s="126"/>
      <c r="MX189" s="126"/>
      <c r="MY189" s="126"/>
      <c r="MZ189" s="126"/>
      <c r="NA189" s="126"/>
      <c r="NB189" s="126"/>
      <c r="NC189" s="126"/>
      <c r="ND189" s="126"/>
      <c r="NE189" s="126"/>
      <c r="NF189" s="126"/>
      <c r="NG189" s="126"/>
      <c r="NH189" s="126"/>
      <c r="NI189" s="126"/>
      <c r="NJ189" s="126"/>
      <c r="NK189" s="126"/>
      <c r="NL189" s="126"/>
      <c r="NM189" s="126"/>
      <c r="NN189" s="126"/>
      <c r="NO189" s="126"/>
      <c r="NP189" s="126"/>
      <c r="NQ189" s="126"/>
      <c r="NR189" s="126"/>
      <c r="NS189" s="126"/>
      <c r="NT189" s="126"/>
      <c r="NU189" s="126"/>
      <c r="NV189" s="126"/>
      <c r="NW189" s="126"/>
      <c r="NX189" s="126"/>
      <c r="NY189" s="126"/>
      <c r="NZ189" s="126"/>
      <c r="OA189" s="126"/>
      <c r="OB189" s="126"/>
      <c r="OC189" s="126"/>
      <c r="OD189" s="126"/>
      <c r="OE189" s="126"/>
      <c r="OF189" s="126"/>
      <c r="OG189" s="126"/>
      <c r="OH189" s="126"/>
      <c r="OI189" s="126"/>
      <c r="OJ189" s="126"/>
      <c r="OK189" s="126"/>
      <c r="OL189" s="126"/>
      <c r="OM189" s="126"/>
      <c r="ON189" s="126"/>
      <c r="OO189" s="126"/>
      <c r="OP189" s="126"/>
      <c r="OQ189" s="126"/>
      <c r="OR189" s="126"/>
      <c r="OS189" s="126"/>
      <c r="OT189" s="126"/>
      <c r="OU189" s="126"/>
      <c r="OV189" s="126"/>
      <c r="OW189" s="126"/>
      <c r="OX189" s="126"/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6"/>
      <c r="PW189" s="126"/>
      <c r="PX189" s="126"/>
      <c r="PY189" s="126"/>
      <c r="PZ189" s="126"/>
      <c r="QA189" s="126"/>
      <c r="QB189" s="126"/>
      <c r="QC189" s="126"/>
      <c r="QD189" s="126"/>
      <c r="QE189" s="126"/>
      <c r="QF189" s="126"/>
      <c r="QG189" s="126"/>
      <c r="QH189" s="126"/>
      <c r="QI189" s="126"/>
      <c r="QJ189" s="126"/>
      <c r="QK189" s="126"/>
      <c r="QL189" s="126"/>
      <c r="QM189" s="126"/>
      <c r="QN189" s="126"/>
      <c r="QO189" s="126"/>
      <c r="QP189" s="126"/>
      <c r="QQ189" s="126"/>
      <c r="QR189" s="126"/>
      <c r="QS189" s="126"/>
      <c r="QT189" s="126"/>
      <c r="QU189" s="126"/>
      <c r="QV189" s="126"/>
      <c r="QW189" s="126"/>
      <c r="QX189" s="126"/>
      <c r="QY189" s="126"/>
      <c r="QZ189" s="126"/>
      <c r="RA189" s="126"/>
      <c r="RB189" s="126"/>
      <c r="RC189" s="126"/>
      <c r="RD189" s="126"/>
      <c r="RE189" s="126"/>
      <c r="RF189" s="126"/>
      <c r="RG189" s="126"/>
      <c r="RH189" s="126"/>
      <c r="RI189" s="126"/>
      <c r="RJ189" s="126"/>
      <c r="RK189" s="126"/>
      <c r="RL189" s="126"/>
      <c r="RM189" s="126"/>
      <c r="RN189" s="126"/>
      <c r="RO189" s="126"/>
      <c r="RP189" s="126"/>
      <c r="RQ189" s="126"/>
      <c r="RR189" s="126"/>
      <c r="RS189" s="126"/>
      <c r="RT189" s="126"/>
      <c r="RU189" s="126"/>
      <c r="RV189" s="126"/>
      <c r="RW189" s="126"/>
      <c r="RX189" s="126"/>
      <c r="RY189" s="126"/>
      <c r="RZ189" s="126"/>
      <c r="SA189" s="126"/>
      <c r="SB189" s="126"/>
      <c r="SC189" s="126"/>
      <c r="SD189" s="126"/>
      <c r="SE189" s="126"/>
      <c r="SF189" s="126"/>
      <c r="SG189" s="126"/>
      <c r="SH189" s="126"/>
      <c r="SI189" s="126"/>
      <c r="SJ189" s="126"/>
      <c r="SK189" s="126"/>
      <c r="SL189" s="126"/>
      <c r="SM189" s="126"/>
      <c r="SN189" s="126"/>
      <c r="SO189" s="126"/>
      <c r="SP189" s="126"/>
      <c r="SQ189" s="126"/>
      <c r="SR189" s="126"/>
      <c r="SS189" s="126"/>
      <c r="ST189" s="126"/>
      <c r="SU189" s="126"/>
      <c r="SV189" s="126"/>
      <c r="SW189" s="126"/>
      <c r="SX189" s="126"/>
      <c r="SY189" s="126"/>
      <c r="SZ189" s="126"/>
      <c r="TA189" s="126"/>
      <c r="TB189" s="126"/>
      <c r="TC189" s="126"/>
      <c r="TD189" s="126"/>
      <c r="TE189" s="126"/>
    </row>
    <row r="190" spans="1:525" s="121" customFormat="1" ht="15.75" customHeight="1" x14ac:dyDescent="0.25">
      <c r="A190" s="117" t="s">
        <v>419</v>
      </c>
      <c r="B190" s="118">
        <v>9770</v>
      </c>
      <c r="C190" s="117" t="s">
        <v>44</v>
      </c>
      <c r="D190" s="122" t="s">
        <v>420</v>
      </c>
      <c r="E190" s="81">
        <f t="shared" si="71"/>
        <v>0</v>
      </c>
      <c r="F190" s="81"/>
      <c r="G190" s="81"/>
      <c r="H190" s="81"/>
      <c r="I190" s="81"/>
      <c r="J190" s="81">
        <f t="shared" si="73"/>
        <v>700000</v>
      </c>
      <c r="K190" s="81">
        <v>700000</v>
      </c>
      <c r="L190" s="81"/>
      <c r="M190" s="81"/>
      <c r="N190" s="81"/>
      <c r="O190" s="81">
        <v>700000</v>
      </c>
      <c r="P190" s="81">
        <f t="shared" si="72"/>
        <v>700000</v>
      </c>
      <c r="Q190" s="26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</row>
    <row r="191" spans="1:525" s="121" customFormat="1" ht="38.25" hidden="1" customHeight="1" x14ac:dyDescent="0.25">
      <c r="A191" s="129" t="s">
        <v>586</v>
      </c>
      <c r="B191" s="130">
        <v>8775</v>
      </c>
      <c r="C191" s="129" t="s">
        <v>92</v>
      </c>
      <c r="D191" s="119" t="s">
        <v>585</v>
      </c>
      <c r="E191" s="81">
        <f>F191</f>
        <v>0</v>
      </c>
      <c r="F191" s="81"/>
      <c r="G191" s="81"/>
      <c r="H191" s="81"/>
      <c r="I191" s="81"/>
      <c r="J191" s="81">
        <f t="shared" si="73"/>
        <v>0</v>
      </c>
      <c r="K191" s="81"/>
      <c r="L191" s="81"/>
      <c r="M191" s="81"/>
      <c r="N191" s="81"/>
      <c r="O191" s="81"/>
      <c r="P191" s="81">
        <f t="shared" si="72"/>
        <v>0</v>
      </c>
      <c r="Q191" s="26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</row>
    <row r="192" spans="1:525" s="111" customFormat="1" ht="36" customHeight="1" x14ac:dyDescent="0.25">
      <c r="A192" s="142" t="s">
        <v>175</v>
      </c>
      <c r="B192" s="148"/>
      <c r="C192" s="148"/>
      <c r="D192" s="138" t="s">
        <v>37</v>
      </c>
      <c r="E192" s="79">
        <f>E193</f>
        <v>443647381.51999998</v>
      </c>
      <c r="F192" s="79">
        <f t="shared" ref="F192:P192" si="78">F193</f>
        <v>443647381.51999998</v>
      </c>
      <c r="G192" s="79">
        <f t="shared" si="78"/>
        <v>58122000</v>
      </c>
      <c r="H192" s="79">
        <f t="shared" si="78"/>
        <v>2577700</v>
      </c>
      <c r="I192" s="79">
        <f t="shared" si="78"/>
        <v>0</v>
      </c>
      <c r="J192" s="79">
        <f t="shared" si="78"/>
        <v>34942423.789999999</v>
      </c>
      <c r="K192" s="79">
        <f t="shared" si="78"/>
        <v>34846223.789999999</v>
      </c>
      <c r="L192" s="79">
        <f t="shared" si="78"/>
        <v>96200</v>
      </c>
      <c r="M192" s="79">
        <f t="shared" si="78"/>
        <v>78600</v>
      </c>
      <c r="N192" s="79">
        <f t="shared" si="78"/>
        <v>0</v>
      </c>
      <c r="O192" s="79">
        <f t="shared" si="78"/>
        <v>34846223.789999999</v>
      </c>
      <c r="P192" s="79">
        <f t="shared" si="78"/>
        <v>478589805.31</v>
      </c>
      <c r="Q192" s="26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0"/>
      <c r="JJ192" s="110"/>
      <c r="JK192" s="110"/>
      <c r="JL192" s="110"/>
      <c r="JM192" s="110"/>
      <c r="JN192" s="110"/>
      <c r="JO192" s="110"/>
      <c r="JP192" s="110"/>
      <c r="JQ192" s="110"/>
      <c r="JR192" s="110"/>
      <c r="JS192" s="110"/>
      <c r="JT192" s="110"/>
      <c r="JU192" s="110"/>
      <c r="JV192" s="110"/>
      <c r="JW192" s="110"/>
      <c r="JX192" s="110"/>
      <c r="JY192" s="110"/>
      <c r="JZ192" s="110"/>
      <c r="KA192" s="110"/>
      <c r="KB192" s="110"/>
      <c r="KC192" s="110"/>
      <c r="KD192" s="110"/>
      <c r="KE192" s="110"/>
      <c r="KF192" s="110"/>
      <c r="KG192" s="110"/>
      <c r="KH192" s="110"/>
      <c r="KI192" s="110"/>
      <c r="KJ192" s="110"/>
      <c r="KK192" s="110"/>
      <c r="KL192" s="110"/>
      <c r="KM192" s="110"/>
      <c r="KN192" s="110"/>
      <c r="KO192" s="110"/>
      <c r="KP192" s="110"/>
      <c r="KQ192" s="110"/>
      <c r="KR192" s="110"/>
      <c r="KS192" s="110"/>
      <c r="KT192" s="110"/>
      <c r="KU192" s="110"/>
      <c r="KV192" s="110"/>
      <c r="KW192" s="110"/>
      <c r="KX192" s="110"/>
      <c r="KY192" s="110"/>
      <c r="KZ192" s="110"/>
      <c r="LA192" s="110"/>
      <c r="LB192" s="110"/>
      <c r="LC192" s="110"/>
      <c r="LD192" s="110"/>
      <c r="LE192" s="110"/>
      <c r="LF192" s="110"/>
      <c r="LG192" s="110"/>
      <c r="LH192" s="110"/>
      <c r="LI192" s="110"/>
      <c r="LJ192" s="110"/>
      <c r="LK192" s="110"/>
      <c r="LL192" s="110"/>
      <c r="LM192" s="110"/>
      <c r="LN192" s="110"/>
      <c r="LO192" s="110"/>
      <c r="LP192" s="110"/>
      <c r="LQ192" s="110"/>
      <c r="LR192" s="110"/>
      <c r="LS192" s="110"/>
      <c r="LT192" s="110"/>
      <c r="LU192" s="110"/>
      <c r="LV192" s="110"/>
      <c r="LW192" s="110"/>
      <c r="LX192" s="110"/>
      <c r="LY192" s="110"/>
      <c r="LZ192" s="110"/>
      <c r="MA192" s="110"/>
      <c r="MB192" s="110"/>
      <c r="MC192" s="110"/>
      <c r="MD192" s="110"/>
      <c r="ME192" s="110"/>
      <c r="MF192" s="110"/>
      <c r="MG192" s="110"/>
      <c r="MH192" s="110"/>
      <c r="MI192" s="110"/>
      <c r="MJ192" s="110"/>
      <c r="MK192" s="110"/>
      <c r="ML192" s="110"/>
      <c r="MM192" s="110"/>
      <c r="MN192" s="110"/>
      <c r="MO192" s="110"/>
      <c r="MP192" s="110"/>
      <c r="MQ192" s="110"/>
      <c r="MR192" s="110"/>
      <c r="MS192" s="110"/>
      <c r="MT192" s="110"/>
      <c r="MU192" s="110"/>
      <c r="MV192" s="110"/>
      <c r="MW192" s="110"/>
      <c r="MX192" s="110"/>
      <c r="MY192" s="110"/>
      <c r="MZ192" s="110"/>
      <c r="NA192" s="110"/>
      <c r="NB192" s="110"/>
      <c r="NC192" s="110"/>
      <c r="ND192" s="110"/>
      <c r="NE192" s="110"/>
      <c r="NF192" s="110"/>
      <c r="NG192" s="110"/>
      <c r="NH192" s="110"/>
      <c r="NI192" s="110"/>
      <c r="NJ192" s="110"/>
      <c r="NK192" s="110"/>
      <c r="NL192" s="110"/>
      <c r="NM192" s="110"/>
      <c r="NN192" s="110"/>
      <c r="NO192" s="110"/>
      <c r="NP192" s="110"/>
      <c r="NQ192" s="110"/>
      <c r="NR192" s="110"/>
      <c r="NS192" s="110"/>
      <c r="NT192" s="110"/>
      <c r="NU192" s="110"/>
      <c r="NV192" s="110"/>
      <c r="NW192" s="110"/>
      <c r="NX192" s="110"/>
      <c r="NY192" s="110"/>
      <c r="NZ192" s="110"/>
      <c r="OA192" s="110"/>
      <c r="OB192" s="110"/>
      <c r="OC192" s="110"/>
      <c r="OD192" s="110"/>
      <c r="OE192" s="110"/>
      <c r="OF192" s="110"/>
      <c r="OG192" s="110"/>
      <c r="OH192" s="110"/>
      <c r="OI192" s="110"/>
      <c r="OJ192" s="110"/>
      <c r="OK192" s="110"/>
      <c r="OL192" s="110"/>
      <c r="OM192" s="110"/>
      <c r="ON192" s="110"/>
      <c r="OO192" s="110"/>
      <c r="OP192" s="110"/>
      <c r="OQ192" s="110"/>
      <c r="OR192" s="110"/>
      <c r="OS192" s="110"/>
      <c r="OT192" s="110"/>
      <c r="OU192" s="110"/>
      <c r="OV192" s="110"/>
      <c r="OW192" s="110"/>
      <c r="OX192" s="110"/>
      <c r="OY192" s="110"/>
      <c r="OZ192" s="110"/>
      <c r="PA192" s="110"/>
      <c r="PB192" s="110"/>
      <c r="PC192" s="110"/>
      <c r="PD192" s="110"/>
      <c r="PE192" s="110"/>
      <c r="PF192" s="110"/>
      <c r="PG192" s="110"/>
      <c r="PH192" s="110"/>
      <c r="PI192" s="110"/>
      <c r="PJ192" s="110"/>
      <c r="PK192" s="110"/>
      <c r="PL192" s="110"/>
      <c r="PM192" s="110"/>
      <c r="PN192" s="110"/>
      <c r="PO192" s="110"/>
      <c r="PP192" s="110"/>
      <c r="PQ192" s="110"/>
      <c r="PR192" s="110"/>
      <c r="PS192" s="110"/>
      <c r="PT192" s="110"/>
      <c r="PU192" s="110"/>
      <c r="PV192" s="110"/>
      <c r="PW192" s="110"/>
      <c r="PX192" s="110"/>
      <c r="PY192" s="110"/>
      <c r="PZ192" s="110"/>
      <c r="QA192" s="110"/>
      <c r="QB192" s="110"/>
      <c r="QC192" s="110"/>
      <c r="QD192" s="110"/>
      <c r="QE192" s="110"/>
      <c r="QF192" s="110"/>
      <c r="QG192" s="110"/>
      <c r="QH192" s="110"/>
      <c r="QI192" s="110"/>
      <c r="QJ192" s="110"/>
      <c r="QK192" s="110"/>
      <c r="QL192" s="110"/>
      <c r="QM192" s="110"/>
      <c r="QN192" s="110"/>
      <c r="QO192" s="110"/>
      <c r="QP192" s="110"/>
      <c r="QQ192" s="110"/>
      <c r="QR192" s="110"/>
      <c r="QS192" s="110"/>
      <c r="QT192" s="110"/>
      <c r="QU192" s="110"/>
      <c r="QV192" s="110"/>
      <c r="QW192" s="110"/>
      <c r="QX192" s="110"/>
      <c r="QY192" s="110"/>
      <c r="QZ192" s="110"/>
      <c r="RA192" s="110"/>
      <c r="RB192" s="110"/>
      <c r="RC192" s="110"/>
      <c r="RD192" s="110"/>
      <c r="RE192" s="110"/>
      <c r="RF192" s="110"/>
      <c r="RG192" s="110"/>
      <c r="RH192" s="110"/>
      <c r="RI192" s="110"/>
      <c r="RJ192" s="110"/>
      <c r="RK192" s="110"/>
      <c r="RL192" s="110"/>
      <c r="RM192" s="110"/>
      <c r="RN192" s="110"/>
      <c r="RO192" s="110"/>
      <c r="RP192" s="110"/>
      <c r="RQ192" s="110"/>
      <c r="RR192" s="110"/>
      <c r="RS192" s="110"/>
      <c r="RT192" s="110"/>
      <c r="RU192" s="110"/>
      <c r="RV192" s="110"/>
      <c r="RW192" s="110"/>
      <c r="RX192" s="110"/>
      <c r="RY192" s="110"/>
      <c r="RZ192" s="110"/>
      <c r="SA192" s="110"/>
      <c r="SB192" s="110"/>
      <c r="SC192" s="110"/>
      <c r="SD192" s="110"/>
      <c r="SE192" s="110"/>
      <c r="SF192" s="110"/>
      <c r="SG192" s="110"/>
      <c r="SH192" s="110"/>
      <c r="SI192" s="110"/>
      <c r="SJ192" s="110"/>
      <c r="SK192" s="110"/>
      <c r="SL192" s="110"/>
      <c r="SM192" s="110"/>
      <c r="SN192" s="110"/>
      <c r="SO192" s="110"/>
      <c r="SP192" s="110"/>
      <c r="SQ192" s="110"/>
      <c r="SR192" s="110"/>
      <c r="SS192" s="110"/>
      <c r="ST192" s="110"/>
      <c r="SU192" s="110"/>
      <c r="SV192" s="110"/>
      <c r="SW192" s="110"/>
      <c r="SX192" s="110"/>
      <c r="SY192" s="110"/>
      <c r="SZ192" s="110"/>
      <c r="TA192" s="110"/>
      <c r="TB192" s="110"/>
      <c r="TC192" s="110"/>
      <c r="TD192" s="110"/>
      <c r="TE192" s="110"/>
    </row>
    <row r="193" spans="1:525" s="116" customFormat="1" ht="32.25" customHeight="1" x14ac:dyDescent="0.25">
      <c r="A193" s="112" t="s">
        <v>176</v>
      </c>
      <c r="B193" s="141"/>
      <c r="C193" s="141"/>
      <c r="D193" s="114" t="s">
        <v>665</v>
      </c>
      <c r="E193" s="80">
        <f t="shared" ref="E193:P193" si="79">E198+E199+E200+E201+E202+E204+E205+E206+E208+E210+E212+E213+E215+E217+E218+E219+E220+E221+E222+E224+E226+E228+E229+E231+E235+E211+E232+E234+E233</f>
        <v>443647381.51999998</v>
      </c>
      <c r="F193" s="80">
        <f t="shared" si="79"/>
        <v>443647381.51999998</v>
      </c>
      <c r="G193" s="80">
        <f t="shared" si="79"/>
        <v>58122000</v>
      </c>
      <c r="H193" s="80">
        <f t="shared" si="79"/>
        <v>2577700</v>
      </c>
      <c r="I193" s="80">
        <f t="shared" si="79"/>
        <v>0</v>
      </c>
      <c r="J193" s="80">
        <f t="shared" si="79"/>
        <v>34942423.789999999</v>
      </c>
      <c r="K193" s="80">
        <f t="shared" si="79"/>
        <v>34846223.789999999</v>
      </c>
      <c r="L193" s="80">
        <f t="shared" si="79"/>
        <v>96200</v>
      </c>
      <c r="M193" s="80">
        <f t="shared" si="79"/>
        <v>78600</v>
      </c>
      <c r="N193" s="80">
        <f t="shared" si="79"/>
        <v>0</v>
      </c>
      <c r="O193" s="80">
        <f t="shared" si="79"/>
        <v>34846223.789999999</v>
      </c>
      <c r="P193" s="80">
        <f t="shared" si="79"/>
        <v>478589805.31</v>
      </c>
      <c r="Q193" s="260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  <c r="OH193" s="115"/>
      <c r="OI193" s="115"/>
      <c r="OJ193" s="115"/>
      <c r="OK193" s="115"/>
      <c r="OL193" s="115"/>
      <c r="OM193" s="115"/>
      <c r="ON193" s="115"/>
      <c r="OO193" s="115"/>
      <c r="OP193" s="115"/>
      <c r="OQ193" s="115"/>
      <c r="OR193" s="115"/>
      <c r="OS193" s="115"/>
      <c r="OT193" s="115"/>
      <c r="OU193" s="115"/>
      <c r="OV193" s="115"/>
      <c r="OW193" s="115"/>
      <c r="OX193" s="115"/>
      <c r="OY193" s="115"/>
      <c r="OZ193" s="115"/>
      <c r="PA193" s="115"/>
      <c r="PB193" s="115"/>
      <c r="PC193" s="115"/>
      <c r="PD193" s="115"/>
      <c r="PE193" s="115"/>
      <c r="PF193" s="115"/>
      <c r="PG193" s="115"/>
      <c r="PH193" s="115"/>
      <c r="PI193" s="115"/>
      <c r="PJ193" s="115"/>
      <c r="PK193" s="115"/>
      <c r="PL193" s="115"/>
      <c r="PM193" s="115"/>
      <c r="PN193" s="115"/>
      <c r="PO193" s="115"/>
      <c r="PP193" s="115"/>
      <c r="PQ193" s="115"/>
      <c r="PR193" s="115"/>
      <c r="PS193" s="115"/>
      <c r="PT193" s="115"/>
      <c r="PU193" s="115"/>
      <c r="PV193" s="115"/>
      <c r="PW193" s="115"/>
      <c r="PX193" s="115"/>
      <c r="PY193" s="115"/>
      <c r="PZ193" s="115"/>
      <c r="QA193" s="115"/>
      <c r="QB193" s="115"/>
      <c r="QC193" s="115"/>
      <c r="QD193" s="115"/>
      <c r="QE193" s="115"/>
      <c r="QF193" s="115"/>
      <c r="QG193" s="115"/>
      <c r="QH193" s="115"/>
      <c r="QI193" s="115"/>
      <c r="QJ193" s="115"/>
      <c r="QK193" s="115"/>
      <c r="QL193" s="115"/>
      <c r="QM193" s="115"/>
      <c r="QN193" s="115"/>
      <c r="QO193" s="115"/>
      <c r="QP193" s="115"/>
      <c r="QQ193" s="115"/>
      <c r="QR193" s="115"/>
      <c r="QS193" s="115"/>
      <c r="QT193" s="115"/>
      <c r="QU193" s="115"/>
      <c r="QV193" s="115"/>
      <c r="QW193" s="115"/>
      <c r="QX193" s="115"/>
      <c r="QY193" s="115"/>
      <c r="QZ193" s="115"/>
      <c r="RA193" s="115"/>
      <c r="RB193" s="115"/>
      <c r="RC193" s="115"/>
      <c r="RD193" s="115"/>
      <c r="RE193" s="115"/>
      <c r="RF193" s="115"/>
      <c r="RG193" s="115"/>
      <c r="RH193" s="115"/>
      <c r="RI193" s="115"/>
      <c r="RJ193" s="115"/>
      <c r="RK193" s="115"/>
      <c r="RL193" s="115"/>
      <c r="RM193" s="115"/>
      <c r="RN193" s="115"/>
      <c r="RO193" s="115"/>
      <c r="RP193" s="115"/>
      <c r="RQ193" s="115"/>
      <c r="RR193" s="115"/>
      <c r="RS193" s="115"/>
      <c r="RT193" s="115"/>
      <c r="RU193" s="115"/>
      <c r="RV193" s="115"/>
      <c r="RW193" s="115"/>
      <c r="RX193" s="115"/>
      <c r="RY193" s="115"/>
      <c r="RZ193" s="115"/>
      <c r="SA193" s="115"/>
      <c r="SB193" s="115"/>
      <c r="SC193" s="115"/>
      <c r="SD193" s="115"/>
      <c r="SE193" s="115"/>
      <c r="SF193" s="115"/>
      <c r="SG193" s="115"/>
      <c r="SH193" s="115"/>
      <c r="SI193" s="115"/>
      <c r="SJ193" s="115"/>
      <c r="SK193" s="115"/>
      <c r="SL193" s="115"/>
      <c r="SM193" s="115"/>
      <c r="SN193" s="115"/>
      <c r="SO193" s="115"/>
      <c r="SP193" s="115"/>
      <c r="SQ193" s="115"/>
      <c r="SR193" s="115"/>
      <c r="SS193" s="115"/>
      <c r="ST193" s="115"/>
      <c r="SU193" s="115"/>
      <c r="SV193" s="115"/>
      <c r="SW193" s="115"/>
      <c r="SX193" s="115"/>
      <c r="SY193" s="115"/>
      <c r="SZ193" s="115"/>
      <c r="TA193" s="115"/>
      <c r="TB193" s="115"/>
      <c r="TC193" s="115"/>
      <c r="TD193" s="115"/>
      <c r="TE193" s="115"/>
    </row>
    <row r="194" spans="1:525" s="116" customFormat="1" ht="320.25" customHeight="1" x14ac:dyDescent="0.25">
      <c r="A194" s="112"/>
      <c r="B194" s="141"/>
      <c r="C194" s="141"/>
      <c r="D194" s="114" t="s">
        <v>715</v>
      </c>
      <c r="E194" s="80">
        <f t="shared" ref="E194:P194" si="80">E223</f>
        <v>0</v>
      </c>
      <c r="F194" s="80">
        <f t="shared" si="80"/>
        <v>0</v>
      </c>
      <c r="G194" s="80">
        <f t="shared" si="80"/>
        <v>0</v>
      </c>
      <c r="H194" s="80">
        <f t="shared" si="80"/>
        <v>0</v>
      </c>
      <c r="I194" s="80">
        <f t="shared" si="80"/>
        <v>0</v>
      </c>
      <c r="J194" s="80">
        <f t="shared" si="80"/>
        <v>11655220.930000002</v>
      </c>
      <c r="K194" s="80">
        <f t="shared" si="80"/>
        <v>11655220.930000002</v>
      </c>
      <c r="L194" s="80">
        <f t="shared" si="80"/>
        <v>0</v>
      </c>
      <c r="M194" s="80">
        <f t="shared" si="80"/>
        <v>0</v>
      </c>
      <c r="N194" s="80">
        <f t="shared" si="80"/>
        <v>0</v>
      </c>
      <c r="O194" s="80">
        <f t="shared" si="80"/>
        <v>11655220.930000002</v>
      </c>
      <c r="P194" s="80">
        <f t="shared" si="80"/>
        <v>11655220.930000002</v>
      </c>
      <c r="Q194" s="260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  <c r="OH194" s="115"/>
      <c r="OI194" s="115"/>
      <c r="OJ194" s="115"/>
      <c r="OK194" s="115"/>
      <c r="OL194" s="115"/>
      <c r="OM194" s="115"/>
      <c r="ON194" s="115"/>
      <c r="OO194" s="115"/>
      <c r="OP194" s="115"/>
      <c r="OQ194" s="115"/>
      <c r="OR194" s="115"/>
      <c r="OS194" s="115"/>
      <c r="OT194" s="115"/>
      <c r="OU194" s="115"/>
      <c r="OV194" s="115"/>
      <c r="OW194" s="115"/>
      <c r="OX194" s="115"/>
      <c r="OY194" s="115"/>
      <c r="OZ194" s="115"/>
      <c r="PA194" s="115"/>
      <c r="PB194" s="115"/>
      <c r="PC194" s="115"/>
      <c r="PD194" s="115"/>
      <c r="PE194" s="115"/>
      <c r="PF194" s="115"/>
      <c r="PG194" s="115"/>
      <c r="PH194" s="115"/>
      <c r="PI194" s="115"/>
      <c r="PJ194" s="115"/>
      <c r="PK194" s="115"/>
      <c r="PL194" s="115"/>
      <c r="PM194" s="115"/>
      <c r="PN194" s="115"/>
      <c r="PO194" s="115"/>
      <c r="PP194" s="115"/>
      <c r="PQ194" s="115"/>
      <c r="PR194" s="115"/>
      <c r="PS194" s="115"/>
      <c r="PT194" s="115"/>
      <c r="PU194" s="115"/>
      <c r="PV194" s="115"/>
      <c r="PW194" s="115"/>
      <c r="PX194" s="115"/>
      <c r="PY194" s="115"/>
      <c r="PZ194" s="115"/>
      <c r="QA194" s="115"/>
      <c r="QB194" s="115"/>
      <c r="QC194" s="115"/>
      <c r="QD194" s="115"/>
      <c r="QE194" s="115"/>
      <c r="QF194" s="115"/>
      <c r="QG194" s="115"/>
      <c r="QH194" s="115"/>
      <c r="QI194" s="115"/>
      <c r="QJ194" s="115"/>
      <c r="QK194" s="115"/>
      <c r="QL194" s="115"/>
      <c r="QM194" s="115"/>
      <c r="QN194" s="115"/>
      <c r="QO194" s="115"/>
      <c r="QP194" s="115"/>
      <c r="QQ194" s="115"/>
      <c r="QR194" s="115"/>
      <c r="QS194" s="115"/>
      <c r="QT194" s="115"/>
      <c r="QU194" s="115"/>
      <c r="QV194" s="115"/>
      <c r="QW194" s="115"/>
      <c r="QX194" s="115"/>
      <c r="QY194" s="115"/>
      <c r="QZ194" s="115"/>
      <c r="RA194" s="115"/>
      <c r="RB194" s="115"/>
      <c r="RC194" s="115"/>
      <c r="RD194" s="115"/>
      <c r="RE194" s="115"/>
      <c r="RF194" s="115"/>
      <c r="RG194" s="115"/>
      <c r="RH194" s="115"/>
      <c r="RI194" s="115"/>
      <c r="RJ194" s="115"/>
      <c r="RK194" s="115"/>
      <c r="RL194" s="115"/>
      <c r="RM194" s="115"/>
      <c r="RN194" s="115"/>
      <c r="RO194" s="115"/>
      <c r="RP194" s="115"/>
      <c r="RQ194" s="115"/>
      <c r="RR194" s="115"/>
      <c r="RS194" s="115"/>
      <c r="RT194" s="115"/>
      <c r="RU194" s="115"/>
      <c r="RV194" s="115"/>
      <c r="RW194" s="115"/>
      <c r="RX194" s="115"/>
      <c r="RY194" s="115"/>
      <c r="RZ194" s="115"/>
      <c r="SA194" s="115"/>
      <c r="SB194" s="115"/>
      <c r="SC194" s="115"/>
      <c r="SD194" s="115"/>
      <c r="SE194" s="115"/>
      <c r="SF194" s="115"/>
      <c r="SG194" s="115"/>
      <c r="SH194" s="115"/>
      <c r="SI194" s="115"/>
      <c r="SJ194" s="115"/>
      <c r="SK194" s="115"/>
      <c r="SL194" s="115"/>
      <c r="SM194" s="115"/>
      <c r="SN194" s="115"/>
      <c r="SO194" s="115"/>
      <c r="SP194" s="115"/>
      <c r="SQ194" s="115"/>
      <c r="SR194" s="115"/>
      <c r="SS194" s="115"/>
      <c r="ST194" s="115"/>
      <c r="SU194" s="115"/>
      <c r="SV194" s="115"/>
      <c r="SW194" s="115"/>
      <c r="SX194" s="115"/>
      <c r="SY194" s="115"/>
      <c r="SZ194" s="115"/>
      <c r="TA194" s="115"/>
      <c r="TB194" s="115"/>
      <c r="TC194" s="115"/>
      <c r="TD194" s="115"/>
      <c r="TE194" s="115"/>
    </row>
    <row r="195" spans="1:525" s="116" customFormat="1" ht="315" customHeight="1" x14ac:dyDescent="0.25">
      <c r="A195" s="112"/>
      <c r="B195" s="141"/>
      <c r="C195" s="141"/>
      <c r="D195" s="114" t="s">
        <v>717</v>
      </c>
      <c r="E195" s="80">
        <f>E227</f>
        <v>0</v>
      </c>
      <c r="F195" s="80">
        <f t="shared" ref="F195:I195" si="81">F227</f>
        <v>0</v>
      </c>
      <c r="G195" s="80">
        <f t="shared" si="81"/>
        <v>0</v>
      </c>
      <c r="H195" s="80">
        <f t="shared" si="81"/>
        <v>0</v>
      </c>
      <c r="I195" s="80">
        <f t="shared" si="81"/>
        <v>0</v>
      </c>
      <c r="J195" s="80">
        <f>J225</f>
        <v>14037705.65</v>
      </c>
      <c r="K195" s="80">
        <f t="shared" ref="K195:P195" si="82">K225</f>
        <v>14037705.65</v>
      </c>
      <c r="L195" s="80">
        <f t="shared" si="82"/>
        <v>0</v>
      </c>
      <c r="M195" s="80">
        <f t="shared" si="82"/>
        <v>0</v>
      </c>
      <c r="N195" s="80">
        <f t="shared" si="82"/>
        <v>0</v>
      </c>
      <c r="O195" s="80">
        <f t="shared" si="82"/>
        <v>14037705.65</v>
      </c>
      <c r="P195" s="80">
        <f t="shared" si="82"/>
        <v>14037705.65</v>
      </c>
      <c r="Q195" s="260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  <c r="OH195" s="115"/>
      <c r="OI195" s="115"/>
      <c r="OJ195" s="115"/>
      <c r="OK195" s="115"/>
      <c r="OL195" s="115"/>
      <c r="OM195" s="115"/>
      <c r="ON195" s="115"/>
      <c r="OO195" s="115"/>
      <c r="OP195" s="115"/>
      <c r="OQ195" s="115"/>
      <c r="OR195" s="115"/>
      <c r="OS195" s="115"/>
      <c r="OT195" s="115"/>
      <c r="OU195" s="115"/>
      <c r="OV195" s="115"/>
      <c r="OW195" s="115"/>
      <c r="OX195" s="115"/>
      <c r="OY195" s="115"/>
      <c r="OZ195" s="115"/>
      <c r="PA195" s="115"/>
      <c r="PB195" s="115"/>
      <c r="PC195" s="115"/>
      <c r="PD195" s="115"/>
      <c r="PE195" s="115"/>
      <c r="PF195" s="115"/>
      <c r="PG195" s="115"/>
      <c r="PH195" s="115"/>
      <c r="PI195" s="115"/>
      <c r="PJ195" s="115"/>
      <c r="PK195" s="115"/>
      <c r="PL195" s="115"/>
      <c r="PM195" s="115"/>
      <c r="PN195" s="115"/>
      <c r="PO195" s="115"/>
      <c r="PP195" s="115"/>
      <c r="PQ195" s="115"/>
      <c r="PR195" s="115"/>
      <c r="PS195" s="115"/>
      <c r="PT195" s="115"/>
      <c r="PU195" s="115"/>
      <c r="PV195" s="115"/>
      <c r="PW195" s="115"/>
      <c r="PX195" s="115"/>
      <c r="PY195" s="115"/>
      <c r="PZ195" s="115"/>
      <c r="QA195" s="115"/>
      <c r="QB195" s="115"/>
      <c r="QC195" s="115"/>
      <c r="QD195" s="115"/>
      <c r="QE195" s="115"/>
      <c r="QF195" s="115"/>
      <c r="QG195" s="115"/>
      <c r="QH195" s="115"/>
      <c r="QI195" s="115"/>
      <c r="QJ195" s="115"/>
      <c r="QK195" s="115"/>
      <c r="QL195" s="115"/>
      <c r="QM195" s="115"/>
      <c r="QN195" s="115"/>
      <c r="QO195" s="115"/>
      <c r="QP195" s="115"/>
      <c r="QQ195" s="115"/>
      <c r="QR195" s="115"/>
      <c r="QS195" s="115"/>
      <c r="QT195" s="115"/>
      <c r="QU195" s="115"/>
      <c r="QV195" s="115"/>
      <c r="QW195" s="115"/>
      <c r="QX195" s="115"/>
      <c r="QY195" s="115"/>
      <c r="QZ195" s="115"/>
      <c r="RA195" s="115"/>
      <c r="RB195" s="115"/>
      <c r="RC195" s="115"/>
      <c r="RD195" s="115"/>
      <c r="RE195" s="115"/>
      <c r="RF195" s="115"/>
      <c r="RG195" s="115"/>
      <c r="RH195" s="115"/>
      <c r="RI195" s="115"/>
      <c r="RJ195" s="115"/>
      <c r="RK195" s="115"/>
      <c r="RL195" s="115"/>
      <c r="RM195" s="115"/>
      <c r="RN195" s="115"/>
      <c r="RO195" s="115"/>
      <c r="RP195" s="115"/>
      <c r="RQ195" s="115"/>
      <c r="RR195" s="115"/>
      <c r="RS195" s="115"/>
      <c r="RT195" s="115"/>
      <c r="RU195" s="115"/>
      <c r="RV195" s="115"/>
      <c r="RW195" s="115"/>
      <c r="RX195" s="115"/>
      <c r="RY195" s="115"/>
      <c r="RZ195" s="115"/>
      <c r="SA195" s="115"/>
      <c r="SB195" s="115"/>
      <c r="SC195" s="115"/>
      <c r="SD195" s="115"/>
      <c r="SE195" s="115"/>
      <c r="SF195" s="115"/>
      <c r="SG195" s="115"/>
      <c r="SH195" s="115"/>
      <c r="SI195" s="115"/>
      <c r="SJ195" s="115"/>
      <c r="SK195" s="115"/>
      <c r="SL195" s="115"/>
      <c r="SM195" s="115"/>
      <c r="SN195" s="115"/>
      <c r="SO195" s="115"/>
      <c r="SP195" s="115"/>
      <c r="SQ195" s="115"/>
      <c r="SR195" s="115"/>
      <c r="SS195" s="115"/>
      <c r="ST195" s="115"/>
      <c r="SU195" s="115"/>
      <c r="SV195" s="115"/>
      <c r="SW195" s="115"/>
      <c r="SX195" s="115"/>
      <c r="SY195" s="115"/>
      <c r="SZ195" s="115"/>
      <c r="TA195" s="115"/>
      <c r="TB195" s="115"/>
      <c r="TC195" s="115"/>
      <c r="TD195" s="115"/>
      <c r="TE195" s="115"/>
    </row>
    <row r="196" spans="1:525" s="116" customFormat="1" ht="21" customHeight="1" x14ac:dyDescent="0.25">
      <c r="A196" s="112"/>
      <c r="B196" s="141"/>
      <c r="C196" s="141"/>
      <c r="D196" s="114" t="s">
        <v>389</v>
      </c>
      <c r="E196" s="80">
        <f>E203+E207+E209+E214+E216+E230</f>
        <v>3705742.52</v>
      </c>
      <c r="F196" s="80">
        <f t="shared" ref="F196:P196" si="83">F203+F207+F209+F214+F216+F230</f>
        <v>3705742.52</v>
      </c>
      <c r="G196" s="80">
        <f t="shared" si="83"/>
        <v>0</v>
      </c>
      <c r="H196" s="80">
        <f t="shared" si="83"/>
        <v>0</v>
      </c>
      <c r="I196" s="80">
        <f t="shared" si="83"/>
        <v>0</v>
      </c>
      <c r="J196" s="80">
        <f t="shared" si="83"/>
        <v>0</v>
      </c>
      <c r="K196" s="80">
        <f t="shared" si="83"/>
        <v>0</v>
      </c>
      <c r="L196" s="80">
        <f t="shared" si="83"/>
        <v>0</v>
      </c>
      <c r="M196" s="80">
        <f t="shared" si="83"/>
        <v>0</v>
      </c>
      <c r="N196" s="80">
        <f t="shared" si="83"/>
        <v>0</v>
      </c>
      <c r="O196" s="80">
        <f t="shared" si="83"/>
        <v>0</v>
      </c>
      <c r="P196" s="80">
        <f t="shared" si="83"/>
        <v>3705742.52</v>
      </c>
      <c r="Q196" s="260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  <c r="OH196" s="115"/>
      <c r="OI196" s="115"/>
      <c r="OJ196" s="115"/>
      <c r="OK196" s="115"/>
      <c r="OL196" s="115"/>
      <c r="OM196" s="115"/>
      <c r="ON196" s="115"/>
      <c r="OO196" s="115"/>
      <c r="OP196" s="115"/>
      <c r="OQ196" s="115"/>
      <c r="OR196" s="115"/>
      <c r="OS196" s="115"/>
      <c r="OT196" s="115"/>
      <c r="OU196" s="115"/>
      <c r="OV196" s="115"/>
      <c r="OW196" s="115"/>
      <c r="OX196" s="115"/>
      <c r="OY196" s="115"/>
      <c r="OZ196" s="115"/>
      <c r="PA196" s="115"/>
      <c r="PB196" s="115"/>
      <c r="PC196" s="115"/>
      <c r="PD196" s="115"/>
      <c r="PE196" s="115"/>
      <c r="PF196" s="115"/>
      <c r="PG196" s="115"/>
      <c r="PH196" s="115"/>
      <c r="PI196" s="115"/>
      <c r="PJ196" s="115"/>
      <c r="PK196" s="115"/>
      <c r="PL196" s="115"/>
      <c r="PM196" s="115"/>
      <c r="PN196" s="115"/>
      <c r="PO196" s="115"/>
      <c r="PP196" s="115"/>
      <c r="PQ196" s="115"/>
      <c r="PR196" s="115"/>
      <c r="PS196" s="115"/>
      <c r="PT196" s="115"/>
      <c r="PU196" s="115"/>
      <c r="PV196" s="115"/>
      <c r="PW196" s="115"/>
      <c r="PX196" s="115"/>
      <c r="PY196" s="115"/>
      <c r="PZ196" s="115"/>
      <c r="QA196" s="115"/>
      <c r="QB196" s="115"/>
      <c r="QC196" s="115"/>
      <c r="QD196" s="115"/>
      <c r="QE196" s="115"/>
      <c r="QF196" s="115"/>
      <c r="QG196" s="115"/>
      <c r="QH196" s="115"/>
      <c r="QI196" s="115"/>
      <c r="QJ196" s="115"/>
      <c r="QK196" s="115"/>
      <c r="QL196" s="115"/>
      <c r="QM196" s="115"/>
      <c r="QN196" s="115"/>
      <c r="QO196" s="115"/>
      <c r="QP196" s="115"/>
      <c r="QQ196" s="115"/>
      <c r="QR196" s="115"/>
      <c r="QS196" s="115"/>
      <c r="QT196" s="115"/>
      <c r="QU196" s="115"/>
      <c r="QV196" s="115"/>
      <c r="QW196" s="115"/>
      <c r="QX196" s="115"/>
      <c r="QY196" s="115"/>
      <c r="QZ196" s="115"/>
      <c r="RA196" s="115"/>
      <c r="RB196" s="115"/>
      <c r="RC196" s="115"/>
      <c r="RD196" s="115"/>
      <c r="RE196" s="115"/>
      <c r="RF196" s="115"/>
      <c r="RG196" s="115"/>
      <c r="RH196" s="115"/>
      <c r="RI196" s="115"/>
      <c r="RJ196" s="115"/>
      <c r="RK196" s="115"/>
      <c r="RL196" s="115"/>
      <c r="RM196" s="115"/>
      <c r="RN196" s="115"/>
      <c r="RO196" s="115"/>
      <c r="RP196" s="115"/>
      <c r="RQ196" s="115"/>
      <c r="RR196" s="115"/>
      <c r="RS196" s="115"/>
      <c r="RT196" s="115"/>
      <c r="RU196" s="115"/>
      <c r="RV196" s="115"/>
      <c r="RW196" s="115"/>
      <c r="RX196" s="115"/>
      <c r="RY196" s="115"/>
      <c r="RZ196" s="115"/>
      <c r="SA196" s="115"/>
      <c r="SB196" s="115"/>
      <c r="SC196" s="115"/>
      <c r="SD196" s="115"/>
      <c r="SE196" s="115"/>
      <c r="SF196" s="115"/>
      <c r="SG196" s="115"/>
      <c r="SH196" s="115"/>
      <c r="SI196" s="115"/>
      <c r="SJ196" s="115"/>
      <c r="SK196" s="115"/>
      <c r="SL196" s="115"/>
      <c r="SM196" s="115"/>
      <c r="SN196" s="115"/>
      <c r="SO196" s="115"/>
      <c r="SP196" s="115"/>
      <c r="SQ196" s="115"/>
      <c r="SR196" s="115"/>
      <c r="SS196" s="115"/>
      <c r="ST196" s="115"/>
      <c r="SU196" s="115"/>
      <c r="SV196" s="115"/>
      <c r="SW196" s="115"/>
      <c r="SX196" s="115"/>
      <c r="SY196" s="115"/>
      <c r="SZ196" s="115"/>
      <c r="TA196" s="115"/>
      <c r="TB196" s="115"/>
      <c r="TC196" s="115"/>
      <c r="TD196" s="115"/>
      <c r="TE196" s="115"/>
    </row>
    <row r="197" spans="1:525" s="116" customFormat="1" ht="224.25" customHeight="1" x14ac:dyDescent="0.25">
      <c r="A197" s="112"/>
      <c r="B197" s="141"/>
      <c r="C197" s="141"/>
      <c r="D197" s="114" t="s">
        <v>716</v>
      </c>
      <c r="E197" s="80">
        <f>E226</f>
        <v>0</v>
      </c>
      <c r="F197" s="80">
        <f t="shared" ref="F197:P197" si="84">F226</f>
        <v>0</v>
      </c>
      <c r="G197" s="80">
        <f t="shared" si="84"/>
        <v>0</v>
      </c>
      <c r="H197" s="80">
        <f t="shared" si="84"/>
        <v>0</v>
      </c>
      <c r="I197" s="80">
        <f t="shared" si="84"/>
        <v>0</v>
      </c>
      <c r="J197" s="80">
        <f t="shared" si="84"/>
        <v>8627297.209999999</v>
      </c>
      <c r="K197" s="80">
        <f t="shared" si="84"/>
        <v>8627297.209999999</v>
      </c>
      <c r="L197" s="80">
        <f t="shared" si="84"/>
        <v>0</v>
      </c>
      <c r="M197" s="80">
        <f t="shared" si="84"/>
        <v>0</v>
      </c>
      <c r="N197" s="80">
        <f t="shared" si="84"/>
        <v>0</v>
      </c>
      <c r="O197" s="80">
        <f t="shared" si="84"/>
        <v>8627297.209999999</v>
      </c>
      <c r="P197" s="80">
        <f t="shared" si="84"/>
        <v>8627297.209999999</v>
      </c>
      <c r="Q197" s="260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  <c r="OH197" s="115"/>
      <c r="OI197" s="115"/>
      <c r="OJ197" s="115"/>
      <c r="OK197" s="115"/>
      <c r="OL197" s="115"/>
      <c r="OM197" s="115"/>
      <c r="ON197" s="115"/>
      <c r="OO197" s="115"/>
      <c r="OP197" s="115"/>
      <c r="OQ197" s="115"/>
      <c r="OR197" s="115"/>
      <c r="OS197" s="115"/>
      <c r="OT197" s="115"/>
      <c r="OU197" s="115"/>
      <c r="OV197" s="115"/>
      <c r="OW197" s="115"/>
      <c r="OX197" s="115"/>
      <c r="OY197" s="115"/>
      <c r="OZ197" s="115"/>
      <c r="PA197" s="115"/>
      <c r="PB197" s="115"/>
      <c r="PC197" s="115"/>
      <c r="PD197" s="115"/>
      <c r="PE197" s="115"/>
      <c r="PF197" s="115"/>
      <c r="PG197" s="115"/>
      <c r="PH197" s="115"/>
      <c r="PI197" s="115"/>
      <c r="PJ197" s="115"/>
      <c r="PK197" s="115"/>
      <c r="PL197" s="115"/>
      <c r="PM197" s="115"/>
      <c r="PN197" s="115"/>
      <c r="PO197" s="115"/>
      <c r="PP197" s="115"/>
      <c r="PQ197" s="115"/>
      <c r="PR197" s="115"/>
      <c r="PS197" s="115"/>
      <c r="PT197" s="115"/>
      <c r="PU197" s="115"/>
      <c r="PV197" s="115"/>
      <c r="PW197" s="115"/>
      <c r="PX197" s="115"/>
      <c r="PY197" s="115"/>
      <c r="PZ197" s="115"/>
      <c r="QA197" s="115"/>
      <c r="QB197" s="115"/>
      <c r="QC197" s="115"/>
      <c r="QD197" s="115"/>
      <c r="QE197" s="115"/>
      <c r="QF197" s="115"/>
      <c r="QG197" s="115"/>
      <c r="QH197" s="115"/>
      <c r="QI197" s="115"/>
      <c r="QJ197" s="115"/>
      <c r="QK197" s="115"/>
      <c r="QL197" s="115"/>
      <c r="QM197" s="115"/>
      <c r="QN197" s="115"/>
      <c r="QO197" s="115"/>
      <c r="QP197" s="115"/>
      <c r="QQ197" s="115"/>
      <c r="QR197" s="115"/>
      <c r="QS197" s="115"/>
      <c r="QT197" s="115"/>
      <c r="QU197" s="115"/>
      <c r="QV197" s="115"/>
      <c r="QW197" s="115"/>
      <c r="QX197" s="115"/>
      <c r="QY197" s="115"/>
      <c r="QZ197" s="115"/>
      <c r="RA197" s="115"/>
      <c r="RB197" s="115"/>
      <c r="RC197" s="115"/>
      <c r="RD197" s="115"/>
      <c r="RE197" s="115"/>
      <c r="RF197" s="115"/>
      <c r="RG197" s="115"/>
      <c r="RH197" s="115"/>
      <c r="RI197" s="115"/>
      <c r="RJ197" s="115"/>
      <c r="RK197" s="115"/>
      <c r="RL197" s="115"/>
      <c r="RM197" s="115"/>
      <c r="RN197" s="115"/>
      <c r="RO197" s="115"/>
      <c r="RP197" s="115"/>
      <c r="RQ197" s="115"/>
      <c r="RR197" s="115"/>
      <c r="RS197" s="115"/>
      <c r="RT197" s="115"/>
      <c r="RU197" s="115"/>
      <c r="RV197" s="115"/>
      <c r="RW197" s="115"/>
      <c r="RX197" s="115"/>
      <c r="RY197" s="115"/>
      <c r="RZ197" s="115"/>
      <c r="SA197" s="115"/>
      <c r="SB197" s="115"/>
      <c r="SC197" s="115"/>
      <c r="SD197" s="115"/>
      <c r="SE197" s="115"/>
      <c r="SF197" s="115"/>
      <c r="SG197" s="115"/>
      <c r="SH197" s="115"/>
      <c r="SI197" s="115"/>
      <c r="SJ197" s="115"/>
      <c r="SK197" s="115"/>
      <c r="SL197" s="115"/>
      <c r="SM197" s="115"/>
      <c r="SN197" s="115"/>
      <c r="SO197" s="115"/>
      <c r="SP197" s="115"/>
      <c r="SQ197" s="115"/>
      <c r="SR197" s="115"/>
      <c r="SS197" s="115"/>
      <c r="ST197" s="115"/>
      <c r="SU197" s="115"/>
      <c r="SV197" s="115"/>
      <c r="SW197" s="115"/>
      <c r="SX197" s="115"/>
      <c r="SY197" s="115"/>
      <c r="SZ197" s="115"/>
      <c r="TA197" s="115"/>
      <c r="TB197" s="115"/>
      <c r="TC197" s="115"/>
      <c r="TD197" s="115"/>
      <c r="TE197" s="115"/>
    </row>
    <row r="198" spans="1:525" s="121" customFormat="1" ht="50.25" customHeight="1" x14ac:dyDescent="0.25">
      <c r="A198" s="117" t="s">
        <v>177</v>
      </c>
      <c r="B198" s="118" t="str">
        <f>'дод 6'!A16</f>
        <v>0160</v>
      </c>
      <c r="C198" s="118" t="str">
        <f>'дод 6'!B16</f>
        <v>0111</v>
      </c>
      <c r="D198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198" s="81">
        <f t="shared" ref="E198:E235" si="85">F198+I198</f>
        <v>52104348</v>
      </c>
      <c r="F198" s="81">
        <f>56740900+153448+6000-1632800-2899400-252700-11100</f>
        <v>52104348</v>
      </c>
      <c r="G198" s="81">
        <f>43596600-1338400-2376600</f>
        <v>39881600</v>
      </c>
      <c r="H198" s="81">
        <f>1652000-252700-11100</f>
        <v>1388200</v>
      </c>
      <c r="I198" s="81"/>
      <c r="J198" s="81">
        <f>L198+O198</f>
        <v>0</v>
      </c>
      <c r="K198" s="81">
        <f>68000-68000</f>
        <v>0</v>
      </c>
      <c r="L198" s="81"/>
      <c r="M198" s="81"/>
      <c r="N198" s="81"/>
      <c r="O198" s="81">
        <f>68000-68000</f>
        <v>0</v>
      </c>
      <c r="P198" s="81">
        <f t="shared" ref="P198:P235" si="86">E198+J198</f>
        <v>52104348</v>
      </c>
      <c r="Q198" s="26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</row>
    <row r="199" spans="1:525" s="121" customFormat="1" ht="23.25" hidden="1" customHeight="1" x14ac:dyDescent="0.25">
      <c r="A199" s="117" t="s">
        <v>499</v>
      </c>
      <c r="B199" s="117" t="s">
        <v>44</v>
      </c>
      <c r="C199" s="117" t="s">
        <v>92</v>
      </c>
      <c r="D199" s="119" t="str">
        <f>'дод 6'!C18</f>
        <v>Інша діяльність у сфері державного управління</v>
      </c>
      <c r="E199" s="81">
        <f t="shared" si="85"/>
        <v>0</v>
      </c>
      <c r="F199" s="81"/>
      <c r="G199" s="81"/>
      <c r="H199" s="81"/>
      <c r="I199" s="81"/>
      <c r="J199" s="81">
        <f>L199+O199</f>
        <v>0</v>
      </c>
      <c r="K199" s="81"/>
      <c r="L199" s="81"/>
      <c r="M199" s="81"/>
      <c r="N199" s="81"/>
      <c r="O199" s="81"/>
      <c r="P199" s="81">
        <f t="shared" si="86"/>
        <v>0</v>
      </c>
      <c r="Q199" s="26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</row>
    <row r="200" spans="1:525" s="120" customFormat="1" ht="36" customHeight="1" x14ac:dyDescent="0.25">
      <c r="A200" s="117" t="s">
        <v>178</v>
      </c>
      <c r="B200" s="118" t="str">
        <f>'дод 6'!A120</f>
        <v>3031</v>
      </c>
      <c r="C200" s="118" t="str">
        <f>'дод 6'!B120</f>
        <v>1030</v>
      </c>
      <c r="D200" s="122" t="str">
        <f>'дод 6'!C120</f>
        <v>Надання інших пільг окремим категоріям громадян відповідно до законодавства</v>
      </c>
      <c r="E200" s="81">
        <f t="shared" si="85"/>
        <v>431000</v>
      </c>
      <c r="F200" s="81">
        <f>466000-35000</f>
        <v>431000</v>
      </c>
      <c r="G200" s="81"/>
      <c r="H200" s="81"/>
      <c r="I200" s="81"/>
      <c r="J200" s="81">
        <f t="shared" ref="J200:J227" si="87">L200+O200</f>
        <v>0</v>
      </c>
      <c r="K200" s="81"/>
      <c r="L200" s="81"/>
      <c r="M200" s="81"/>
      <c r="N200" s="81"/>
      <c r="O200" s="81"/>
      <c r="P200" s="81">
        <f t="shared" si="86"/>
        <v>431000</v>
      </c>
      <c r="Q200" s="260"/>
    </row>
    <row r="201" spans="1:525" s="120" customFormat="1" ht="33" customHeight="1" x14ac:dyDescent="0.25">
      <c r="A201" s="117" t="s">
        <v>179</v>
      </c>
      <c r="B201" s="118" t="str">
        <f>'дод 6'!A121</f>
        <v>3032</v>
      </c>
      <c r="C201" s="118" t="str">
        <f>'дод 6'!B121</f>
        <v>1070</v>
      </c>
      <c r="D201" s="122" t="str">
        <f>'дод 6'!C121</f>
        <v>Надання пільг окремим категоріям громадян з оплати послуг зв'язку</v>
      </c>
      <c r="E201" s="81">
        <f t="shared" si="85"/>
        <v>769100</v>
      </c>
      <c r="F201" s="81">
        <f>930000-148400-12500</f>
        <v>769100</v>
      </c>
      <c r="G201" s="81"/>
      <c r="H201" s="81"/>
      <c r="I201" s="81"/>
      <c r="J201" s="81">
        <f t="shared" si="87"/>
        <v>0</v>
      </c>
      <c r="K201" s="81"/>
      <c r="L201" s="81"/>
      <c r="M201" s="81"/>
      <c r="N201" s="81"/>
      <c r="O201" s="81"/>
      <c r="P201" s="81">
        <f t="shared" si="86"/>
        <v>769100</v>
      </c>
      <c r="Q201" s="260">
        <v>19</v>
      </c>
    </row>
    <row r="202" spans="1:525" s="120" customFormat="1" ht="48.75" customHeight="1" x14ac:dyDescent="0.25">
      <c r="A202" s="117" t="s">
        <v>347</v>
      </c>
      <c r="B202" s="118" t="str">
        <f>'дод 6'!A122</f>
        <v>3033</v>
      </c>
      <c r="C202" s="118" t="str">
        <f>'дод 6'!B122</f>
        <v>1070</v>
      </c>
      <c r="D202" s="122" t="s">
        <v>692</v>
      </c>
      <c r="E202" s="81">
        <f t="shared" si="85"/>
        <v>19580599.52</v>
      </c>
      <c r="F202" s="81">
        <f>18426100+2294499.52-40000-120000-980000</f>
        <v>19580599.52</v>
      </c>
      <c r="G202" s="81"/>
      <c r="H202" s="81"/>
      <c r="I202" s="81"/>
      <c r="J202" s="81">
        <f t="shared" si="87"/>
        <v>0</v>
      </c>
      <c r="K202" s="81"/>
      <c r="L202" s="81"/>
      <c r="M202" s="81"/>
      <c r="N202" s="81"/>
      <c r="O202" s="81"/>
      <c r="P202" s="81">
        <f t="shared" si="86"/>
        <v>19580599.52</v>
      </c>
      <c r="Q202" s="260"/>
    </row>
    <row r="203" spans="1:525" s="126" customFormat="1" ht="18.75" customHeight="1" x14ac:dyDescent="0.25">
      <c r="A203" s="123"/>
      <c r="B203" s="144"/>
      <c r="C203" s="144"/>
      <c r="D203" s="143" t="s">
        <v>388</v>
      </c>
      <c r="E203" s="82">
        <f t="shared" si="85"/>
        <v>2254499.52</v>
      </c>
      <c r="F203" s="82">
        <f>2294499.52-40000</f>
        <v>2254499.52</v>
      </c>
      <c r="G203" s="82"/>
      <c r="H203" s="82"/>
      <c r="I203" s="82"/>
      <c r="J203" s="82">
        <f t="shared" si="87"/>
        <v>0</v>
      </c>
      <c r="K203" s="82"/>
      <c r="L203" s="82"/>
      <c r="M203" s="82"/>
      <c r="N203" s="82"/>
      <c r="O203" s="82"/>
      <c r="P203" s="82">
        <f t="shared" si="86"/>
        <v>2254499.52</v>
      </c>
      <c r="Q203" s="260"/>
    </row>
    <row r="204" spans="1:525" s="120" customFormat="1" ht="51" customHeight="1" x14ac:dyDescent="0.25">
      <c r="A204" s="117" t="s">
        <v>319</v>
      </c>
      <c r="B204" s="118" t="str">
        <f>'дод 6'!A124</f>
        <v>3035</v>
      </c>
      <c r="C204" s="118" t="str">
        <f>'дод 6'!B124</f>
        <v>1070</v>
      </c>
      <c r="D204" s="122" t="str">
        <f>'дод 6'!C124</f>
        <v>Компенсаційні виплати за пільговий проїзд окремих категорій громадян на залізничному транспорті</v>
      </c>
      <c r="E204" s="81">
        <f t="shared" si="85"/>
        <v>2106000</v>
      </c>
      <c r="F204" s="81">
        <v>2106000</v>
      </c>
      <c r="G204" s="81"/>
      <c r="H204" s="81"/>
      <c r="I204" s="81"/>
      <c r="J204" s="81">
        <f t="shared" si="87"/>
        <v>0</v>
      </c>
      <c r="K204" s="81"/>
      <c r="L204" s="81"/>
      <c r="M204" s="81"/>
      <c r="N204" s="81"/>
      <c r="O204" s="81"/>
      <c r="P204" s="81">
        <f t="shared" si="86"/>
        <v>2106000</v>
      </c>
      <c r="Q204" s="260"/>
    </row>
    <row r="205" spans="1:525" s="120" customFormat="1" ht="52.5" customHeight="1" x14ac:dyDescent="0.25">
      <c r="A205" s="117" t="s">
        <v>180</v>
      </c>
      <c r="B205" s="118" t="str">
        <f>'дод 6'!A125</f>
        <v>3036</v>
      </c>
      <c r="C205" s="118" t="str">
        <f>'дод 6'!B125</f>
        <v>1070</v>
      </c>
      <c r="D205" s="122" t="str">
        <f>'дод 6'!C125</f>
        <v>Компенсаційні виплати на пільговий проїзд електротранспортом окремим категоріям громадян</v>
      </c>
      <c r="E205" s="81">
        <f t="shared" si="85"/>
        <v>40288820</v>
      </c>
      <c r="F205" s="81">
        <f>42214000-1925180</f>
        <v>40288820</v>
      </c>
      <c r="G205" s="81"/>
      <c r="H205" s="81"/>
      <c r="I205" s="81"/>
      <c r="J205" s="81">
        <f t="shared" si="87"/>
        <v>0</v>
      </c>
      <c r="K205" s="81"/>
      <c r="L205" s="81"/>
      <c r="M205" s="81"/>
      <c r="N205" s="81"/>
      <c r="O205" s="81"/>
      <c r="P205" s="81">
        <f t="shared" si="86"/>
        <v>40288820</v>
      </c>
      <c r="Q205" s="260"/>
    </row>
    <row r="206" spans="1:525" s="121" customFormat="1" ht="49.5" customHeight="1" x14ac:dyDescent="0.25">
      <c r="A206" s="117" t="s">
        <v>345</v>
      </c>
      <c r="B206" s="118" t="str">
        <f>'дод 6'!A126</f>
        <v>3050</v>
      </c>
      <c r="C206" s="118" t="str">
        <f>'дод 6'!B126</f>
        <v>1070</v>
      </c>
      <c r="D206" s="122" t="str">
        <f>'дод 6'!C126</f>
        <v>Пільгове медичне обслуговування осіб, які постраждали внаслідок Чорнобильської катастрофи, у т.ч. за рахунок:</v>
      </c>
      <c r="E206" s="81">
        <f t="shared" si="85"/>
        <v>745100</v>
      </c>
      <c r="F206" s="81">
        <v>745100</v>
      </c>
      <c r="G206" s="81"/>
      <c r="H206" s="81"/>
      <c r="I206" s="81"/>
      <c r="J206" s="81">
        <f t="shared" si="87"/>
        <v>0</v>
      </c>
      <c r="K206" s="81"/>
      <c r="L206" s="81"/>
      <c r="M206" s="81"/>
      <c r="N206" s="81"/>
      <c r="O206" s="81"/>
      <c r="P206" s="81">
        <f t="shared" si="86"/>
        <v>745100</v>
      </c>
      <c r="Q206" s="26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</row>
    <row r="207" spans="1:525" s="127" customFormat="1" ht="15.75" x14ac:dyDescent="0.25">
      <c r="A207" s="123"/>
      <c r="B207" s="144"/>
      <c r="C207" s="144"/>
      <c r="D207" s="143" t="s">
        <v>388</v>
      </c>
      <c r="E207" s="82">
        <f t="shared" si="85"/>
        <v>745100</v>
      </c>
      <c r="F207" s="82">
        <v>745100</v>
      </c>
      <c r="G207" s="82"/>
      <c r="H207" s="82"/>
      <c r="I207" s="82"/>
      <c r="J207" s="82">
        <f t="shared" si="87"/>
        <v>0</v>
      </c>
      <c r="K207" s="82"/>
      <c r="L207" s="82"/>
      <c r="M207" s="82"/>
      <c r="N207" s="82"/>
      <c r="O207" s="82"/>
      <c r="P207" s="82">
        <f t="shared" si="86"/>
        <v>745100</v>
      </c>
      <c r="Q207" s="260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  <c r="HN207" s="126"/>
      <c r="HO207" s="126"/>
      <c r="HP207" s="126"/>
      <c r="HQ207" s="126"/>
      <c r="HR207" s="126"/>
      <c r="HS207" s="126"/>
      <c r="HT207" s="126"/>
      <c r="HU207" s="126"/>
      <c r="HV207" s="126"/>
      <c r="HW207" s="126"/>
      <c r="HX207" s="126"/>
      <c r="HY207" s="126"/>
      <c r="HZ207" s="126"/>
      <c r="IA207" s="126"/>
      <c r="IB207" s="126"/>
      <c r="IC207" s="126"/>
      <c r="ID207" s="126"/>
      <c r="IE207" s="126"/>
      <c r="IF207" s="126"/>
      <c r="IG207" s="126"/>
      <c r="IH207" s="126"/>
      <c r="II207" s="126"/>
      <c r="IJ207" s="126"/>
      <c r="IK207" s="126"/>
      <c r="IL207" s="126"/>
      <c r="IM207" s="126"/>
      <c r="IN207" s="126"/>
      <c r="IO207" s="126"/>
      <c r="IP207" s="126"/>
      <c r="IQ207" s="126"/>
      <c r="IR207" s="126"/>
      <c r="IS207" s="126"/>
      <c r="IT207" s="126"/>
      <c r="IU207" s="126"/>
      <c r="IV207" s="126"/>
      <c r="IW207" s="126"/>
      <c r="IX207" s="126"/>
      <c r="IY207" s="126"/>
      <c r="IZ207" s="126"/>
      <c r="JA207" s="126"/>
      <c r="JB207" s="126"/>
      <c r="JC207" s="126"/>
      <c r="JD207" s="126"/>
      <c r="JE207" s="126"/>
      <c r="JF207" s="126"/>
      <c r="JG207" s="126"/>
      <c r="JH207" s="126"/>
      <c r="JI207" s="126"/>
      <c r="JJ207" s="126"/>
      <c r="JK207" s="126"/>
      <c r="JL207" s="126"/>
      <c r="JM207" s="126"/>
      <c r="JN207" s="126"/>
      <c r="JO207" s="126"/>
      <c r="JP207" s="126"/>
      <c r="JQ207" s="126"/>
      <c r="JR207" s="126"/>
      <c r="JS207" s="126"/>
      <c r="JT207" s="126"/>
      <c r="JU207" s="126"/>
      <c r="JV207" s="126"/>
      <c r="JW207" s="126"/>
      <c r="JX207" s="126"/>
      <c r="JY207" s="126"/>
      <c r="JZ207" s="126"/>
      <c r="KA207" s="126"/>
      <c r="KB207" s="126"/>
      <c r="KC207" s="126"/>
      <c r="KD207" s="126"/>
      <c r="KE207" s="126"/>
      <c r="KF207" s="126"/>
      <c r="KG207" s="126"/>
      <c r="KH207" s="126"/>
      <c r="KI207" s="126"/>
      <c r="KJ207" s="126"/>
      <c r="KK207" s="126"/>
      <c r="KL207" s="126"/>
      <c r="KM207" s="126"/>
      <c r="KN207" s="126"/>
      <c r="KO207" s="126"/>
      <c r="KP207" s="126"/>
      <c r="KQ207" s="126"/>
      <c r="KR207" s="126"/>
      <c r="KS207" s="126"/>
      <c r="KT207" s="126"/>
      <c r="KU207" s="126"/>
      <c r="KV207" s="126"/>
      <c r="KW207" s="126"/>
      <c r="KX207" s="126"/>
      <c r="KY207" s="126"/>
      <c r="KZ207" s="126"/>
      <c r="LA207" s="126"/>
      <c r="LB207" s="126"/>
      <c r="LC207" s="126"/>
      <c r="LD207" s="126"/>
      <c r="LE207" s="126"/>
      <c r="LF207" s="126"/>
      <c r="LG207" s="126"/>
      <c r="LH207" s="126"/>
      <c r="LI207" s="126"/>
      <c r="LJ207" s="126"/>
      <c r="LK207" s="126"/>
      <c r="LL207" s="126"/>
      <c r="LM207" s="126"/>
      <c r="LN207" s="126"/>
      <c r="LO207" s="126"/>
      <c r="LP207" s="126"/>
      <c r="LQ207" s="126"/>
      <c r="LR207" s="126"/>
      <c r="LS207" s="126"/>
      <c r="LT207" s="126"/>
      <c r="LU207" s="126"/>
      <c r="LV207" s="126"/>
      <c r="LW207" s="126"/>
      <c r="LX207" s="126"/>
      <c r="LY207" s="126"/>
      <c r="LZ207" s="126"/>
      <c r="MA207" s="126"/>
      <c r="MB207" s="126"/>
      <c r="MC207" s="126"/>
      <c r="MD207" s="126"/>
      <c r="ME207" s="126"/>
      <c r="MF207" s="126"/>
      <c r="MG207" s="126"/>
      <c r="MH207" s="126"/>
      <c r="MI207" s="126"/>
      <c r="MJ207" s="126"/>
      <c r="MK207" s="126"/>
      <c r="ML207" s="126"/>
      <c r="MM207" s="126"/>
      <c r="MN207" s="126"/>
      <c r="MO207" s="126"/>
      <c r="MP207" s="126"/>
      <c r="MQ207" s="126"/>
      <c r="MR207" s="126"/>
      <c r="MS207" s="126"/>
      <c r="MT207" s="126"/>
      <c r="MU207" s="126"/>
      <c r="MV207" s="126"/>
      <c r="MW207" s="126"/>
      <c r="MX207" s="126"/>
      <c r="MY207" s="126"/>
      <c r="MZ207" s="126"/>
      <c r="NA207" s="126"/>
      <c r="NB207" s="126"/>
      <c r="NC207" s="126"/>
      <c r="ND207" s="126"/>
      <c r="NE207" s="126"/>
      <c r="NF207" s="126"/>
      <c r="NG207" s="126"/>
      <c r="NH207" s="126"/>
      <c r="NI207" s="126"/>
      <c r="NJ207" s="126"/>
      <c r="NK207" s="126"/>
      <c r="NL207" s="126"/>
      <c r="NM207" s="126"/>
      <c r="NN207" s="126"/>
      <c r="NO207" s="126"/>
      <c r="NP207" s="126"/>
      <c r="NQ207" s="126"/>
      <c r="NR207" s="126"/>
      <c r="NS207" s="126"/>
      <c r="NT207" s="126"/>
      <c r="NU207" s="126"/>
      <c r="NV207" s="126"/>
      <c r="NW207" s="126"/>
      <c r="NX207" s="126"/>
      <c r="NY207" s="126"/>
      <c r="NZ207" s="126"/>
      <c r="OA207" s="126"/>
      <c r="OB207" s="126"/>
      <c r="OC207" s="126"/>
      <c r="OD207" s="126"/>
      <c r="OE207" s="126"/>
      <c r="OF207" s="126"/>
      <c r="OG207" s="126"/>
      <c r="OH207" s="126"/>
      <c r="OI207" s="126"/>
      <c r="OJ207" s="126"/>
      <c r="OK207" s="126"/>
      <c r="OL207" s="126"/>
      <c r="OM207" s="126"/>
      <c r="ON207" s="126"/>
      <c r="OO207" s="126"/>
      <c r="OP207" s="126"/>
      <c r="OQ207" s="126"/>
      <c r="OR207" s="126"/>
      <c r="OS207" s="126"/>
      <c r="OT207" s="126"/>
      <c r="OU207" s="126"/>
      <c r="OV207" s="126"/>
      <c r="OW207" s="126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6"/>
      <c r="PW207" s="126"/>
      <c r="PX207" s="126"/>
      <c r="PY207" s="126"/>
      <c r="PZ207" s="126"/>
      <c r="QA207" s="126"/>
      <c r="QB207" s="126"/>
      <c r="QC207" s="126"/>
      <c r="QD207" s="126"/>
      <c r="QE207" s="126"/>
      <c r="QF207" s="126"/>
      <c r="QG207" s="126"/>
      <c r="QH207" s="126"/>
      <c r="QI207" s="126"/>
      <c r="QJ207" s="126"/>
      <c r="QK207" s="126"/>
      <c r="QL207" s="126"/>
      <c r="QM207" s="126"/>
      <c r="QN207" s="126"/>
      <c r="QO207" s="126"/>
      <c r="QP207" s="126"/>
      <c r="QQ207" s="126"/>
      <c r="QR207" s="126"/>
      <c r="QS207" s="126"/>
      <c r="QT207" s="126"/>
      <c r="QU207" s="126"/>
      <c r="QV207" s="126"/>
      <c r="QW207" s="126"/>
      <c r="QX207" s="126"/>
      <c r="QY207" s="126"/>
      <c r="QZ207" s="126"/>
      <c r="RA207" s="126"/>
      <c r="RB207" s="126"/>
      <c r="RC207" s="126"/>
      <c r="RD207" s="126"/>
      <c r="RE207" s="126"/>
      <c r="RF207" s="126"/>
      <c r="RG207" s="126"/>
      <c r="RH207" s="126"/>
      <c r="RI207" s="126"/>
      <c r="RJ207" s="126"/>
      <c r="RK207" s="126"/>
      <c r="RL207" s="126"/>
      <c r="RM207" s="126"/>
      <c r="RN207" s="126"/>
      <c r="RO207" s="126"/>
      <c r="RP207" s="126"/>
      <c r="RQ207" s="126"/>
      <c r="RR207" s="126"/>
      <c r="RS207" s="126"/>
      <c r="RT207" s="126"/>
      <c r="RU207" s="126"/>
      <c r="RV207" s="126"/>
      <c r="RW207" s="126"/>
      <c r="RX207" s="126"/>
      <c r="RY207" s="126"/>
      <c r="RZ207" s="126"/>
      <c r="SA207" s="126"/>
      <c r="SB207" s="126"/>
      <c r="SC207" s="126"/>
      <c r="SD207" s="126"/>
      <c r="SE207" s="126"/>
      <c r="SF207" s="126"/>
      <c r="SG207" s="126"/>
      <c r="SH207" s="126"/>
      <c r="SI207" s="126"/>
      <c r="SJ207" s="126"/>
      <c r="SK207" s="126"/>
      <c r="SL207" s="126"/>
      <c r="SM207" s="126"/>
      <c r="SN207" s="126"/>
      <c r="SO207" s="126"/>
      <c r="SP207" s="126"/>
      <c r="SQ207" s="126"/>
      <c r="SR207" s="126"/>
      <c r="SS207" s="126"/>
      <c r="ST207" s="126"/>
      <c r="SU207" s="126"/>
      <c r="SV207" s="126"/>
      <c r="SW207" s="126"/>
      <c r="SX207" s="126"/>
      <c r="SY207" s="126"/>
      <c r="SZ207" s="126"/>
      <c r="TA207" s="126"/>
      <c r="TB207" s="126"/>
      <c r="TC207" s="126"/>
      <c r="TD207" s="126"/>
      <c r="TE207" s="126"/>
    </row>
    <row r="208" spans="1:525" s="121" customFormat="1" ht="51" customHeight="1" x14ac:dyDescent="0.25">
      <c r="A208" s="117" t="s">
        <v>346</v>
      </c>
      <c r="B208" s="118" t="str">
        <f>'дод 6'!A128</f>
        <v>3090</v>
      </c>
      <c r="C208" s="118" t="str">
        <f>'дод 6'!B128</f>
        <v>1030</v>
      </c>
      <c r="D208" s="122" t="str">
        <f>'дод 6'!C128</f>
        <v>Видатки на поховання учасників бойових дій та осіб з інвалідністю внаслідок війни, у т.ч. за рахунок:</v>
      </c>
      <c r="E208" s="81">
        <f t="shared" si="85"/>
        <v>274000</v>
      </c>
      <c r="F208" s="81">
        <v>274000</v>
      </c>
      <c r="G208" s="81"/>
      <c r="H208" s="81"/>
      <c r="I208" s="81"/>
      <c r="J208" s="81">
        <f t="shared" si="87"/>
        <v>0</v>
      </c>
      <c r="K208" s="81"/>
      <c r="L208" s="81"/>
      <c r="M208" s="81"/>
      <c r="N208" s="81"/>
      <c r="O208" s="81"/>
      <c r="P208" s="81">
        <f t="shared" si="86"/>
        <v>274000</v>
      </c>
      <c r="Q208" s="26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</row>
    <row r="209" spans="1:525" s="127" customFormat="1" ht="15.75" customHeight="1" x14ac:dyDescent="0.25">
      <c r="A209" s="123"/>
      <c r="B209" s="144"/>
      <c r="C209" s="144"/>
      <c r="D209" s="143" t="s">
        <v>388</v>
      </c>
      <c r="E209" s="82">
        <f t="shared" si="85"/>
        <v>274000</v>
      </c>
      <c r="F209" s="82">
        <v>274000</v>
      </c>
      <c r="G209" s="82"/>
      <c r="H209" s="82"/>
      <c r="I209" s="82"/>
      <c r="J209" s="82">
        <f t="shared" si="87"/>
        <v>0</v>
      </c>
      <c r="K209" s="82"/>
      <c r="L209" s="82"/>
      <c r="M209" s="82"/>
      <c r="N209" s="82"/>
      <c r="O209" s="82"/>
      <c r="P209" s="82">
        <f t="shared" si="86"/>
        <v>274000</v>
      </c>
      <c r="Q209" s="260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  <c r="HN209" s="126"/>
      <c r="HO209" s="126"/>
      <c r="HP209" s="126"/>
      <c r="HQ209" s="126"/>
      <c r="HR209" s="126"/>
      <c r="HS209" s="126"/>
      <c r="HT209" s="126"/>
      <c r="HU209" s="126"/>
      <c r="HV209" s="126"/>
      <c r="HW209" s="126"/>
      <c r="HX209" s="126"/>
      <c r="HY209" s="126"/>
      <c r="HZ209" s="126"/>
      <c r="IA209" s="126"/>
      <c r="IB209" s="126"/>
      <c r="IC209" s="126"/>
      <c r="ID209" s="126"/>
      <c r="IE209" s="126"/>
      <c r="IF209" s="126"/>
      <c r="IG209" s="126"/>
      <c r="IH209" s="126"/>
      <c r="II209" s="126"/>
      <c r="IJ209" s="126"/>
      <c r="IK209" s="126"/>
      <c r="IL209" s="126"/>
      <c r="IM209" s="126"/>
      <c r="IN209" s="126"/>
      <c r="IO209" s="126"/>
      <c r="IP209" s="126"/>
      <c r="IQ209" s="126"/>
      <c r="IR209" s="126"/>
      <c r="IS209" s="126"/>
      <c r="IT209" s="126"/>
      <c r="IU209" s="126"/>
      <c r="IV209" s="126"/>
      <c r="IW209" s="126"/>
      <c r="IX209" s="126"/>
      <c r="IY209" s="126"/>
      <c r="IZ209" s="126"/>
      <c r="JA209" s="126"/>
      <c r="JB209" s="126"/>
      <c r="JC209" s="126"/>
      <c r="JD209" s="126"/>
      <c r="JE209" s="126"/>
      <c r="JF209" s="126"/>
      <c r="JG209" s="126"/>
      <c r="JH209" s="126"/>
      <c r="JI209" s="126"/>
      <c r="JJ209" s="126"/>
      <c r="JK209" s="126"/>
      <c r="JL209" s="126"/>
      <c r="JM209" s="126"/>
      <c r="JN209" s="126"/>
      <c r="JO209" s="126"/>
      <c r="JP209" s="126"/>
      <c r="JQ209" s="126"/>
      <c r="JR209" s="126"/>
      <c r="JS209" s="126"/>
      <c r="JT209" s="126"/>
      <c r="JU209" s="126"/>
      <c r="JV209" s="126"/>
      <c r="JW209" s="126"/>
      <c r="JX209" s="126"/>
      <c r="JY209" s="126"/>
      <c r="JZ209" s="126"/>
      <c r="KA209" s="126"/>
      <c r="KB209" s="126"/>
      <c r="KC209" s="126"/>
      <c r="KD209" s="126"/>
      <c r="KE209" s="126"/>
      <c r="KF209" s="126"/>
      <c r="KG209" s="126"/>
      <c r="KH209" s="126"/>
      <c r="KI209" s="126"/>
      <c r="KJ209" s="126"/>
      <c r="KK209" s="126"/>
      <c r="KL209" s="126"/>
      <c r="KM209" s="126"/>
      <c r="KN209" s="126"/>
      <c r="KO209" s="126"/>
      <c r="KP209" s="126"/>
      <c r="KQ209" s="126"/>
      <c r="KR209" s="126"/>
      <c r="KS209" s="126"/>
      <c r="KT209" s="126"/>
      <c r="KU209" s="126"/>
      <c r="KV209" s="126"/>
      <c r="KW209" s="126"/>
      <c r="KX209" s="126"/>
      <c r="KY209" s="126"/>
      <c r="KZ209" s="126"/>
      <c r="LA209" s="126"/>
      <c r="LB209" s="126"/>
      <c r="LC209" s="126"/>
      <c r="LD209" s="126"/>
      <c r="LE209" s="126"/>
      <c r="LF209" s="126"/>
      <c r="LG209" s="126"/>
      <c r="LH209" s="126"/>
      <c r="LI209" s="126"/>
      <c r="LJ209" s="126"/>
      <c r="LK209" s="126"/>
      <c r="LL209" s="126"/>
      <c r="LM209" s="126"/>
      <c r="LN209" s="126"/>
      <c r="LO209" s="126"/>
      <c r="LP209" s="126"/>
      <c r="LQ209" s="126"/>
      <c r="LR209" s="126"/>
      <c r="LS209" s="126"/>
      <c r="LT209" s="126"/>
      <c r="LU209" s="126"/>
      <c r="LV209" s="126"/>
      <c r="LW209" s="126"/>
      <c r="LX209" s="126"/>
      <c r="LY209" s="126"/>
      <c r="LZ209" s="126"/>
      <c r="MA209" s="126"/>
      <c r="MB209" s="126"/>
      <c r="MC209" s="126"/>
      <c r="MD209" s="126"/>
      <c r="ME209" s="126"/>
      <c r="MF209" s="126"/>
      <c r="MG209" s="126"/>
      <c r="MH209" s="126"/>
      <c r="MI209" s="126"/>
      <c r="MJ209" s="126"/>
      <c r="MK209" s="126"/>
      <c r="ML209" s="126"/>
      <c r="MM209" s="126"/>
      <c r="MN209" s="126"/>
      <c r="MO209" s="126"/>
      <c r="MP209" s="126"/>
      <c r="MQ209" s="126"/>
      <c r="MR209" s="126"/>
      <c r="MS209" s="126"/>
      <c r="MT209" s="126"/>
      <c r="MU209" s="126"/>
      <c r="MV209" s="126"/>
      <c r="MW209" s="126"/>
      <c r="MX209" s="126"/>
      <c r="MY209" s="126"/>
      <c r="MZ209" s="126"/>
      <c r="NA209" s="126"/>
      <c r="NB209" s="126"/>
      <c r="NC209" s="126"/>
      <c r="ND209" s="126"/>
      <c r="NE209" s="126"/>
      <c r="NF209" s="126"/>
      <c r="NG209" s="126"/>
      <c r="NH209" s="126"/>
      <c r="NI209" s="126"/>
      <c r="NJ209" s="126"/>
      <c r="NK209" s="126"/>
      <c r="NL209" s="126"/>
      <c r="NM209" s="126"/>
      <c r="NN209" s="126"/>
      <c r="NO209" s="126"/>
      <c r="NP209" s="126"/>
      <c r="NQ209" s="126"/>
      <c r="NR209" s="126"/>
      <c r="NS209" s="126"/>
      <c r="NT209" s="126"/>
      <c r="NU209" s="126"/>
      <c r="NV209" s="126"/>
      <c r="NW209" s="126"/>
      <c r="NX209" s="126"/>
      <c r="NY209" s="126"/>
      <c r="NZ209" s="126"/>
      <c r="OA209" s="126"/>
      <c r="OB209" s="126"/>
      <c r="OC209" s="126"/>
      <c r="OD209" s="126"/>
      <c r="OE209" s="126"/>
      <c r="OF209" s="126"/>
      <c r="OG209" s="126"/>
      <c r="OH209" s="126"/>
      <c r="OI209" s="126"/>
      <c r="OJ209" s="126"/>
      <c r="OK209" s="126"/>
      <c r="OL209" s="126"/>
      <c r="OM209" s="126"/>
      <c r="ON209" s="126"/>
      <c r="OO209" s="126"/>
      <c r="OP209" s="126"/>
      <c r="OQ209" s="126"/>
      <c r="OR209" s="126"/>
      <c r="OS209" s="126"/>
      <c r="OT209" s="126"/>
      <c r="OU209" s="126"/>
      <c r="OV209" s="126"/>
      <c r="OW209" s="126"/>
      <c r="OX209" s="126"/>
      <c r="OY209" s="126"/>
      <c r="OZ209" s="126"/>
      <c r="PA209" s="126"/>
      <c r="PB209" s="126"/>
      <c r="PC209" s="126"/>
      <c r="PD209" s="126"/>
      <c r="PE209" s="126"/>
      <c r="PF209" s="126"/>
      <c r="PG209" s="126"/>
      <c r="PH209" s="126"/>
      <c r="PI209" s="126"/>
      <c r="PJ209" s="126"/>
      <c r="PK209" s="126"/>
      <c r="PL209" s="126"/>
      <c r="PM209" s="126"/>
      <c r="PN209" s="126"/>
      <c r="PO209" s="126"/>
      <c r="PP209" s="126"/>
      <c r="PQ209" s="126"/>
      <c r="PR209" s="126"/>
      <c r="PS209" s="126"/>
      <c r="PT209" s="126"/>
      <c r="PU209" s="126"/>
      <c r="PV209" s="126"/>
      <c r="PW209" s="126"/>
      <c r="PX209" s="126"/>
      <c r="PY209" s="126"/>
      <c r="PZ209" s="126"/>
      <c r="QA209" s="126"/>
      <c r="QB209" s="126"/>
      <c r="QC209" s="126"/>
      <c r="QD209" s="126"/>
      <c r="QE209" s="126"/>
      <c r="QF209" s="126"/>
      <c r="QG209" s="126"/>
      <c r="QH209" s="126"/>
      <c r="QI209" s="126"/>
      <c r="QJ209" s="126"/>
      <c r="QK209" s="126"/>
      <c r="QL209" s="126"/>
      <c r="QM209" s="126"/>
      <c r="QN209" s="126"/>
      <c r="QO209" s="126"/>
      <c r="QP209" s="126"/>
      <c r="QQ209" s="126"/>
      <c r="QR209" s="126"/>
      <c r="QS209" s="126"/>
      <c r="QT209" s="126"/>
      <c r="QU209" s="126"/>
      <c r="QV209" s="126"/>
      <c r="QW209" s="126"/>
      <c r="QX209" s="126"/>
      <c r="QY209" s="126"/>
      <c r="QZ209" s="126"/>
      <c r="RA209" s="126"/>
      <c r="RB209" s="126"/>
      <c r="RC209" s="126"/>
      <c r="RD209" s="126"/>
      <c r="RE209" s="126"/>
      <c r="RF209" s="126"/>
      <c r="RG209" s="126"/>
      <c r="RH209" s="126"/>
      <c r="RI209" s="126"/>
      <c r="RJ209" s="126"/>
      <c r="RK209" s="126"/>
      <c r="RL209" s="126"/>
      <c r="RM209" s="126"/>
      <c r="RN209" s="126"/>
      <c r="RO209" s="126"/>
      <c r="RP209" s="126"/>
      <c r="RQ209" s="126"/>
      <c r="RR209" s="126"/>
      <c r="RS209" s="126"/>
      <c r="RT209" s="126"/>
      <c r="RU209" s="126"/>
      <c r="RV209" s="126"/>
      <c r="RW209" s="126"/>
      <c r="RX209" s="126"/>
      <c r="RY209" s="126"/>
      <c r="RZ209" s="126"/>
      <c r="SA209" s="126"/>
      <c r="SB209" s="126"/>
      <c r="SC209" s="126"/>
      <c r="SD209" s="126"/>
      <c r="SE209" s="126"/>
      <c r="SF209" s="126"/>
      <c r="SG209" s="126"/>
      <c r="SH209" s="126"/>
      <c r="SI209" s="126"/>
      <c r="SJ209" s="126"/>
      <c r="SK209" s="126"/>
      <c r="SL209" s="126"/>
      <c r="SM209" s="126"/>
      <c r="SN209" s="126"/>
      <c r="SO209" s="126"/>
      <c r="SP209" s="126"/>
      <c r="SQ209" s="126"/>
      <c r="SR209" s="126"/>
      <c r="SS209" s="126"/>
      <c r="ST209" s="126"/>
      <c r="SU209" s="126"/>
      <c r="SV209" s="126"/>
      <c r="SW209" s="126"/>
      <c r="SX209" s="126"/>
      <c r="SY209" s="126"/>
      <c r="SZ209" s="126"/>
      <c r="TA209" s="126"/>
      <c r="TB209" s="126"/>
      <c r="TC209" s="126"/>
      <c r="TD209" s="126"/>
      <c r="TE209" s="126"/>
    </row>
    <row r="210" spans="1:525" s="121" customFormat="1" ht="64.5" customHeight="1" x14ac:dyDescent="0.25">
      <c r="A210" s="117" t="s">
        <v>181</v>
      </c>
      <c r="B210" s="118" t="str">
        <f>'дод 6'!A130</f>
        <v>3104</v>
      </c>
      <c r="C210" s="118" t="str">
        <f>'дод 6'!B130</f>
        <v>1020</v>
      </c>
      <c r="D210" s="122" t="str">
        <f>'дод 6'!C130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10" s="81">
        <f t="shared" si="85"/>
        <v>21367897</v>
      </c>
      <c r="F210" s="81">
        <f>21319300+7697+40900</f>
        <v>21367897</v>
      </c>
      <c r="G210" s="81">
        <f>15850900-57200</f>
        <v>15793700</v>
      </c>
      <c r="H210" s="81">
        <f>763200+40900</f>
        <v>804100</v>
      </c>
      <c r="I210" s="81"/>
      <c r="J210" s="81">
        <f t="shared" si="87"/>
        <v>596200</v>
      </c>
      <c r="K210" s="81">
        <v>500000</v>
      </c>
      <c r="L210" s="81">
        <v>96200</v>
      </c>
      <c r="M210" s="81">
        <v>78600</v>
      </c>
      <c r="N210" s="81"/>
      <c r="O210" s="81">
        <v>500000</v>
      </c>
      <c r="P210" s="81">
        <f t="shared" si="86"/>
        <v>21964097</v>
      </c>
      <c r="Q210" s="26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</row>
    <row r="211" spans="1:525" s="121" customFormat="1" ht="64.5" hidden="1" customHeight="1" x14ac:dyDescent="0.25">
      <c r="A211" s="117" t="s">
        <v>553</v>
      </c>
      <c r="B211" s="118">
        <v>3140</v>
      </c>
      <c r="C211" s="147" t="s">
        <v>99</v>
      </c>
      <c r="D211" s="132" t="str">
        <f>'дод 6'!C136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1" s="81">
        <f t="shared" si="85"/>
        <v>0</v>
      </c>
      <c r="F211" s="81">
        <f>5000000-5000000</f>
        <v>0</v>
      </c>
      <c r="G211" s="81"/>
      <c r="H211" s="81"/>
      <c r="I211" s="81"/>
      <c r="J211" s="81">
        <f t="shared" si="87"/>
        <v>0</v>
      </c>
      <c r="K211" s="81"/>
      <c r="L211" s="81"/>
      <c r="M211" s="81"/>
      <c r="N211" s="81"/>
      <c r="O211" s="81"/>
      <c r="P211" s="81">
        <f t="shared" si="86"/>
        <v>0</v>
      </c>
      <c r="Q211" s="26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</row>
    <row r="212" spans="1:525" s="121" customFormat="1" ht="96.75" customHeight="1" x14ac:dyDescent="0.25">
      <c r="A212" s="117" t="s">
        <v>182</v>
      </c>
      <c r="B212" s="118" t="str">
        <f>'дод 6'!A137</f>
        <v>3160</v>
      </c>
      <c r="C212" s="118">
        <f>'дод 6'!B137</f>
        <v>1010</v>
      </c>
      <c r="D212" s="122" t="str">
        <f>'дод 6'!C137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12" s="81">
        <f t="shared" si="85"/>
        <v>14132600</v>
      </c>
      <c r="F212" s="81">
        <f>10232600+3900000</f>
        <v>14132600</v>
      </c>
      <c r="G212" s="81"/>
      <c r="H212" s="81"/>
      <c r="I212" s="81"/>
      <c r="J212" s="81">
        <f t="shared" si="87"/>
        <v>0</v>
      </c>
      <c r="K212" s="81"/>
      <c r="L212" s="81"/>
      <c r="M212" s="81"/>
      <c r="N212" s="81"/>
      <c r="O212" s="81"/>
      <c r="P212" s="81">
        <f t="shared" si="86"/>
        <v>14132600</v>
      </c>
      <c r="Q212" s="26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</row>
    <row r="213" spans="1:525" s="121" customFormat="1" ht="63" customHeight="1" x14ac:dyDescent="0.25">
      <c r="A213" s="117" t="s">
        <v>348</v>
      </c>
      <c r="B213" s="118" t="str">
        <f>'дод 6'!A138</f>
        <v>3171</v>
      </c>
      <c r="C213" s="118">
        <f>'дод 6'!B138</f>
        <v>1010</v>
      </c>
      <c r="D213" s="122" t="s">
        <v>397</v>
      </c>
      <c r="E213" s="81">
        <f t="shared" si="85"/>
        <v>194543</v>
      </c>
      <c r="F213" s="81">
        <f>196843-2300</f>
        <v>194543</v>
      </c>
      <c r="G213" s="81"/>
      <c r="H213" s="81"/>
      <c r="I213" s="81"/>
      <c r="J213" s="81">
        <f t="shared" si="87"/>
        <v>0</v>
      </c>
      <c r="K213" s="81"/>
      <c r="L213" s="81"/>
      <c r="M213" s="81"/>
      <c r="N213" s="81"/>
      <c r="O213" s="81"/>
      <c r="P213" s="81">
        <f t="shared" si="86"/>
        <v>194543</v>
      </c>
      <c r="Q213" s="26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</row>
    <row r="214" spans="1:525" s="127" customFormat="1" ht="18" customHeight="1" x14ac:dyDescent="0.25">
      <c r="A214" s="123"/>
      <c r="B214" s="144"/>
      <c r="C214" s="144"/>
      <c r="D214" s="143" t="s">
        <v>388</v>
      </c>
      <c r="E214" s="82">
        <f t="shared" si="85"/>
        <v>194543</v>
      </c>
      <c r="F214" s="82">
        <f>196843-2300</f>
        <v>194543</v>
      </c>
      <c r="G214" s="82"/>
      <c r="H214" s="82"/>
      <c r="I214" s="82"/>
      <c r="J214" s="82">
        <f t="shared" si="87"/>
        <v>0</v>
      </c>
      <c r="K214" s="82"/>
      <c r="L214" s="82"/>
      <c r="M214" s="82"/>
      <c r="N214" s="82"/>
      <c r="O214" s="82"/>
      <c r="P214" s="82">
        <f t="shared" si="86"/>
        <v>194543</v>
      </c>
      <c r="Q214" s="260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  <c r="HN214" s="126"/>
      <c r="HO214" s="126"/>
      <c r="HP214" s="126"/>
      <c r="HQ214" s="126"/>
      <c r="HR214" s="126"/>
      <c r="HS214" s="126"/>
      <c r="HT214" s="126"/>
      <c r="HU214" s="126"/>
      <c r="HV214" s="126"/>
      <c r="HW214" s="126"/>
      <c r="HX214" s="126"/>
      <c r="HY214" s="126"/>
      <c r="HZ214" s="126"/>
      <c r="IA214" s="126"/>
      <c r="IB214" s="126"/>
      <c r="IC214" s="126"/>
      <c r="ID214" s="126"/>
      <c r="IE214" s="126"/>
      <c r="IF214" s="126"/>
      <c r="IG214" s="126"/>
      <c r="IH214" s="126"/>
      <c r="II214" s="126"/>
      <c r="IJ214" s="126"/>
      <c r="IK214" s="126"/>
      <c r="IL214" s="126"/>
      <c r="IM214" s="126"/>
      <c r="IN214" s="126"/>
      <c r="IO214" s="126"/>
      <c r="IP214" s="126"/>
      <c r="IQ214" s="126"/>
      <c r="IR214" s="126"/>
      <c r="IS214" s="126"/>
      <c r="IT214" s="126"/>
      <c r="IU214" s="126"/>
      <c r="IV214" s="126"/>
      <c r="IW214" s="126"/>
      <c r="IX214" s="126"/>
      <c r="IY214" s="126"/>
      <c r="IZ214" s="126"/>
      <c r="JA214" s="126"/>
      <c r="JB214" s="126"/>
      <c r="JC214" s="126"/>
      <c r="JD214" s="126"/>
      <c r="JE214" s="126"/>
      <c r="JF214" s="126"/>
      <c r="JG214" s="126"/>
      <c r="JH214" s="126"/>
      <c r="JI214" s="126"/>
      <c r="JJ214" s="126"/>
      <c r="JK214" s="126"/>
      <c r="JL214" s="126"/>
      <c r="JM214" s="126"/>
      <c r="JN214" s="126"/>
      <c r="JO214" s="126"/>
      <c r="JP214" s="126"/>
      <c r="JQ214" s="126"/>
      <c r="JR214" s="126"/>
      <c r="JS214" s="126"/>
      <c r="JT214" s="126"/>
      <c r="JU214" s="126"/>
      <c r="JV214" s="126"/>
      <c r="JW214" s="126"/>
      <c r="JX214" s="126"/>
      <c r="JY214" s="126"/>
      <c r="JZ214" s="126"/>
      <c r="KA214" s="126"/>
      <c r="KB214" s="126"/>
      <c r="KC214" s="126"/>
      <c r="KD214" s="126"/>
      <c r="KE214" s="126"/>
      <c r="KF214" s="126"/>
      <c r="KG214" s="126"/>
      <c r="KH214" s="126"/>
      <c r="KI214" s="126"/>
      <c r="KJ214" s="126"/>
      <c r="KK214" s="126"/>
      <c r="KL214" s="126"/>
      <c r="KM214" s="126"/>
      <c r="KN214" s="126"/>
      <c r="KO214" s="126"/>
      <c r="KP214" s="126"/>
      <c r="KQ214" s="126"/>
      <c r="KR214" s="126"/>
      <c r="KS214" s="126"/>
      <c r="KT214" s="126"/>
      <c r="KU214" s="126"/>
      <c r="KV214" s="126"/>
      <c r="KW214" s="126"/>
      <c r="KX214" s="126"/>
      <c r="KY214" s="126"/>
      <c r="KZ214" s="126"/>
      <c r="LA214" s="126"/>
      <c r="LB214" s="126"/>
      <c r="LC214" s="126"/>
      <c r="LD214" s="126"/>
      <c r="LE214" s="126"/>
      <c r="LF214" s="126"/>
      <c r="LG214" s="126"/>
      <c r="LH214" s="126"/>
      <c r="LI214" s="126"/>
      <c r="LJ214" s="126"/>
      <c r="LK214" s="126"/>
      <c r="LL214" s="126"/>
      <c r="LM214" s="126"/>
      <c r="LN214" s="126"/>
      <c r="LO214" s="126"/>
      <c r="LP214" s="126"/>
      <c r="LQ214" s="126"/>
      <c r="LR214" s="126"/>
      <c r="LS214" s="126"/>
      <c r="LT214" s="126"/>
      <c r="LU214" s="126"/>
      <c r="LV214" s="126"/>
      <c r="LW214" s="126"/>
      <c r="LX214" s="126"/>
      <c r="LY214" s="126"/>
      <c r="LZ214" s="126"/>
      <c r="MA214" s="126"/>
      <c r="MB214" s="126"/>
      <c r="MC214" s="126"/>
      <c r="MD214" s="126"/>
      <c r="ME214" s="126"/>
      <c r="MF214" s="126"/>
      <c r="MG214" s="126"/>
      <c r="MH214" s="126"/>
      <c r="MI214" s="126"/>
      <c r="MJ214" s="126"/>
      <c r="MK214" s="126"/>
      <c r="ML214" s="126"/>
      <c r="MM214" s="126"/>
      <c r="MN214" s="126"/>
      <c r="MO214" s="126"/>
      <c r="MP214" s="126"/>
      <c r="MQ214" s="126"/>
      <c r="MR214" s="126"/>
      <c r="MS214" s="126"/>
      <c r="MT214" s="126"/>
      <c r="MU214" s="126"/>
      <c r="MV214" s="126"/>
      <c r="MW214" s="126"/>
      <c r="MX214" s="126"/>
      <c r="MY214" s="126"/>
      <c r="MZ214" s="126"/>
      <c r="NA214" s="126"/>
      <c r="NB214" s="126"/>
      <c r="NC214" s="126"/>
      <c r="ND214" s="126"/>
      <c r="NE214" s="126"/>
      <c r="NF214" s="126"/>
      <c r="NG214" s="126"/>
      <c r="NH214" s="126"/>
      <c r="NI214" s="126"/>
      <c r="NJ214" s="126"/>
      <c r="NK214" s="126"/>
      <c r="NL214" s="126"/>
      <c r="NM214" s="126"/>
      <c r="NN214" s="126"/>
      <c r="NO214" s="126"/>
      <c r="NP214" s="126"/>
      <c r="NQ214" s="126"/>
      <c r="NR214" s="126"/>
      <c r="NS214" s="126"/>
      <c r="NT214" s="126"/>
      <c r="NU214" s="126"/>
      <c r="NV214" s="126"/>
      <c r="NW214" s="126"/>
      <c r="NX214" s="126"/>
      <c r="NY214" s="126"/>
      <c r="NZ214" s="126"/>
      <c r="OA214" s="126"/>
      <c r="OB214" s="126"/>
      <c r="OC214" s="126"/>
      <c r="OD214" s="126"/>
      <c r="OE214" s="126"/>
      <c r="OF214" s="126"/>
      <c r="OG214" s="126"/>
      <c r="OH214" s="126"/>
      <c r="OI214" s="126"/>
      <c r="OJ214" s="126"/>
      <c r="OK214" s="126"/>
      <c r="OL214" s="126"/>
      <c r="OM214" s="126"/>
      <c r="ON214" s="126"/>
      <c r="OO214" s="126"/>
      <c r="OP214" s="126"/>
      <c r="OQ214" s="126"/>
      <c r="OR214" s="126"/>
      <c r="OS214" s="126"/>
      <c r="OT214" s="126"/>
      <c r="OU214" s="126"/>
      <c r="OV214" s="126"/>
      <c r="OW214" s="126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6"/>
      <c r="PW214" s="126"/>
      <c r="PX214" s="126"/>
      <c r="PY214" s="126"/>
      <c r="PZ214" s="126"/>
      <c r="QA214" s="126"/>
      <c r="QB214" s="126"/>
      <c r="QC214" s="126"/>
      <c r="QD214" s="126"/>
      <c r="QE214" s="126"/>
      <c r="QF214" s="126"/>
      <c r="QG214" s="126"/>
      <c r="QH214" s="126"/>
      <c r="QI214" s="126"/>
      <c r="QJ214" s="126"/>
      <c r="QK214" s="126"/>
      <c r="QL214" s="126"/>
      <c r="QM214" s="126"/>
      <c r="QN214" s="126"/>
      <c r="QO214" s="126"/>
      <c r="QP214" s="126"/>
      <c r="QQ214" s="126"/>
      <c r="QR214" s="126"/>
      <c r="QS214" s="126"/>
      <c r="QT214" s="126"/>
      <c r="QU214" s="126"/>
      <c r="QV214" s="126"/>
      <c r="QW214" s="126"/>
      <c r="QX214" s="126"/>
      <c r="QY214" s="126"/>
      <c r="QZ214" s="126"/>
      <c r="RA214" s="126"/>
      <c r="RB214" s="126"/>
      <c r="RC214" s="126"/>
      <c r="RD214" s="126"/>
      <c r="RE214" s="126"/>
      <c r="RF214" s="126"/>
      <c r="RG214" s="126"/>
      <c r="RH214" s="126"/>
      <c r="RI214" s="126"/>
      <c r="RJ214" s="126"/>
      <c r="RK214" s="126"/>
      <c r="RL214" s="126"/>
      <c r="RM214" s="126"/>
      <c r="RN214" s="126"/>
      <c r="RO214" s="126"/>
      <c r="RP214" s="126"/>
      <c r="RQ214" s="126"/>
      <c r="RR214" s="126"/>
      <c r="RS214" s="126"/>
      <c r="RT214" s="126"/>
      <c r="RU214" s="126"/>
      <c r="RV214" s="126"/>
      <c r="RW214" s="126"/>
      <c r="RX214" s="126"/>
      <c r="RY214" s="126"/>
      <c r="RZ214" s="126"/>
      <c r="SA214" s="126"/>
      <c r="SB214" s="126"/>
      <c r="SC214" s="126"/>
      <c r="SD214" s="126"/>
      <c r="SE214" s="126"/>
      <c r="SF214" s="126"/>
      <c r="SG214" s="126"/>
      <c r="SH214" s="126"/>
      <c r="SI214" s="126"/>
      <c r="SJ214" s="126"/>
      <c r="SK214" s="126"/>
      <c r="SL214" s="126"/>
      <c r="SM214" s="126"/>
      <c r="SN214" s="126"/>
      <c r="SO214" s="126"/>
      <c r="SP214" s="126"/>
      <c r="SQ214" s="126"/>
      <c r="SR214" s="126"/>
      <c r="SS214" s="126"/>
      <c r="ST214" s="126"/>
      <c r="SU214" s="126"/>
      <c r="SV214" s="126"/>
      <c r="SW214" s="126"/>
      <c r="SX214" s="126"/>
      <c r="SY214" s="126"/>
      <c r="SZ214" s="126"/>
      <c r="TA214" s="126"/>
      <c r="TB214" s="126"/>
      <c r="TC214" s="126"/>
      <c r="TD214" s="126"/>
      <c r="TE214" s="126"/>
    </row>
    <row r="215" spans="1:525" s="121" customFormat="1" ht="31.5" hidden="1" customHeight="1" x14ac:dyDescent="0.25">
      <c r="A215" s="117" t="s">
        <v>349</v>
      </c>
      <c r="B215" s="118" t="str">
        <f>'дод 6'!A140</f>
        <v>3172</v>
      </c>
      <c r="C215" s="118">
        <f>'дод 6'!B140</f>
        <v>1010</v>
      </c>
      <c r="D215" s="122" t="str">
        <f>'дод 6'!C140</f>
        <v>Встановлення телефонів особам з інвалідністю I і II груп, у т.ч. за рахунок:</v>
      </c>
      <c r="E215" s="81">
        <f t="shared" si="85"/>
        <v>0</v>
      </c>
      <c r="F215" s="81"/>
      <c r="G215" s="81"/>
      <c r="H215" s="81"/>
      <c r="I215" s="81"/>
      <c r="J215" s="81">
        <f t="shared" si="87"/>
        <v>0</v>
      </c>
      <c r="K215" s="81"/>
      <c r="L215" s="81"/>
      <c r="M215" s="81"/>
      <c r="N215" s="81"/>
      <c r="O215" s="81"/>
      <c r="P215" s="81">
        <f t="shared" si="86"/>
        <v>0</v>
      </c>
      <c r="Q215" s="26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</row>
    <row r="216" spans="1:525" s="127" customFormat="1" ht="15.75" hidden="1" customHeight="1" x14ac:dyDescent="0.25">
      <c r="A216" s="123"/>
      <c r="B216" s="144"/>
      <c r="C216" s="144"/>
      <c r="D216" s="143" t="s">
        <v>388</v>
      </c>
      <c r="E216" s="82">
        <f t="shared" si="85"/>
        <v>0</v>
      </c>
      <c r="F216" s="82"/>
      <c r="G216" s="82"/>
      <c r="H216" s="82"/>
      <c r="I216" s="82"/>
      <c r="J216" s="82">
        <f t="shared" si="87"/>
        <v>0</v>
      </c>
      <c r="K216" s="82"/>
      <c r="L216" s="82"/>
      <c r="M216" s="82"/>
      <c r="N216" s="82"/>
      <c r="O216" s="82"/>
      <c r="P216" s="82">
        <f t="shared" si="86"/>
        <v>0</v>
      </c>
      <c r="Q216" s="260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  <c r="HN216" s="126"/>
      <c r="HO216" s="126"/>
      <c r="HP216" s="126"/>
      <c r="HQ216" s="126"/>
      <c r="HR216" s="126"/>
      <c r="HS216" s="126"/>
      <c r="HT216" s="126"/>
      <c r="HU216" s="126"/>
      <c r="HV216" s="126"/>
      <c r="HW216" s="126"/>
      <c r="HX216" s="126"/>
      <c r="HY216" s="126"/>
      <c r="HZ216" s="126"/>
      <c r="IA216" s="126"/>
      <c r="IB216" s="126"/>
      <c r="IC216" s="126"/>
      <c r="ID216" s="126"/>
      <c r="IE216" s="126"/>
      <c r="IF216" s="126"/>
      <c r="IG216" s="126"/>
      <c r="IH216" s="126"/>
      <c r="II216" s="126"/>
      <c r="IJ216" s="126"/>
      <c r="IK216" s="126"/>
      <c r="IL216" s="126"/>
      <c r="IM216" s="126"/>
      <c r="IN216" s="126"/>
      <c r="IO216" s="126"/>
      <c r="IP216" s="126"/>
      <c r="IQ216" s="126"/>
      <c r="IR216" s="126"/>
      <c r="IS216" s="126"/>
      <c r="IT216" s="126"/>
      <c r="IU216" s="126"/>
      <c r="IV216" s="126"/>
      <c r="IW216" s="126"/>
      <c r="IX216" s="126"/>
      <c r="IY216" s="126"/>
      <c r="IZ216" s="126"/>
      <c r="JA216" s="126"/>
      <c r="JB216" s="126"/>
      <c r="JC216" s="126"/>
      <c r="JD216" s="126"/>
      <c r="JE216" s="126"/>
      <c r="JF216" s="126"/>
      <c r="JG216" s="126"/>
      <c r="JH216" s="126"/>
      <c r="JI216" s="126"/>
      <c r="JJ216" s="126"/>
      <c r="JK216" s="126"/>
      <c r="JL216" s="126"/>
      <c r="JM216" s="126"/>
      <c r="JN216" s="126"/>
      <c r="JO216" s="126"/>
      <c r="JP216" s="126"/>
      <c r="JQ216" s="126"/>
      <c r="JR216" s="126"/>
      <c r="JS216" s="126"/>
      <c r="JT216" s="126"/>
      <c r="JU216" s="126"/>
      <c r="JV216" s="126"/>
      <c r="JW216" s="126"/>
      <c r="JX216" s="126"/>
      <c r="JY216" s="126"/>
      <c r="JZ216" s="126"/>
      <c r="KA216" s="126"/>
      <c r="KB216" s="126"/>
      <c r="KC216" s="126"/>
      <c r="KD216" s="126"/>
      <c r="KE216" s="126"/>
      <c r="KF216" s="126"/>
      <c r="KG216" s="126"/>
      <c r="KH216" s="126"/>
      <c r="KI216" s="126"/>
      <c r="KJ216" s="126"/>
      <c r="KK216" s="126"/>
      <c r="KL216" s="126"/>
      <c r="KM216" s="126"/>
      <c r="KN216" s="126"/>
      <c r="KO216" s="126"/>
      <c r="KP216" s="126"/>
      <c r="KQ216" s="126"/>
      <c r="KR216" s="126"/>
      <c r="KS216" s="126"/>
      <c r="KT216" s="126"/>
      <c r="KU216" s="126"/>
      <c r="KV216" s="126"/>
      <c r="KW216" s="126"/>
      <c r="KX216" s="126"/>
      <c r="KY216" s="126"/>
      <c r="KZ216" s="126"/>
      <c r="LA216" s="126"/>
      <c r="LB216" s="126"/>
      <c r="LC216" s="126"/>
      <c r="LD216" s="126"/>
      <c r="LE216" s="126"/>
      <c r="LF216" s="126"/>
      <c r="LG216" s="126"/>
      <c r="LH216" s="126"/>
      <c r="LI216" s="126"/>
      <c r="LJ216" s="126"/>
      <c r="LK216" s="126"/>
      <c r="LL216" s="126"/>
      <c r="LM216" s="126"/>
      <c r="LN216" s="126"/>
      <c r="LO216" s="126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6"/>
      <c r="NA216" s="126"/>
      <c r="NB216" s="126"/>
      <c r="NC216" s="126"/>
      <c r="ND216" s="126"/>
      <c r="NE216" s="126"/>
      <c r="NF216" s="126"/>
      <c r="NG216" s="126"/>
      <c r="NH216" s="126"/>
      <c r="NI216" s="126"/>
      <c r="NJ216" s="126"/>
      <c r="NK216" s="126"/>
      <c r="NL216" s="126"/>
      <c r="NM216" s="126"/>
      <c r="NN216" s="126"/>
      <c r="NO216" s="126"/>
      <c r="NP216" s="126"/>
      <c r="NQ216" s="126"/>
      <c r="NR216" s="126"/>
      <c r="NS216" s="126"/>
      <c r="NT216" s="126"/>
      <c r="NU216" s="126"/>
      <c r="NV216" s="126"/>
      <c r="NW216" s="126"/>
      <c r="NX216" s="126"/>
      <c r="NY216" s="126"/>
      <c r="NZ216" s="126"/>
      <c r="OA216" s="126"/>
      <c r="OB216" s="126"/>
      <c r="OC216" s="126"/>
      <c r="OD216" s="126"/>
      <c r="OE216" s="126"/>
      <c r="OF216" s="126"/>
      <c r="OG216" s="126"/>
      <c r="OH216" s="126"/>
      <c r="OI216" s="126"/>
      <c r="OJ216" s="126"/>
      <c r="OK216" s="126"/>
      <c r="OL216" s="126"/>
      <c r="OM216" s="126"/>
      <c r="ON216" s="126"/>
      <c r="OO216" s="126"/>
      <c r="OP216" s="126"/>
      <c r="OQ216" s="126"/>
      <c r="OR216" s="126"/>
      <c r="OS216" s="126"/>
      <c r="OT216" s="126"/>
      <c r="OU216" s="126"/>
      <c r="OV216" s="126"/>
      <c r="OW216" s="126"/>
      <c r="OX216" s="126"/>
      <c r="OY216" s="126"/>
      <c r="OZ216" s="126"/>
      <c r="PA216" s="126"/>
      <c r="PB216" s="126"/>
      <c r="PC216" s="126"/>
      <c r="PD216" s="126"/>
      <c r="PE216" s="126"/>
      <c r="PF216" s="126"/>
      <c r="PG216" s="126"/>
      <c r="PH216" s="126"/>
      <c r="PI216" s="126"/>
      <c r="PJ216" s="126"/>
      <c r="PK216" s="126"/>
      <c r="PL216" s="126"/>
      <c r="PM216" s="126"/>
      <c r="PN216" s="126"/>
      <c r="PO216" s="126"/>
      <c r="PP216" s="126"/>
      <c r="PQ216" s="126"/>
      <c r="PR216" s="126"/>
      <c r="PS216" s="126"/>
      <c r="PT216" s="126"/>
      <c r="PU216" s="126"/>
      <c r="PV216" s="126"/>
      <c r="PW216" s="126"/>
      <c r="PX216" s="126"/>
      <c r="PY216" s="126"/>
      <c r="PZ216" s="126"/>
      <c r="QA216" s="126"/>
      <c r="QB216" s="126"/>
      <c r="QC216" s="126"/>
      <c r="QD216" s="126"/>
      <c r="QE216" s="126"/>
      <c r="QF216" s="126"/>
      <c r="QG216" s="126"/>
      <c r="QH216" s="126"/>
      <c r="QI216" s="126"/>
      <c r="QJ216" s="126"/>
      <c r="QK216" s="126"/>
      <c r="QL216" s="126"/>
      <c r="QM216" s="126"/>
      <c r="QN216" s="126"/>
      <c r="QO216" s="126"/>
      <c r="QP216" s="126"/>
      <c r="QQ216" s="126"/>
      <c r="QR216" s="126"/>
      <c r="QS216" s="126"/>
      <c r="QT216" s="126"/>
      <c r="QU216" s="126"/>
      <c r="QV216" s="126"/>
      <c r="QW216" s="126"/>
      <c r="QX216" s="126"/>
      <c r="QY216" s="126"/>
      <c r="QZ216" s="126"/>
      <c r="RA216" s="126"/>
      <c r="RB216" s="126"/>
      <c r="RC216" s="126"/>
      <c r="RD216" s="126"/>
      <c r="RE216" s="126"/>
      <c r="RF216" s="126"/>
      <c r="RG216" s="126"/>
      <c r="RH216" s="126"/>
      <c r="RI216" s="126"/>
      <c r="RJ216" s="126"/>
      <c r="RK216" s="126"/>
      <c r="RL216" s="126"/>
      <c r="RM216" s="126"/>
      <c r="RN216" s="126"/>
      <c r="RO216" s="126"/>
      <c r="RP216" s="126"/>
      <c r="RQ216" s="126"/>
      <c r="RR216" s="126"/>
      <c r="RS216" s="126"/>
      <c r="RT216" s="126"/>
      <c r="RU216" s="126"/>
      <c r="RV216" s="126"/>
      <c r="RW216" s="126"/>
      <c r="RX216" s="126"/>
      <c r="RY216" s="126"/>
      <c r="RZ216" s="126"/>
      <c r="SA216" s="126"/>
      <c r="SB216" s="126"/>
      <c r="SC216" s="126"/>
      <c r="SD216" s="126"/>
      <c r="SE216" s="126"/>
      <c r="SF216" s="126"/>
      <c r="SG216" s="126"/>
      <c r="SH216" s="126"/>
      <c r="SI216" s="126"/>
      <c r="SJ216" s="126"/>
      <c r="SK216" s="126"/>
      <c r="SL216" s="126"/>
      <c r="SM216" s="126"/>
      <c r="SN216" s="126"/>
      <c r="SO216" s="126"/>
      <c r="SP216" s="126"/>
      <c r="SQ216" s="126"/>
      <c r="SR216" s="126"/>
      <c r="SS216" s="126"/>
      <c r="ST216" s="126"/>
      <c r="SU216" s="126"/>
      <c r="SV216" s="126"/>
      <c r="SW216" s="126"/>
      <c r="SX216" s="126"/>
      <c r="SY216" s="126"/>
      <c r="SZ216" s="126"/>
      <c r="TA216" s="126"/>
      <c r="TB216" s="126"/>
      <c r="TC216" s="126"/>
      <c r="TD216" s="126"/>
      <c r="TE216" s="126"/>
    </row>
    <row r="217" spans="1:525" s="121" customFormat="1" ht="78.75" hidden="1" customHeight="1" x14ac:dyDescent="0.25">
      <c r="A217" s="117" t="s">
        <v>183</v>
      </c>
      <c r="B217" s="118" t="str">
        <f>'дод 6'!A142</f>
        <v>3180</v>
      </c>
      <c r="C217" s="118" t="str">
        <f>'дод 6'!B142</f>
        <v>1060</v>
      </c>
      <c r="D217" s="122" t="str">
        <f>'дод 6'!C142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81">
        <f t="shared" si="85"/>
        <v>0</v>
      </c>
      <c r="F217" s="81"/>
      <c r="G217" s="81"/>
      <c r="H217" s="81"/>
      <c r="I217" s="81"/>
      <c r="J217" s="81">
        <f t="shared" si="87"/>
        <v>0</v>
      </c>
      <c r="K217" s="81"/>
      <c r="L217" s="81"/>
      <c r="M217" s="81"/>
      <c r="N217" s="81"/>
      <c r="O217" s="81"/>
      <c r="P217" s="81">
        <f t="shared" si="86"/>
        <v>0</v>
      </c>
      <c r="Q217" s="26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</row>
    <row r="218" spans="1:525" s="121" customFormat="1" ht="31.5" customHeight="1" x14ac:dyDescent="0.25">
      <c r="A218" s="117" t="s">
        <v>303</v>
      </c>
      <c r="B218" s="118" t="str">
        <f>'дод 6'!A143</f>
        <v>3191</v>
      </c>
      <c r="C218" s="118" t="str">
        <f>'дод 6'!B143</f>
        <v>1030</v>
      </c>
      <c r="D218" s="122" t="str">
        <f>'дод 6'!C143</f>
        <v>Інші видатки на соціальний захист ветеранів війни та праці</v>
      </c>
      <c r="E218" s="81">
        <f t="shared" si="85"/>
        <v>3627399</v>
      </c>
      <c r="F218" s="81">
        <f>3535800-37674+493455-364182</f>
        <v>3627399</v>
      </c>
      <c r="G218" s="81"/>
      <c r="H218" s="81"/>
      <c r="I218" s="81"/>
      <c r="J218" s="81">
        <f t="shared" si="87"/>
        <v>0</v>
      </c>
      <c r="K218" s="81"/>
      <c r="L218" s="81"/>
      <c r="M218" s="81"/>
      <c r="N218" s="81"/>
      <c r="O218" s="81"/>
      <c r="P218" s="81">
        <f t="shared" si="86"/>
        <v>3627399</v>
      </c>
      <c r="Q218" s="26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</row>
    <row r="219" spans="1:525" s="121" customFormat="1" ht="54" customHeight="1" x14ac:dyDescent="0.25">
      <c r="A219" s="117" t="s">
        <v>304</v>
      </c>
      <c r="B219" s="118" t="str">
        <f>'дод 6'!A144</f>
        <v>3192</v>
      </c>
      <c r="C219" s="118" t="str">
        <f>'дод 6'!B144</f>
        <v>1030</v>
      </c>
      <c r="D219" s="122" t="str">
        <f>'дод 6'!C144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81">
        <f t="shared" si="85"/>
        <v>1978130</v>
      </c>
      <c r="F219" s="81">
        <v>1978130</v>
      </c>
      <c r="G219" s="81"/>
      <c r="H219" s="81"/>
      <c r="I219" s="81"/>
      <c r="J219" s="81">
        <f t="shared" si="87"/>
        <v>0</v>
      </c>
      <c r="K219" s="81"/>
      <c r="L219" s="81"/>
      <c r="M219" s="81"/>
      <c r="N219" s="81"/>
      <c r="O219" s="81"/>
      <c r="P219" s="81">
        <f t="shared" si="86"/>
        <v>1978130</v>
      </c>
      <c r="Q219" s="26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</row>
    <row r="220" spans="1:525" s="121" customFormat="1" ht="34.5" customHeight="1" x14ac:dyDescent="0.25">
      <c r="A220" s="117" t="s">
        <v>184</v>
      </c>
      <c r="B220" s="118" t="str">
        <f>'дод 6'!A145</f>
        <v>3200</v>
      </c>
      <c r="C220" s="118" t="str">
        <f>'дод 6'!B145</f>
        <v>1090</v>
      </c>
      <c r="D220" s="122" t="str">
        <f>'дод 6'!C145</f>
        <v>Забезпечення обробки інформації з нарахування та виплати допомог і компенсацій</v>
      </c>
      <c r="E220" s="81">
        <f t="shared" si="85"/>
        <v>101900</v>
      </c>
      <c r="F220" s="81">
        <v>101900</v>
      </c>
      <c r="G220" s="81"/>
      <c r="H220" s="81"/>
      <c r="I220" s="81"/>
      <c r="J220" s="81">
        <f t="shared" si="87"/>
        <v>0</v>
      </c>
      <c r="K220" s="81"/>
      <c r="L220" s="81"/>
      <c r="M220" s="81"/>
      <c r="N220" s="81"/>
      <c r="O220" s="81"/>
      <c r="P220" s="81">
        <f t="shared" si="86"/>
        <v>101900</v>
      </c>
      <c r="Q220" s="26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</row>
    <row r="221" spans="1:525" s="121" customFormat="1" ht="15.75" hidden="1" customHeight="1" x14ac:dyDescent="0.25">
      <c r="A221" s="129" t="s">
        <v>305</v>
      </c>
      <c r="B221" s="130" t="str">
        <f>'дод 6'!A146</f>
        <v>3210</v>
      </c>
      <c r="C221" s="130" t="str">
        <f>'дод 6'!B146</f>
        <v>1050</v>
      </c>
      <c r="D221" s="119" t="str">
        <f>'дод 6'!C146</f>
        <v>Організація та проведення громадських робіт</v>
      </c>
      <c r="E221" s="81">
        <f t="shared" si="85"/>
        <v>0</v>
      </c>
      <c r="F221" s="81"/>
      <c r="G221" s="81"/>
      <c r="H221" s="81"/>
      <c r="I221" s="81"/>
      <c r="J221" s="81">
        <f t="shared" si="87"/>
        <v>0</v>
      </c>
      <c r="K221" s="81"/>
      <c r="L221" s="81"/>
      <c r="M221" s="81"/>
      <c r="N221" s="81"/>
      <c r="O221" s="81"/>
      <c r="P221" s="81">
        <f t="shared" si="86"/>
        <v>0</v>
      </c>
      <c r="Q221" s="26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</row>
    <row r="222" spans="1:525" s="121" customFormat="1" ht="299.25" customHeight="1" x14ac:dyDescent="0.25">
      <c r="A222" s="129" t="s">
        <v>428</v>
      </c>
      <c r="B222" s="130">
        <v>3221</v>
      </c>
      <c r="C222" s="129" t="s">
        <v>52</v>
      </c>
      <c r="D222" s="119" t="str">
        <f>'дод 6'!C147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81">
        <f t="shared" si="85"/>
        <v>0</v>
      </c>
      <c r="F222" s="84"/>
      <c r="G222" s="81"/>
      <c r="H222" s="81"/>
      <c r="I222" s="81"/>
      <c r="J222" s="203">
        <f>L222+O222</f>
        <v>11655220.930000002</v>
      </c>
      <c r="K222" s="203">
        <f>11508703.3+0.01+172738.91-26221.29</f>
        <v>11655220.930000002</v>
      </c>
      <c r="L222" s="203"/>
      <c r="M222" s="203"/>
      <c r="N222" s="203"/>
      <c r="O222" s="203">
        <f>11508703.3+0.01+172738.91-26221.29</f>
        <v>11655220.930000002</v>
      </c>
      <c r="P222" s="203">
        <f t="shared" si="86"/>
        <v>11655220.930000002</v>
      </c>
      <c r="Q222" s="26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</row>
    <row r="223" spans="1:525" s="127" customFormat="1" ht="315" customHeight="1" x14ac:dyDescent="0.25">
      <c r="A223" s="134"/>
      <c r="B223" s="135"/>
      <c r="C223" s="134"/>
      <c r="D223" s="125" t="s">
        <v>715</v>
      </c>
      <c r="E223" s="81">
        <f t="shared" si="85"/>
        <v>0</v>
      </c>
      <c r="F223" s="85"/>
      <c r="G223" s="82"/>
      <c r="H223" s="82"/>
      <c r="I223" s="82"/>
      <c r="J223" s="204">
        <f t="shared" si="87"/>
        <v>11655220.930000002</v>
      </c>
      <c r="K223" s="204">
        <f>11508703.3+0.01+172738.91-26221.29</f>
        <v>11655220.930000002</v>
      </c>
      <c r="L223" s="204"/>
      <c r="M223" s="204"/>
      <c r="N223" s="204"/>
      <c r="O223" s="204">
        <f>11508703.3+0.01+172738.91-26221.29</f>
        <v>11655220.930000002</v>
      </c>
      <c r="P223" s="204">
        <f t="shared" si="86"/>
        <v>11655220.930000002</v>
      </c>
      <c r="Q223" s="260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  <c r="IU223" s="126"/>
      <c r="IV223" s="126"/>
      <c r="IW223" s="126"/>
      <c r="IX223" s="126"/>
      <c r="IY223" s="126"/>
      <c r="IZ223" s="126"/>
      <c r="JA223" s="126"/>
      <c r="JB223" s="126"/>
      <c r="JC223" s="126"/>
      <c r="JD223" s="126"/>
      <c r="JE223" s="126"/>
      <c r="JF223" s="126"/>
      <c r="JG223" s="126"/>
      <c r="JH223" s="126"/>
      <c r="JI223" s="126"/>
      <c r="JJ223" s="126"/>
      <c r="JK223" s="126"/>
      <c r="JL223" s="126"/>
      <c r="JM223" s="126"/>
      <c r="JN223" s="126"/>
      <c r="JO223" s="126"/>
      <c r="JP223" s="126"/>
      <c r="JQ223" s="126"/>
      <c r="JR223" s="126"/>
      <c r="JS223" s="126"/>
      <c r="JT223" s="126"/>
      <c r="JU223" s="126"/>
      <c r="JV223" s="126"/>
      <c r="JW223" s="126"/>
      <c r="JX223" s="126"/>
      <c r="JY223" s="126"/>
      <c r="JZ223" s="126"/>
      <c r="KA223" s="126"/>
      <c r="KB223" s="126"/>
      <c r="KC223" s="126"/>
      <c r="KD223" s="126"/>
      <c r="KE223" s="126"/>
      <c r="KF223" s="126"/>
      <c r="KG223" s="126"/>
      <c r="KH223" s="126"/>
      <c r="KI223" s="126"/>
      <c r="KJ223" s="126"/>
      <c r="KK223" s="126"/>
      <c r="KL223" s="126"/>
      <c r="KM223" s="126"/>
      <c r="KN223" s="126"/>
      <c r="KO223" s="126"/>
      <c r="KP223" s="126"/>
      <c r="KQ223" s="126"/>
      <c r="KR223" s="126"/>
      <c r="KS223" s="126"/>
      <c r="KT223" s="126"/>
      <c r="KU223" s="126"/>
      <c r="KV223" s="126"/>
      <c r="KW223" s="126"/>
      <c r="KX223" s="126"/>
      <c r="KY223" s="126"/>
      <c r="KZ223" s="126"/>
      <c r="LA223" s="126"/>
      <c r="LB223" s="126"/>
      <c r="LC223" s="126"/>
      <c r="LD223" s="126"/>
      <c r="LE223" s="126"/>
      <c r="LF223" s="126"/>
      <c r="LG223" s="126"/>
      <c r="LH223" s="126"/>
      <c r="LI223" s="126"/>
      <c r="LJ223" s="126"/>
      <c r="LK223" s="126"/>
      <c r="LL223" s="126"/>
      <c r="LM223" s="126"/>
      <c r="LN223" s="126"/>
      <c r="LO223" s="126"/>
      <c r="LP223" s="126"/>
      <c r="LQ223" s="126"/>
      <c r="LR223" s="126"/>
      <c r="LS223" s="126"/>
      <c r="LT223" s="126"/>
      <c r="LU223" s="126"/>
      <c r="LV223" s="126"/>
      <c r="LW223" s="126"/>
      <c r="LX223" s="126"/>
      <c r="LY223" s="126"/>
      <c r="LZ223" s="126"/>
      <c r="MA223" s="126"/>
      <c r="MB223" s="126"/>
      <c r="MC223" s="126"/>
      <c r="MD223" s="126"/>
      <c r="ME223" s="126"/>
      <c r="MF223" s="126"/>
      <c r="MG223" s="126"/>
      <c r="MH223" s="126"/>
      <c r="MI223" s="126"/>
      <c r="MJ223" s="126"/>
      <c r="MK223" s="126"/>
      <c r="ML223" s="126"/>
      <c r="MM223" s="126"/>
      <c r="MN223" s="126"/>
      <c r="MO223" s="126"/>
      <c r="MP223" s="126"/>
      <c r="MQ223" s="126"/>
      <c r="MR223" s="126"/>
      <c r="MS223" s="126"/>
      <c r="MT223" s="126"/>
      <c r="MU223" s="126"/>
      <c r="MV223" s="126"/>
      <c r="MW223" s="126"/>
      <c r="MX223" s="126"/>
      <c r="MY223" s="126"/>
      <c r="MZ223" s="126"/>
      <c r="NA223" s="126"/>
      <c r="NB223" s="126"/>
      <c r="NC223" s="126"/>
      <c r="ND223" s="126"/>
      <c r="NE223" s="126"/>
      <c r="NF223" s="126"/>
      <c r="NG223" s="126"/>
      <c r="NH223" s="126"/>
      <c r="NI223" s="126"/>
      <c r="NJ223" s="126"/>
      <c r="NK223" s="126"/>
      <c r="NL223" s="126"/>
      <c r="NM223" s="126"/>
      <c r="NN223" s="126"/>
      <c r="NO223" s="126"/>
      <c r="NP223" s="126"/>
      <c r="NQ223" s="126"/>
      <c r="NR223" s="126"/>
      <c r="NS223" s="126"/>
      <c r="NT223" s="126"/>
      <c r="NU223" s="126"/>
      <c r="NV223" s="126"/>
      <c r="NW223" s="126"/>
      <c r="NX223" s="126"/>
      <c r="NY223" s="126"/>
      <c r="NZ223" s="126"/>
      <c r="OA223" s="126"/>
      <c r="OB223" s="126"/>
      <c r="OC223" s="126"/>
      <c r="OD223" s="126"/>
      <c r="OE223" s="126"/>
      <c r="OF223" s="126"/>
      <c r="OG223" s="126"/>
      <c r="OH223" s="126"/>
      <c r="OI223" s="126"/>
      <c r="OJ223" s="126"/>
      <c r="OK223" s="126"/>
      <c r="OL223" s="126"/>
      <c r="OM223" s="126"/>
      <c r="ON223" s="126"/>
      <c r="OO223" s="126"/>
      <c r="OP223" s="126"/>
      <c r="OQ223" s="126"/>
      <c r="OR223" s="126"/>
      <c r="OS223" s="126"/>
      <c r="OT223" s="126"/>
      <c r="OU223" s="126"/>
      <c r="OV223" s="126"/>
      <c r="OW223" s="126"/>
      <c r="OX223" s="126"/>
      <c r="OY223" s="126"/>
      <c r="OZ223" s="126"/>
      <c r="PA223" s="126"/>
      <c r="PB223" s="126"/>
      <c r="PC223" s="126"/>
      <c r="PD223" s="126"/>
      <c r="PE223" s="126"/>
      <c r="PF223" s="126"/>
      <c r="PG223" s="126"/>
      <c r="PH223" s="126"/>
      <c r="PI223" s="126"/>
      <c r="PJ223" s="126"/>
      <c r="PK223" s="126"/>
      <c r="PL223" s="126"/>
      <c r="PM223" s="126"/>
      <c r="PN223" s="126"/>
      <c r="PO223" s="126"/>
      <c r="PP223" s="126"/>
      <c r="PQ223" s="126"/>
      <c r="PR223" s="126"/>
      <c r="PS223" s="126"/>
      <c r="PT223" s="126"/>
      <c r="PU223" s="126"/>
      <c r="PV223" s="126"/>
      <c r="PW223" s="126"/>
      <c r="PX223" s="126"/>
      <c r="PY223" s="126"/>
      <c r="PZ223" s="126"/>
      <c r="QA223" s="126"/>
      <c r="QB223" s="126"/>
      <c r="QC223" s="126"/>
      <c r="QD223" s="126"/>
      <c r="QE223" s="126"/>
      <c r="QF223" s="126"/>
      <c r="QG223" s="126"/>
      <c r="QH223" s="126"/>
      <c r="QI223" s="126"/>
      <c r="QJ223" s="126"/>
      <c r="QK223" s="126"/>
      <c r="QL223" s="126"/>
      <c r="QM223" s="126"/>
      <c r="QN223" s="126"/>
      <c r="QO223" s="126"/>
      <c r="QP223" s="126"/>
      <c r="QQ223" s="126"/>
      <c r="QR223" s="126"/>
      <c r="QS223" s="126"/>
      <c r="QT223" s="126"/>
      <c r="QU223" s="126"/>
      <c r="QV223" s="126"/>
      <c r="QW223" s="126"/>
      <c r="QX223" s="126"/>
      <c r="QY223" s="126"/>
      <c r="QZ223" s="126"/>
      <c r="RA223" s="126"/>
      <c r="RB223" s="126"/>
      <c r="RC223" s="126"/>
      <c r="RD223" s="126"/>
      <c r="RE223" s="126"/>
      <c r="RF223" s="126"/>
      <c r="RG223" s="126"/>
      <c r="RH223" s="126"/>
      <c r="RI223" s="126"/>
      <c r="RJ223" s="126"/>
      <c r="RK223" s="126"/>
      <c r="RL223" s="126"/>
      <c r="RM223" s="126"/>
      <c r="RN223" s="126"/>
      <c r="RO223" s="126"/>
      <c r="RP223" s="126"/>
      <c r="RQ223" s="126"/>
      <c r="RR223" s="126"/>
      <c r="RS223" s="126"/>
      <c r="RT223" s="126"/>
      <c r="RU223" s="126"/>
      <c r="RV223" s="126"/>
      <c r="RW223" s="126"/>
      <c r="RX223" s="126"/>
      <c r="RY223" s="126"/>
      <c r="RZ223" s="126"/>
      <c r="SA223" s="126"/>
      <c r="SB223" s="126"/>
      <c r="SC223" s="126"/>
      <c r="SD223" s="126"/>
      <c r="SE223" s="126"/>
      <c r="SF223" s="126"/>
      <c r="SG223" s="126"/>
      <c r="SH223" s="126"/>
      <c r="SI223" s="126"/>
      <c r="SJ223" s="126"/>
      <c r="SK223" s="126"/>
      <c r="SL223" s="126"/>
      <c r="SM223" s="126"/>
      <c r="SN223" s="126"/>
      <c r="SO223" s="126"/>
      <c r="SP223" s="126"/>
      <c r="SQ223" s="126"/>
      <c r="SR223" s="126"/>
      <c r="SS223" s="126"/>
      <c r="ST223" s="126"/>
      <c r="SU223" s="126"/>
      <c r="SV223" s="126"/>
      <c r="SW223" s="126"/>
      <c r="SX223" s="126"/>
      <c r="SY223" s="126"/>
      <c r="SZ223" s="126"/>
      <c r="TA223" s="126"/>
      <c r="TB223" s="126"/>
      <c r="TC223" s="126"/>
      <c r="TD223" s="126"/>
      <c r="TE223" s="126"/>
    </row>
    <row r="224" spans="1:525" s="121" customFormat="1" ht="296.25" customHeight="1" x14ac:dyDescent="0.25">
      <c r="A224" s="129" t="s">
        <v>524</v>
      </c>
      <c r="B224" s="130">
        <v>3222</v>
      </c>
      <c r="C224" s="129" t="s">
        <v>52</v>
      </c>
      <c r="D224" s="119" t="str">
        <f>'дод 6'!C149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81">
        <f t="shared" ref="E224:E225" si="88">F224+I224</f>
        <v>0</v>
      </c>
      <c r="F224" s="84"/>
      <c r="G224" s="81"/>
      <c r="H224" s="81"/>
      <c r="I224" s="81"/>
      <c r="J224" s="203">
        <f t="shared" ref="J224:J225" si="89">L224+O224</f>
        <v>14037705.65</v>
      </c>
      <c r="K224" s="203">
        <f>5160986.75+4769293.17+307923.75+3799501.98</f>
        <v>14037705.65</v>
      </c>
      <c r="L224" s="203"/>
      <c r="M224" s="203"/>
      <c r="N224" s="203"/>
      <c r="O224" s="203">
        <f>5160986.75+4769293.17+307923.75+3799501.98</f>
        <v>14037705.65</v>
      </c>
      <c r="P224" s="203">
        <f t="shared" si="86"/>
        <v>14037705.65</v>
      </c>
      <c r="Q224" s="26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</row>
    <row r="225" spans="1:525" s="127" customFormat="1" ht="318" customHeight="1" x14ac:dyDescent="0.25">
      <c r="A225" s="134"/>
      <c r="B225" s="135"/>
      <c r="C225" s="134"/>
      <c r="D225" s="125" t="s">
        <v>717</v>
      </c>
      <c r="E225" s="82">
        <f t="shared" si="88"/>
        <v>0</v>
      </c>
      <c r="F225" s="85"/>
      <c r="G225" s="82"/>
      <c r="H225" s="82"/>
      <c r="I225" s="82"/>
      <c r="J225" s="204">
        <f t="shared" si="89"/>
        <v>14037705.65</v>
      </c>
      <c r="K225" s="204">
        <f>5160986.75+4769293.17+307923.75+3799501.98</f>
        <v>14037705.65</v>
      </c>
      <c r="L225" s="204"/>
      <c r="M225" s="204"/>
      <c r="N225" s="204"/>
      <c r="O225" s="204">
        <f>5160986.75+4769293.17+307923.75+3799501.98</f>
        <v>14037705.65</v>
      </c>
      <c r="P225" s="204">
        <f t="shared" si="86"/>
        <v>14037705.65</v>
      </c>
      <c r="Q225" s="260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  <c r="HN225" s="126"/>
      <c r="HO225" s="126"/>
      <c r="HP225" s="126"/>
      <c r="HQ225" s="126"/>
      <c r="HR225" s="126"/>
      <c r="HS225" s="126"/>
      <c r="HT225" s="126"/>
      <c r="HU225" s="126"/>
      <c r="HV225" s="126"/>
      <c r="HW225" s="126"/>
      <c r="HX225" s="126"/>
      <c r="HY225" s="126"/>
      <c r="HZ225" s="126"/>
      <c r="IA225" s="126"/>
      <c r="IB225" s="126"/>
      <c r="IC225" s="126"/>
      <c r="ID225" s="126"/>
      <c r="IE225" s="126"/>
      <c r="IF225" s="126"/>
      <c r="IG225" s="126"/>
      <c r="IH225" s="126"/>
      <c r="II225" s="126"/>
      <c r="IJ225" s="126"/>
      <c r="IK225" s="126"/>
      <c r="IL225" s="126"/>
      <c r="IM225" s="126"/>
      <c r="IN225" s="126"/>
      <c r="IO225" s="126"/>
      <c r="IP225" s="126"/>
      <c r="IQ225" s="126"/>
      <c r="IR225" s="126"/>
      <c r="IS225" s="126"/>
      <c r="IT225" s="126"/>
      <c r="IU225" s="126"/>
      <c r="IV225" s="126"/>
      <c r="IW225" s="126"/>
      <c r="IX225" s="126"/>
      <c r="IY225" s="126"/>
      <c r="IZ225" s="126"/>
      <c r="JA225" s="126"/>
      <c r="JB225" s="126"/>
      <c r="JC225" s="126"/>
      <c r="JD225" s="126"/>
      <c r="JE225" s="126"/>
      <c r="JF225" s="126"/>
      <c r="JG225" s="126"/>
      <c r="JH225" s="126"/>
      <c r="JI225" s="126"/>
      <c r="JJ225" s="126"/>
      <c r="JK225" s="126"/>
      <c r="JL225" s="126"/>
      <c r="JM225" s="126"/>
      <c r="JN225" s="126"/>
      <c r="JO225" s="126"/>
      <c r="JP225" s="126"/>
      <c r="JQ225" s="126"/>
      <c r="JR225" s="126"/>
      <c r="JS225" s="126"/>
      <c r="JT225" s="126"/>
      <c r="JU225" s="126"/>
      <c r="JV225" s="126"/>
      <c r="JW225" s="126"/>
      <c r="JX225" s="126"/>
      <c r="JY225" s="126"/>
      <c r="JZ225" s="126"/>
      <c r="KA225" s="126"/>
      <c r="KB225" s="126"/>
      <c r="KC225" s="126"/>
      <c r="KD225" s="126"/>
      <c r="KE225" s="126"/>
      <c r="KF225" s="126"/>
      <c r="KG225" s="126"/>
      <c r="KH225" s="126"/>
      <c r="KI225" s="126"/>
      <c r="KJ225" s="126"/>
      <c r="KK225" s="126"/>
      <c r="KL225" s="126"/>
      <c r="KM225" s="126"/>
      <c r="KN225" s="126"/>
      <c r="KO225" s="126"/>
      <c r="KP225" s="126"/>
      <c r="KQ225" s="126"/>
      <c r="KR225" s="126"/>
      <c r="KS225" s="126"/>
      <c r="KT225" s="126"/>
      <c r="KU225" s="126"/>
      <c r="KV225" s="126"/>
      <c r="KW225" s="126"/>
      <c r="KX225" s="126"/>
      <c r="KY225" s="126"/>
      <c r="KZ225" s="126"/>
      <c r="LA225" s="126"/>
      <c r="LB225" s="126"/>
      <c r="LC225" s="126"/>
      <c r="LD225" s="126"/>
      <c r="LE225" s="126"/>
      <c r="LF225" s="126"/>
      <c r="LG225" s="126"/>
      <c r="LH225" s="126"/>
      <c r="LI225" s="126"/>
      <c r="LJ225" s="126"/>
      <c r="LK225" s="126"/>
      <c r="LL225" s="126"/>
      <c r="LM225" s="126"/>
      <c r="LN225" s="126"/>
      <c r="LO225" s="126"/>
      <c r="LP225" s="126"/>
      <c r="LQ225" s="126"/>
      <c r="LR225" s="126"/>
      <c r="LS225" s="126"/>
      <c r="LT225" s="126"/>
      <c r="LU225" s="126"/>
      <c r="LV225" s="126"/>
      <c r="LW225" s="126"/>
      <c r="LX225" s="126"/>
      <c r="LY225" s="126"/>
      <c r="LZ225" s="126"/>
      <c r="MA225" s="126"/>
      <c r="MB225" s="126"/>
      <c r="MC225" s="126"/>
      <c r="MD225" s="126"/>
      <c r="ME225" s="126"/>
      <c r="MF225" s="126"/>
      <c r="MG225" s="126"/>
      <c r="MH225" s="126"/>
      <c r="MI225" s="126"/>
      <c r="MJ225" s="126"/>
      <c r="MK225" s="126"/>
      <c r="ML225" s="126"/>
      <c r="MM225" s="126"/>
      <c r="MN225" s="126"/>
      <c r="MO225" s="126"/>
      <c r="MP225" s="126"/>
      <c r="MQ225" s="126"/>
      <c r="MR225" s="126"/>
      <c r="MS225" s="126"/>
      <c r="MT225" s="126"/>
      <c r="MU225" s="126"/>
      <c r="MV225" s="126"/>
      <c r="MW225" s="126"/>
      <c r="MX225" s="126"/>
      <c r="MY225" s="126"/>
      <c r="MZ225" s="126"/>
      <c r="NA225" s="126"/>
      <c r="NB225" s="126"/>
      <c r="NC225" s="126"/>
      <c r="ND225" s="126"/>
      <c r="NE225" s="126"/>
      <c r="NF225" s="126"/>
      <c r="NG225" s="126"/>
      <c r="NH225" s="126"/>
      <c r="NI225" s="126"/>
      <c r="NJ225" s="126"/>
      <c r="NK225" s="126"/>
      <c r="NL225" s="126"/>
      <c r="NM225" s="126"/>
      <c r="NN225" s="126"/>
      <c r="NO225" s="126"/>
      <c r="NP225" s="126"/>
      <c r="NQ225" s="126"/>
      <c r="NR225" s="126"/>
      <c r="NS225" s="126"/>
      <c r="NT225" s="126"/>
      <c r="NU225" s="126"/>
      <c r="NV225" s="126"/>
      <c r="NW225" s="126"/>
      <c r="NX225" s="126"/>
      <c r="NY225" s="126"/>
      <c r="NZ225" s="126"/>
      <c r="OA225" s="126"/>
      <c r="OB225" s="126"/>
      <c r="OC225" s="126"/>
      <c r="OD225" s="126"/>
      <c r="OE225" s="126"/>
      <c r="OF225" s="126"/>
      <c r="OG225" s="126"/>
      <c r="OH225" s="126"/>
      <c r="OI225" s="126"/>
      <c r="OJ225" s="126"/>
      <c r="OK225" s="126"/>
      <c r="OL225" s="126"/>
      <c r="OM225" s="126"/>
      <c r="ON225" s="126"/>
      <c r="OO225" s="126"/>
      <c r="OP225" s="126"/>
      <c r="OQ225" s="126"/>
      <c r="OR225" s="126"/>
      <c r="OS225" s="126"/>
      <c r="OT225" s="126"/>
      <c r="OU225" s="126"/>
      <c r="OV225" s="126"/>
      <c r="OW225" s="126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6"/>
      <c r="PW225" s="126"/>
      <c r="PX225" s="126"/>
      <c r="PY225" s="126"/>
      <c r="PZ225" s="126"/>
      <c r="QA225" s="126"/>
      <c r="QB225" s="126"/>
      <c r="QC225" s="126"/>
      <c r="QD225" s="126"/>
      <c r="QE225" s="126"/>
      <c r="QF225" s="126"/>
      <c r="QG225" s="126"/>
      <c r="QH225" s="126"/>
      <c r="QI225" s="126"/>
      <c r="QJ225" s="126"/>
      <c r="QK225" s="126"/>
      <c r="QL225" s="126"/>
      <c r="QM225" s="126"/>
      <c r="QN225" s="126"/>
      <c r="QO225" s="126"/>
      <c r="QP225" s="126"/>
      <c r="QQ225" s="126"/>
      <c r="QR225" s="126"/>
      <c r="QS225" s="126"/>
      <c r="QT225" s="126"/>
      <c r="QU225" s="126"/>
      <c r="QV225" s="126"/>
      <c r="QW225" s="126"/>
      <c r="QX225" s="126"/>
      <c r="QY225" s="126"/>
      <c r="QZ225" s="126"/>
      <c r="RA225" s="126"/>
      <c r="RB225" s="126"/>
      <c r="RC225" s="126"/>
      <c r="RD225" s="126"/>
      <c r="RE225" s="126"/>
      <c r="RF225" s="126"/>
      <c r="RG225" s="126"/>
      <c r="RH225" s="126"/>
      <c r="RI225" s="126"/>
      <c r="RJ225" s="126"/>
      <c r="RK225" s="126"/>
      <c r="RL225" s="126"/>
      <c r="RM225" s="126"/>
      <c r="RN225" s="126"/>
      <c r="RO225" s="126"/>
      <c r="RP225" s="126"/>
      <c r="RQ225" s="126"/>
      <c r="RR225" s="126"/>
      <c r="RS225" s="126"/>
      <c r="RT225" s="126"/>
      <c r="RU225" s="126"/>
      <c r="RV225" s="126"/>
      <c r="RW225" s="126"/>
      <c r="RX225" s="126"/>
      <c r="RY225" s="126"/>
      <c r="RZ225" s="126"/>
      <c r="SA225" s="126"/>
      <c r="SB225" s="126"/>
      <c r="SC225" s="126"/>
      <c r="SD225" s="126"/>
      <c r="SE225" s="126"/>
      <c r="SF225" s="126"/>
      <c r="SG225" s="126"/>
      <c r="SH225" s="126"/>
      <c r="SI225" s="126"/>
      <c r="SJ225" s="126"/>
      <c r="SK225" s="126"/>
      <c r="SL225" s="126"/>
      <c r="SM225" s="126"/>
      <c r="SN225" s="126"/>
      <c r="SO225" s="126"/>
      <c r="SP225" s="126"/>
      <c r="SQ225" s="126"/>
      <c r="SR225" s="126"/>
      <c r="SS225" s="126"/>
      <c r="ST225" s="126"/>
      <c r="SU225" s="126"/>
      <c r="SV225" s="126"/>
      <c r="SW225" s="126"/>
      <c r="SX225" s="126"/>
      <c r="SY225" s="126"/>
      <c r="SZ225" s="126"/>
      <c r="TA225" s="126"/>
      <c r="TB225" s="126"/>
      <c r="TC225" s="126"/>
      <c r="TD225" s="126"/>
      <c r="TE225" s="126"/>
    </row>
    <row r="226" spans="1:525" s="121" customFormat="1" ht="182.25" customHeight="1" x14ac:dyDescent="0.25">
      <c r="A226" s="129" t="s">
        <v>427</v>
      </c>
      <c r="B226" s="130">
        <v>3223</v>
      </c>
      <c r="C226" s="129" t="s">
        <v>52</v>
      </c>
      <c r="D226" s="119" t="str">
        <f>'дод 6'!C151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81">
        <f t="shared" si="85"/>
        <v>0</v>
      </c>
      <c r="F226" s="81"/>
      <c r="G226" s="81"/>
      <c r="H226" s="81"/>
      <c r="I226" s="81"/>
      <c r="J226" s="203">
        <f t="shared" si="87"/>
        <v>8627297.209999999</v>
      </c>
      <c r="K226" s="203">
        <f>6347716.55+2152001.88+127578.78</f>
        <v>8627297.209999999</v>
      </c>
      <c r="L226" s="203"/>
      <c r="M226" s="203"/>
      <c r="N226" s="203"/>
      <c r="O226" s="203">
        <f>6347716.55+2152001.88+127578.78</f>
        <v>8627297.209999999</v>
      </c>
      <c r="P226" s="203">
        <f t="shared" si="86"/>
        <v>8627297.209999999</v>
      </c>
      <c r="Q226" s="26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</row>
    <row r="227" spans="1:525" s="127" customFormat="1" ht="213" customHeight="1" x14ac:dyDescent="0.25">
      <c r="A227" s="134"/>
      <c r="B227" s="135"/>
      <c r="C227" s="134"/>
      <c r="D227" s="125" t="s">
        <v>716</v>
      </c>
      <c r="E227" s="82">
        <f t="shared" si="85"/>
        <v>0</v>
      </c>
      <c r="F227" s="82"/>
      <c r="G227" s="82"/>
      <c r="H227" s="82"/>
      <c r="I227" s="82"/>
      <c r="J227" s="204">
        <f t="shared" si="87"/>
        <v>8627297.209999999</v>
      </c>
      <c r="K227" s="204">
        <f>6347716.55+2152001.88+127578.78</f>
        <v>8627297.209999999</v>
      </c>
      <c r="L227" s="204"/>
      <c r="M227" s="204"/>
      <c r="N227" s="204"/>
      <c r="O227" s="204">
        <f>6347716.55+2152001.88+127578.78</f>
        <v>8627297.209999999</v>
      </c>
      <c r="P227" s="204">
        <f t="shared" si="86"/>
        <v>8627297.209999999</v>
      </c>
      <c r="Q227" s="260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  <c r="HN227" s="126"/>
      <c r="HO227" s="126"/>
      <c r="HP227" s="126"/>
      <c r="HQ227" s="126"/>
      <c r="HR227" s="126"/>
      <c r="HS227" s="126"/>
      <c r="HT227" s="126"/>
      <c r="HU227" s="126"/>
      <c r="HV227" s="126"/>
      <c r="HW227" s="126"/>
      <c r="HX227" s="126"/>
      <c r="HY227" s="126"/>
      <c r="HZ227" s="126"/>
      <c r="IA227" s="126"/>
      <c r="IB227" s="126"/>
      <c r="IC227" s="126"/>
      <c r="ID227" s="126"/>
      <c r="IE227" s="126"/>
      <c r="IF227" s="126"/>
      <c r="IG227" s="126"/>
      <c r="IH227" s="126"/>
      <c r="II227" s="126"/>
      <c r="IJ227" s="126"/>
      <c r="IK227" s="126"/>
      <c r="IL227" s="126"/>
      <c r="IM227" s="126"/>
      <c r="IN227" s="126"/>
      <c r="IO227" s="126"/>
      <c r="IP227" s="126"/>
      <c r="IQ227" s="126"/>
      <c r="IR227" s="126"/>
      <c r="IS227" s="126"/>
      <c r="IT227" s="126"/>
      <c r="IU227" s="126"/>
      <c r="IV227" s="126"/>
      <c r="IW227" s="126"/>
      <c r="IX227" s="126"/>
      <c r="IY227" s="126"/>
      <c r="IZ227" s="126"/>
      <c r="JA227" s="126"/>
      <c r="JB227" s="126"/>
      <c r="JC227" s="126"/>
      <c r="JD227" s="126"/>
      <c r="JE227" s="126"/>
      <c r="JF227" s="126"/>
      <c r="JG227" s="126"/>
      <c r="JH227" s="126"/>
      <c r="JI227" s="126"/>
      <c r="JJ227" s="126"/>
      <c r="JK227" s="126"/>
      <c r="JL227" s="126"/>
      <c r="JM227" s="126"/>
      <c r="JN227" s="126"/>
      <c r="JO227" s="126"/>
      <c r="JP227" s="126"/>
      <c r="JQ227" s="126"/>
      <c r="JR227" s="126"/>
      <c r="JS227" s="126"/>
      <c r="JT227" s="126"/>
      <c r="JU227" s="126"/>
      <c r="JV227" s="126"/>
      <c r="JW227" s="126"/>
      <c r="JX227" s="126"/>
      <c r="JY227" s="126"/>
      <c r="JZ227" s="126"/>
      <c r="KA227" s="126"/>
      <c r="KB227" s="126"/>
      <c r="KC227" s="126"/>
      <c r="KD227" s="126"/>
      <c r="KE227" s="126"/>
      <c r="KF227" s="126"/>
      <c r="KG227" s="126"/>
      <c r="KH227" s="126"/>
      <c r="KI227" s="126"/>
      <c r="KJ227" s="126"/>
      <c r="KK227" s="126"/>
      <c r="KL227" s="126"/>
      <c r="KM227" s="126"/>
      <c r="KN227" s="126"/>
      <c r="KO227" s="126"/>
      <c r="KP227" s="126"/>
      <c r="KQ227" s="126"/>
      <c r="KR227" s="126"/>
      <c r="KS227" s="126"/>
      <c r="KT227" s="126"/>
      <c r="KU227" s="126"/>
      <c r="KV227" s="126"/>
      <c r="KW227" s="126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6"/>
      <c r="LO227" s="126"/>
      <c r="LP227" s="126"/>
      <c r="LQ227" s="126"/>
      <c r="LR227" s="126"/>
      <c r="LS227" s="126"/>
      <c r="LT227" s="126"/>
      <c r="LU227" s="126"/>
      <c r="LV227" s="126"/>
      <c r="LW227" s="126"/>
      <c r="LX227" s="126"/>
      <c r="LY227" s="126"/>
      <c r="LZ227" s="126"/>
      <c r="MA227" s="126"/>
      <c r="MB227" s="126"/>
      <c r="MC227" s="126"/>
      <c r="MD227" s="126"/>
      <c r="ME227" s="126"/>
      <c r="MF227" s="126"/>
      <c r="MG227" s="126"/>
      <c r="MH227" s="126"/>
      <c r="MI227" s="126"/>
      <c r="MJ227" s="126"/>
      <c r="MK227" s="126"/>
      <c r="ML227" s="126"/>
      <c r="MM227" s="126"/>
      <c r="MN227" s="126"/>
      <c r="MO227" s="126"/>
      <c r="MP227" s="126"/>
      <c r="MQ227" s="126"/>
      <c r="MR227" s="126"/>
      <c r="MS227" s="126"/>
      <c r="MT227" s="126"/>
      <c r="MU227" s="126"/>
      <c r="MV227" s="126"/>
      <c r="MW227" s="126"/>
      <c r="MX227" s="126"/>
      <c r="MY227" s="126"/>
      <c r="MZ227" s="126"/>
      <c r="NA227" s="126"/>
      <c r="NB227" s="126"/>
      <c r="NC227" s="126"/>
      <c r="ND227" s="126"/>
      <c r="NE227" s="126"/>
      <c r="NF227" s="126"/>
      <c r="NG227" s="126"/>
      <c r="NH227" s="126"/>
      <c r="NI227" s="126"/>
      <c r="NJ227" s="126"/>
      <c r="NK227" s="126"/>
      <c r="NL227" s="126"/>
      <c r="NM227" s="126"/>
      <c r="NN227" s="126"/>
      <c r="NO227" s="126"/>
      <c r="NP227" s="126"/>
      <c r="NQ227" s="126"/>
      <c r="NR227" s="126"/>
      <c r="NS227" s="126"/>
      <c r="NT227" s="126"/>
      <c r="NU227" s="126"/>
      <c r="NV227" s="126"/>
      <c r="NW227" s="126"/>
      <c r="NX227" s="126"/>
      <c r="NY227" s="126"/>
      <c r="NZ227" s="126"/>
      <c r="OA227" s="126"/>
      <c r="OB227" s="126"/>
      <c r="OC227" s="126"/>
      <c r="OD227" s="126"/>
      <c r="OE227" s="126"/>
      <c r="OF227" s="126"/>
      <c r="OG227" s="126"/>
      <c r="OH227" s="126"/>
      <c r="OI227" s="126"/>
      <c r="OJ227" s="126"/>
      <c r="OK227" s="126"/>
      <c r="OL227" s="126"/>
      <c r="OM227" s="126"/>
      <c r="ON227" s="126"/>
      <c r="OO227" s="126"/>
      <c r="OP227" s="126"/>
      <c r="OQ227" s="126"/>
      <c r="OR227" s="126"/>
      <c r="OS227" s="126"/>
      <c r="OT227" s="126"/>
      <c r="OU227" s="126"/>
      <c r="OV227" s="126"/>
      <c r="OW227" s="126"/>
      <c r="OX227" s="126"/>
      <c r="OY227" s="126"/>
      <c r="OZ227" s="126"/>
      <c r="PA227" s="126"/>
      <c r="PB227" s="126"/>
      <c r="PC227" s="126"/>
      <c r="PD227" s="126"/>
      <c r="PE227" s="126"/>
      <c r="PF227" s="126"/>
      <c r="PG227" s="126"/>
      <c r="PH227" s="126"/>
      <c r="PI227" s="126"/>
      <c r="PJ227" s="126"/>
      <c r="PK227" s="126"/>
      <c r="PL227" s="126"/>
      <c r="PM227" s="126"/>
      <c r="PN227" s="126"/>
      <c r="PO227" s="126"/>
      <c r="PP227" s="126"/>
      <c r="PQ227" s="126"/>
      <c r="PR227" s="126"/>
      <c r="PS227" s="126"/>
      <c r="PT227" s="126"/>
      <c r="PU227" s="126"/>
      <c r="PV227" s="126"/>
      <c r="PW227" s="126"/>
      <c r="PX227" s="126"/>
      <c r="PY227" s="126"/>
      <c r="PZ227" s="126"/>
      <c r="QA227" s="126"/>
      <c r="QB227" s="126"/>
      <c r="QC227" s="126"/>
      <c r="QD227" s="126"/>
      <c r="QE227" s="126"/>
      <c r="QF227" s="126"/>
      <c r="QG227" s="126"/>
      <c r="QH227" s="126"/>
      <c r="QI227" s="126"/>
      <c r="QJ227" s="126"/>
      <c r="QK227" s="126"/>
      <c r="QL227" s="126"/>
      <c r="QM227" s="126"/>
      <c r="QN227" s="126"/>
      <c r="QO227" s="126"/>
      <c r="QP227" s="126"/>
      <c r="QQ227" s="126"/>
      <c r="QR227" s="126"/>
      <c r="QS227" s="126"/>
      <c r="QT227" s="126"/>
      <c r="QU227" s="126"/>
      <c r="QV227" s="126"/>
      <c r="QW227" s="126"/>
      <c r="QX227" s="126"/>
      <c r="QY227" s="126"/>
      <c r="QZ227" s="126"/>
      <c r="RA227" s="126"/>
      <c r="RB227" s="126"/>
      <c r="RC227" s="126"/>
      <c r="RD227" s="126"/>
      <c r="RE227" s="126"/>
      <c r="RF227" s="126"/>
      <c r="RG227" s="126"/>
      <c r="RH227" s="126"/>
      <c r="RI227" s="126"/>
      <c r="RJ227" s="126"/>
      <c r="RK227" s="126"/>
      <c r="RL227" s="126"/>
      <c r="RM227" s="126"/>
      <c r="RN227" s="126"/>
      <c r="RO227" s="126"/>
      <c r="RP227" s="126"/>
      <c r="RQ227" s="126"/>
      <c r="RR227" s="126"/>
      <c r="RS227" s="126"/>
      <c r="RT227" s="126"/>
      <c r="RU227" s="126"/>
      <c r="RV227" s="126"/>
      <c r="RW227" s="126"/>
      <c r="RX227" s="126"/>
      <c r="RY227" s="126"/>
      <c r="RZ227" s="126"/>
      <c r="SA227" s="126"/>
      <c r="SB227" s="126"/>
      <c r="SC227" s="126"/>
      <c r="SD227" s="126"/>
      <c r="SE227" s="126"/>
      <c r="SF227" s="126"/>
      <c r="SG227" s="126"/>
      <c r="SH227" s="126"/>
      <c r="SI227" s="126"/>
      <c r="SJ227" s="126"/>
      <c r="SK227" s="126"/>
      <c r="SL227" s="126"/>
      <c r="SM227" s="126"/>
      <c r="SN227" s="126"/>
      <c r="SO227" s="126"/>
      <c r="SP227" s="126"/>
      <c r="SQ227" s="126"/>
      <c r="SR227" s="126"/>
      <c r="SS227" s="126"/>
      <c r="ST227" s="126"/>
      <c r="SU227" s="126"/>
      <c r="SV227" s="126"/>
      <c r="SW227" s="126"/>
      <c r="SX227" s="126"/>
      <c r="SY227" s="126"/>
      <c r="SZ227" s="126"/>
      <c r="TA227" s="126"/>
      <c r="TB227" s="126"/>
      <c r="TC227" s="126"/>
      <c r="TD227" s="126"/>
      <c r="TE227" s="126"/>
    </row>
    <row r="228" spans="1:525" s="121" customFormat="1" ht="37.5" customHeight="1" x14ac:dyDescent="0.25">
      <c r="A228" s="117" t="s">
        <v>302</v>
      </c>
      <c r="B228" s="118" t="str">
        <f>'дод 6'!A153</f>
        <v>3241</v>
      </c>
      <c r="C228" s="118" t="str">
        <f>'дод 6'!B153</f>
        <v>1090</v>
      </c>
      <c r="D228" s="122" t="str">
        <f>'дод 6'!C153</f>
        <v>Забезпечення діяльності інших закладів у сфері соціального захисту і соціального забезпечення</v>
      </c>
      <c r="E228" s="81">
        <f t="shared" si="85"/>
        <v>5081800</v>
      </c>
      <c r="F228" s="81">
        <f>5137300+1800-27500-29800</f>
        <v>5081800</v>
      </c>
      <c r="G228" s="81">
        <v>2446700</v>
      </c>
      <c r="H228" s="81">
        <f>442700-27500-29800</f>
        <v>385400</v>
      </c>
      <c r="I228" s="81"/>
      <c r="J228" s="81">
        <f t="shared" ref="J228:J235" si="90">L228+O228</f>
        <v>0</v>
      </c>
      <c r="K228" s="81"/>
      <c r="L228" s="81"/>
      <c r="M228" s="81"/>
      <c r="N228" s="81"/>
      <c r="O228" s="81"/>
      <c r="P228" s="81">
        <f t="shared" si="86"/>
        <v>5081800</v>
      </c>
      <c r="Q228" s="26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</row>
    <row r="229" spans="1:525" s="121" customFormat="1" ht="33" customHeight="1" x14ac:dyDescent="0.25">
      <c r="A229" s="117" t="s">
        <v>350</v>
      </c>
      <c r="B229" s="118" t="str">
        <f>'дод 6'!A154</f>
        <v>3242</v>
      </c>
      <c r="C229" s="118" t="str">
        <f>'дод 6'!B154</f>
        <v>1090</v>
      </c>
      <c r="D229" s="122" t="s">
        <v>666</v>
      </c>
      <c r="E229" s="81">
        <f t="shared" si="85"/>
        <v>280794145</v>
      </c>
      <c r="F229" s="81">
        <f>249483300+290400+196000+850+300000+175720+100000+69245+500000+150000+37674+600000+200000+150000+60000+90000+200000+1662100+44000+20000+200000+2802000+300000+195000+9945000+50000+5000000+500000+100000+300000+200000+130000+1000000+15000+14494+516000+1250000+1275400-327320-52800+1940400+50000+484182+300000+47500-670000+520000+150000+200000+30000</f>
        <v>280794145</v>
      </c>
      <c r="G229" s="81"/>
      <c r="H229" s="81"/>
      <c r="I229" s="81"/>
      <c r="J229" s="81">
        <f t="shared" si="90"/>
        <v>0</v>
      </c>
      <c r="K229" s="81">
        <f>17735-17735</f>
        <v>0</v>
      </c>
      <c r="L229" s="81"/>
      <c r="M229" s="81"/>
      <c r="N229" s="81"/>
      <c r="O229" s="81">
        <f>17735-17735</f>
        <v>0</v>
      </c>
      <c r="P229" s="81">
        <f t="shared" si="86"/>
        <v>280794145</v>
      </c>
      <c r="Q229" s="26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</row>
    <row r="230" spans="1:525" s="127" customFormat="1" ht="15" customHeight="1" x14ac:dyDescent="0.25">
      <c r="A230" s="123"/>
      <c r="B230" s="144"/>
      <c r="C230" s="144"/>
      <c r="D230" s="143" t="s">
        <v>388</v>
      </c>
      <c r="E230" s="82">
        <f t="shared" si="85"/>
        <v>237600</v>
      </c>
      <c r="F230" s="82">
        <f>290400-14400-38400</f>
        <v>237600</v>
      </c>
      <c r="G230" s="82"/>
      <c r="H230" s="82"/>
      <c r="I230" s="82"/>
      <c r="J230" s="82">
        <f t="shared" si="90"/>
        <v>0</v>
      </c>
      <c r="K230" s="82"/>
      <c r="L230" s="82"/>
      <c r="M230" s="82"/>
      <c r="N230" s="82"/>
      <c r="O230" s="82"/>
      <c r="P230" s="82">
        <f t="shared" si="86"/>
        <v>237600</v>
      </c>
      <c r="Q230" s="260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  <c r="HN230" s="126"/>
      <c r="HO230" s="126"/>
      <c r="HP230" s="126"/>
      <c r="HQ230" s="126"/>
      <c r="HR230" s="126"/>
      <c r="HS230" s="126"/>
      <c r="HT230" s="126"/>
      <c r="HU230" s="126"/>
      <c r="HV230" s="126"/>
      <c r="HW230" s="126"/>
      <c r="HX230" s="126"/>
      <c r="HY230" s="126"/>
      <c r="HZ230" s="126"/>
      <c r="IA230" s="126"/>
      <c r="IB230" s="126"/>
      <c r="IC230" s="126"/>
      <c r="ID230" s="126"/>
      <c r="IE230" s="126"/>
      <c r="IF230" s="126"/>
      <c r="IG230" s="126"/>
      <c r="IH230" s="126"/>
      <c r="II230" s="126"/>
      <c r="IJ230" s="126"/>
      <c r="IK230" s="126"/>
      <c r="IL230" s="126"/>
      <c r="IM230" s="126"/>
      <c r="IN230" s="126"/>
      <c r="IO230" s="126"/>
      <c r="IP230" s="126"/>
      <c r="IQ230" s="126"/>
      <c r="IR230" s="126"/>
      <c r="IS230" s="126"/>
      <c r="IT230" s="126"/>
      <c r="IU230" s="126"/>
      <c r="IV230" s="126"/>
      <c r="IW230" s="126"/>
      <c r="IX230" s="126"/>
      <c r="IY230" s="126"/>
      <c r="IZ230" s="126"/>
      <c r="JA230" s="126"/>
      <c r="JB230" s="126"/>
      <c r="JC230" s="126"/>
      <c r="JD230" s="126"/>
      <c r="JE230" s="126"/>
      <c r="JF230" s="126"/>
      <c r="JG230" s="126"/>
      <c r="JH230" s="126"/>
      <c r="JI230" s="126"/>
      <c r="JJ230" s="126"/>
      <c r="JK230" s="126"/>
      <c r="JL230" s="126"/>
      <c r="JM230" s="126"/>
      <c r="JN230" s="126"/>
      <c r="JO230" s="126"/>
      <c r="JP230" s="126"/>
      <c r="JQ230" s="126"/>
      <c r="JR230" s="126"/>
      <c r="JS230" s="126"/>
      <c r="JT230" s="126"/>
      <c r="JU230" s="126"/>
      <c r="JV230" s="126"/>
      <c r="JW230" s="126"/>
      <c r="JX230" s="126"/>
      <c r="JY230" s="126"/>
      <c r="JZ230" s="126"/>
      <c r="KA230" s="126"/>
      <c r="KB230" s="126"/>
      <c r="KC230" s="126"/>
      <c r="KD230" s="126"/>
      <c r="KE230" s="126"/>
      <c r="KF230" s="126"/>
      <c r="KG230" s="126"/>
      <c r="KH230" s="126"/>
      <c r="KI230" s="126"/>
      <c r="KJ230" s="126"/>
      <c r="KK230" s="126"/>
      <c r="KL230" s="126"/>
      <c r="KM230" s="126"/>
      <c r="KN230" s="126"/>
      <c r="KO230" s="126"/>
      <c r="KP230" s="126"/>
      <c r="KQ230" s="126"/>
      <c r="KR230" s="126"/>
      <c r="KS230" s="126"/>
      <c r="KT230" s="126"/>
      <c r="KU230" s="126"/>
      <c r="KV230" s="126"/>
      <c r="KW230" s="126"/>
      <c r="KX230" s="126"/>
      <c r="KY230" s="126"/>
      <c r="KZ230" s="126"/>
      <c r="LA230" s="126"/>
      <c r="LB230" s="126"/>
      <c r="LC230" s="126"/>
      <c r="LD230" s="126"/>
      <c r="LE230" s="126"/>
      <c r="LF230" s="126"/>
      <c r="LG230" s="126"/>
      <c r="LH230" s="126"/>
      <c r="LI230" s="126"/>
      <c r="LJ230" s="126"/>
      <c r="LK230" s="126"/>
      <c r="LL230" s="126"/>
      <c r="LM230" s="126"/>
      <c r="LN230" s="126"/>
      <c r="LO230" s="126"/>
      <c r="LP230" s="126"/>
      <c r="LQ230" s="126"/>
      <c r="LR230" s="126"/>
      <c r="LS230" s="126"/>
      <c r="LT230" s="126"/>
      <c r="LU230" s="126"/>
      <c r="LV230" s="126"/>
      <c r="LW230" s="126"/>
      <c r="LX230" s="126"/>
      <c r="LY230" s="126"/>
      <c r="LZ230" s="126"/>
      <c r="MA230" s="126"/>
      <c r="MB230" s="126"/>
      <c r="MC230" s="126"/>
      <c r="MD230" s="126"/>
      <c r="ME230" s="126"/>
      <c r="MF230" s="126"/>
      <c r="MG230" s="126"/>
      <c r="MH230" s="126"/>
      <c r="MI230" s="126"/>
      <c r="MJ230" s="126"/>
      <c r="MK230" s="126"/>
      <c r="ML230" s="126"/>
      <c r="MM230" s="126"/>
      <c r="MN230" s="126"/>
      <c r="MO230" s="126"/>
      <c r="MP230" s="126"/>
      <c r="MQ230" s="126"/>
      <c r="MR230" s="126"/>
      <c r="MS230" s="126"/>
      <c r="MT230" s="126"/>
      <c r="MU230" s="126"/>
      <c r="MV230" s="126"/>
      <c r="MW230" s="126"/>
      <c r="MX230" s="126"/>
      <c r="MY230" s="126"/>
      <c r="MZ230" s="126"/>
      <c r="NA230" s="126"/>
      <c r="NB230" s="126"/>
      <c r="NC230" s="126"/>
      <c r="ND230" s="126"/>
      <c r="NE230" s="126"/>
      <c r="NF230" s="126"/>
      <c r="NG230" s="126"/>
      <c r="NH230" s="126"/>
      <c r="NI230" s="126"/>
      <c r="NJ230" s="126"/>
      <c r="NK230" s="126"/>
      <c r="NL230" s="126"/>
      <c r="NM230" s="126"/>
      <c r="NN230" s="126"/>
      <c r="NO230" s="126"/>
      <c r="NP230" s="126"/>
      <c r="NQ230" s="126"/>
      <c r="NR230" s="126"/>
      <c r="NS230" s="126"/>
      <c r="NT230" s="126"/>
      <c r="NU230" s="126"/>
      <c r="NV230" s="126"/>
      <c r="NW230" s="126"/>
      <c r="NX230" s="126"/>
      <c r="NY230" s="126"/>
      <c r="NZ230" s="126"/>
      <c r="OA230" s="126"/>
      <c r="OB230" s="126"/>
      <c r="OC230" s="126"/>
      <c r="OD230" s="126"/>
      <c r="OE230" s="126"/>
      <c r="OF230" s="126"/>
      <c r="OG230" s="126"/>
      <c r="OH230" s="126"/>
      <c r="OI230" s="126"/>
      <c r="OJ230" s="126"/>
      <c r="OK230" s="126"/>
      <c r="OL230" s="126"/>
      <c r="OM230" s="126"/>
      <c r="ON230" s="126"/>
      <c r="OO230" s="126"/>
      <c r="OP230" s="126"/>
      <c r="OQ230" s="126"/>
      <c r="OR230" s="126"/>
      <c r="OS230" s="126"/>
      <c r="OT230" s="126"/>
      <c r="OU230" s="126"/>
      <c r="OV230" s="126"/>
      <c r="OW230" s="126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6"/>
      <c r="PW230" s="126"/>
      <c r="PX230" s="126"/>
      <c r="PY230" s="126"/>
      <c r="PZ230" s="126"/>
      <c r="QA230" s="126"/>
      <c r="QB230" s="126"/>
      <c r="QC230" s="126"/>
      <c r="QD230" s="126"/>
      <c r="QE230" s="126"/>
      <c r="QF230" s="126"/>
      <c r="QG230" s="126"/>
      <c r="QH230" s="126"/>
      <c r="QI230" s="126"/>
      <c r="QJ230" s="126"/>
      <c r="QK230" s="126"/>
      <c r="QL230" s="126"/>
      <c r="QM230" s="126"/>
      <c r="QN230" s="126"/>
      <c r="QO230" s="126"/>
      <c r="QP230" s="126"/>
      <c r="QQ230" s="126"/>
      <c r="QR230" s="126"/>
      <c r="QS230" s="126"/>
      <c r="QT230" s="126"/>
      <c r="QU230" s="126"/>
      <c r="QV230" s="126"/>
      <c r="QW230" s="126"/>
      <c r="QX230" s="126"/>
      <c r="QY230" s="126"/>
      <c r="QZ230" s="126"/>
      <c r="RA230" s="126"/>
      <c r="RB230" s="126"/>
      <c r="RC230" s="126"/>
      <c r="RD230" s="126"/>
      <c r="RE230" s="126"/>
      <c r="RF230" s="126"/>
      <c r="RG230" s="126"/>
      <c r="RH230" s="126"/>
      <c r="RI230" s="126"/>
      <c r="RJ230" s="126"/>
      <c r="RK230" s="126"/>
      <c r="RL230" s="126"/>
      <c r="RM230" s="126"/>
      <c r="RN230" s="126"/>
      <c r="RO230" s="126"/>
      <c r="RP230" s="126"/>
      <c r="RQ230" s="126"/>
      <c r="RR230" s="126"/>
      <c r="RS230" s="126"/>
      <c r="RT230" s="126"/>
      <c r="RU230" s="126"/>
      <c r="RV230" s="126"/>
      <c r="RW230" s="126"/>
      <c r="RX230" s="126"/>
      <c r="RY230" s="126"/>
      <c r="RZ230" s="126"/>
      <c r="SA230" s="126"/>
      <c r="SB230" s="126"/>
      <c r="SC230" s="126"/>
      <c r="SD230" s="126"/>
      <c r="SE230" s="126"/>
      <c r="SF230" s="126"/>
      <c r="SG230" s="126"/>
      <c r="SH230" s="126"/>
      <c r="SI230" s="126"/>
      <c r="SJ230" s="126"/>
      <c r="SK230" s="126"/>
      <c r="SL230" s="126"/>
      <c r="SM230" s="126"/>
      <c r="SN230" s="126"/>
      <c r="SO230" s="126"/>
      <c r="SP230" s="126"/>
      <c r="SQ230" s="126"/>
      <c r="SR230" s="126"/>
      <c r="SS230" s="126"/>
      <c r="ST230" s="126"/>
      <c r="SU230" s="126"/>
      <c r="SV230" s="126"/>
      <c r="SW230" s="126"/>
      <c r="SX230" s="126"/>
      <c r="SY230" s="126"/>
      <c r="SZ230" s="126"/>
      <c r="TA230" s="126"/>
      <c r="TB230" s="126"/>
      <c r="TC230" s="126"/>
      <c r="TD230" s="126"/>
      <c r="TE230" s="126"/>
    </row>
    <row r="231" spans="1:525" s="121" customFormat="1" ht="31.5" hidden="1" customHeight="1" x14ac:dyDescent="0.25">
      <c r="A231" s="117" t="s">
        <v>408</v>
      </c>
      <c r="B231" s="118">
        <v>7323</v>
      </c>
      <c r="C231" s="117" t="s">
        <v>110</v>
      </c>
      <c r="D231" s="132" t="str">
        <f>'дод 6'!C203</f>
        <v>Будівництво1 установ та закладів соціальної сфери</v>
      </c>
      <c r="E231" s="81">
        <f t="shared" si="85"/>
        <v>0</v>
      </c>
      <c r="F231" s="81"/>
      <c r="G231" s="81"/>
      <c r="H231" s="81"/>
      <c r="I231" s="81"/>
      <c r="J231" s="81">
        <f t="shared" si="90"/>
        <v>0</v>
      </c>
      <c r="K231" s="81"/>
      <c r="L231" s="81"/>
      <c r="M231" s="81"/>
      <c r="N231" s="81"/>
      <c r="O231" s="81"/>
      <c r="P231" s="81">
        <f t="shared" si="86"/>
        <v>0</v>
      </c>
      <c r="Q231" s="26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</row>
    <row r="232" spans="1:525" s="121" customFormat="1" ht="15.75" x14ac:dyDescent="0.25">
      <c r="A232" s="117" t="s">
        <v>554</v>
      </c>
      <c r="B232" s="118">
        <v>7640</v>
      </c>
      <c r="C232" s="147" t="s">
        <v>85</v>
      </c>
      <c r="D232" s="128" t="s">
        <v>413</v>
      </c>
      <c r="E232" s="81">
        <f t="shared" si="85"/>
        <v>70000</v>
      </c>
      <c r="F232" s="81">
        <v>70000</v>
      </c>
      <c r="G232" s="81"/>
      <c r="H232" s="81"/>
      <c r="I232" s="81"/>
      <c r="J232" s="81">
        <f t="shared" si="90"/>
        <v>26000</v>
      </c>
      <c r="K232" s="81">
        <v>26000</v>
      </c>
      <c r="L232" s="81"/>
      <c r="M232" s="81"/>
      <c r="N232" s="81"/>
      <c r="O232" s="81">
        <v>26000</v>
      </c>
      <c r="P232" s="81">
        <f t="shared" si="86"/>
        <v>96000</v>
      </c>
      <c r="Q232" s="26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1" customFormat="1" ht="66" hidden="1" customHeight="1" x14ac:dyDescent="0.25">
      <c r="A233" s="117" t="s">
        <v>594</v>
      </c>
      <c r="B233" s="118">
        <f>'дод 6'!A273</f>
        <v>8751</v>
      </c>
      <c r="C233" s="118">
        <f>'дод 6'!B273</f>
        <v>1070</v>
      </c>
      <c r="D233" s="153" t="str">
        <f>'дод 6'!C273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81">
        <f>F233</f>
        <v>0</v>
      </c>
      <c r="F233" s="81"/>
      <c r="G233" s="81"/>
      <c r="H233" s="81"/>
      <c r="I233" s="81"/>
      <c r="J233" s="81">
        <f t="shared" ref="J233" si="91">L233+O233</f>
        <v>0</v>
      </c>
      <c r="K233" s="81"/>
      <c r="L233" s="81"/>
      <c r="M233" s="81"/>
      <c r="N233" s="81"/>
      <c r="O233" s="81"/>
      <c r="P233" s="81">
        <f t="shared" ref="P233" si="92">E233+J233</f>
        <v>0</v>
      </c>
      <c r="Q233" s="26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</row>
    <row r="234" spans="1:525" s="121" customFormat="1" ht="38.25" hidden="1" customHeight="1" x14ac:dyDescent="0.25">
      <c r="A234" s="129" t="s">
        <v>588</v>
      </c>
      <c r="B234" s="130">
        <v>8775</v>
      </c>
      <c r="C234" s="129" t="s">
        <v>92</v>
      </c>
      <c r="D234" s="119" t="s">
        <v>585</v>
      </c>
      <c r="E234" s="81">
        <f>F234</f>
        <v>0</v>
      </c>
      <c r="F234" s="81"/>
      <c r="G234" s="81"/>
      <c r="H234" s="81"/>
      <c r="I234" s="81"/>
      <c r="J234" s="81">
        <f t="shared" si="90"/>
        <v>0</v>
      </c>
      <c r="K234" s="81"/>
      <c r="L234" s="81"/>
      <c r="M234" s="81"/>
      <c r="N234" s="81"/>
      <c r="O234" s="81"/>
      <c r="P234" s="81">
        <f t="shared" si="86"/>
        <v>0</v>
      </c>
      <c r="Q234" s="26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</row>
    <row r="235" spans="1:525" s="121" customFormat="1" ht="22.5" hidden="1" customHeight="1" x14ac:dyDescent="0.25">
      <c r="A235" s="117" t="s">
        <v>262</v>
      </c>
      <c r="B235" s="118" t="str">
        <f>'дод 6'!A286</f>
        <v>9770</v>
      </c>
      <c r="C235" s="118" t="str">
        <f>'дод 6'!B286</f>
        <v>0180</v>
      </c>
      <c r="D235" s="122" t="str">
        <f>'дод 6'!C286</f>
        <v>Інші субвенції з місцевого бюджету</v>
      </c>
      <c r="E235" s="81">
        <f t="shared" si="85"/>
        <v>0</v>
      </c>
      <c r="F235" s="81"/>
      <c r="G235" s="81"/>
      <c r="H235" s="81"/>
      <c r="I235" s="81"/>
      <c r="J235" s="81">
        <f t="shared" si="90"/>
        <v>0</v>
      </c>
      <c r="K235" s="81"/>
      <c r="L235" s="81"/>
      <c r="M235" s="81"/>
      <c r="N235" s="81"/>
      <c r="O235" s="81"/>
      <c r="P235" s="81">
        <f t="shared" si="86"/>
        <v>0</v>
      </c>
      <c r="Q235" s="26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</row>
    <row r="236" spans="1:525" s="111" customFormat="1" ht="31.5" x14ac:dyDescent="0.25">
      <c r="A236" s="136" t="s">
        <v>185</v>
      </c>
      <c r="B236" s="137"/>
      <c r="C236" s="137"/>
      <c r="D236" s="138" t="s">
        <v>358</v>
      </c>
      <c r="E236" s="79">
        <f>E237</f>
        <v>6108547</v>
      </c>
      <c r="F236" s="79">
        <f t="shared" ref="F236:J236" si="93">F237</f>
        <v>6108547</v>
      </c>
      <c r="G236" s="79">
        <f t="shared" si="93"/>
        <v>4530500</v>
      </c>
      <c r="H236" s="79">
        <f t="shared" si="93"/>
        <v>95400</v>
      </c>
      <c r="I236" s="79">
        <f t="shared" si="93"/>
        <v>0</v>
      </c>
      <c r="J236" s="79">
        <f t="shared" si="93"/>
        <v>0</v>
      </c>
      <c r="K236" s="79">
        <f t="shared" ref="K236" si="94">K237</f>
        <v>0</v>
      </c>
      <c r="L236" s="79">
        <f t="shared" ref="L236" si="95">L237</f>
        <v>0</v>
      </c>
      <c r="M236" s="79">
        <f t="shared" ref="M236" si="96">M237</f>
        <v>0</v>
      </c>
      <c r="N236" s="79">
        <f t="shared" ref="N236" si="97">N237</f>
        <v>0</v>
      </c>
      <c r="O236" s="79">
        <f t="shared" ref="O236:P236" si="98">O237</f>
        <v>0</v>
      </c>
      <c r="P236" s="79">
        <f t="shared" si="98"/>
        <v>6108547</v>
      </c>
      <c r="Q236" s="26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  <c r="FB236" s="110"/>
      <c r="FC236" s="110"/>
      <c r="FD236" s="110"/>
      <c r="FE236" s="110"/>
      <c r="FF236" s="110"/>
      <c r="FG236" s="110"/>
      <c r="FH236" s="110"/>
      <c r="FI236" s="110"/>
      <c r="FJ236" s="110"/>
      <c r="FK236" s="110"/>
      <c r="FL236" s="110"/>
      <c r="FM236" s="110"/>
      <c r="FN236" s="110"/>
      <c r="FO236" s="110"/>
      <c r="FP236" s="110"/>
      <c r="FQ236" s="110"/>
      <c r="FR236" s="110"/>
      <c r="FS236" s="110"/>
      <c r="FT236" s="110"/>
      <c r="FU236" s="110"/>
      <c r="FV236" s="110"/>
      <c r="FW236" s="110"/>
      <c r="FX236" s="110"/>
      <c r="FY236" s="110"/>
      <c r="FZ236" s="110"/>
      <c r="GA236" s="110"/>
      <c r="GB236" s="110"/>
      <c r="GC236" s="110"/>
      <c r="GD236" s="110"/>
      <c r="GE236" s="110"/>
      <c r="GF236" s="110"/>
      <c r="GG236" s="110"/>
      <c r="GH236" s="110"/>
      <c r="GI236" s="110"/>
      <c r="GJ236" s="110"/>
      <c r="GK236" s="110"/>
      <c r="GL236" s="110"/>
      <c r="GM236" s="110"/>
      <c r="GN236" s="110"/>
      <c r="GO236" s="110"/>
      <c r="GP236" s="110"/>
      <c r="GQ236" s="110"/>
      <c r="GR236" s="110"/>
      <c r="GS236" s="110"/>
      <c r="GT236" s="110"/>
      <c r="GU236" s="110"/>
      <c r="GV236" s="110"/>
      <c r="GW236" s="110"/>
      <c r="GX236" s="110"/>
      <c r="GY236" s="110"/>
      <c r="GZ236" s="110"/>
      <c r="HA236" s="110"/>
      <c r="HB236" s="110"/>
      <c r="HC236" s="110"/>
      <c r="HD236" s="110"/>
      <c r="HE236" s="110"/>
      <c r="HF236" s="110"/>
      <c r="HG236" s="110"/>
      <c r="HH236" s="110"/>
      <c r="HI236" s="110"/>
      <c r="HJ236" s="110"/>
      <c r="HK236" s="110"/>
      <c r="HL236" s="110"/>
      <c r="HM236" s="110"/>
      <c r="HN236" s="110"/>
      <c r="HO236" s="110"/>
      <c r="HP236" s="110"/>
      <c r="HQ236" s="110"/>
      <c r="HR236" s="110"/>
      <c r="HS236" s="110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0"/>
      <c r="JJ236" s="110"/>
      <c r="JK236" s="110"/>
      <c r="JL236" s="110"/>
      <c r="JM236" s="110"/>
      <c r="JN236" s="110"/>
      <c r="JO236" s="110"/>
      <c r="JP236" s="110"/>
      <c r="JQ236" s="110"/>
      <c r="JR236" s="110"/>
      <c r="JS236" s="110"/>
      <c r="JT236" s="110"/>
      <c r="JU236" s="110"/>
      <c r="JV236" s="110"/>
      <c r="JW236" s="110"/>
      <c r="JX236" s="110"/>
      <c r="JY236" s="110"/>
      <c r="JZ236" s="110"/>
      <c r="KA236" s="110"/>
      <c r="KB236" s="110"/>
      <c r="KC236" s="110"/>
      <c r="KD236" s="110"/>
      <c r="KE236" s="110"/>
      <c r="KF236" s="110"/>
      <c r="KG236" s="110"/>
      <c r="KH236" s="110"/>
      <c r="KI236" s="110"/>
      <c r="KJ236" s="110"/>
      <c r="KK236" s="110"/>
      <c r="KL236" s="110"/>
      <c r="KM236" s="110"/>
      <c r="KN236" s="110"/>
      <c r="KO236" s="110"/>
      <c r="KP236" s="110"/>
      <c r="KQ236" s="110"/>
      <c r="KR236" s="110"/>
      <c r="KS236" s="110"/>
      <c r="KT236" s="110"/>
      <c r="KU236" s="110"/>
      <c r="KV236" s="110"/>
      <c r="KW236" s="110"/>
      <c r="KX236" s="110"/>
      <c r="KY236" s="110"/>
      <c r="KZ236" s="110"/>
      <c r="LA236" s="110"/>
      <c r="LB236" s="110"/>
      <c r="LC236" s="110"/>
      <c r="LD236" s="110"/>
      <c r="LE236" s="110"/>
      <c r="LF236" s="110"/>
      <c r="LG236" s="110"/>
      <c r="LH236" s="110"/>
      <c r="LI236" s="110"/>
      <c r="LJ236" s="110"/>
      <c r="LK236" s="110"/>
      <c r="LL236" s="110"/>
      <c r="LM236" s="110"/>
      <c r="LN236" s="110"/>
      <c r="LO236" s="110"/>
      <c r="LP236" s="110"/>
      <c r="LQ236" s="110"/>
      <c r="LR236" s="110"/>
      <c r="LS236" s="110"/>
      <c r="LT236" s="110"/>
      <c r="LU236" s="110"/>
      <c r="LV236" s="110"/>
      <c r="LW236" s="110"/>
      <c r="LX236" s="110"/>
      <c r="LY236" s="110"/>
      <c r="LZ236" s="110"/>
      <c r="MA236" s="110"/>
      <c r="MB236" s="110"/>
      <c r="MC236" s="110"/>
      <c r="MD236" s="110"/>
      <c r="ME236" s="110"/>
      <c r="MF236" s="110"/>
      <c r="MG236" s="110"/>
      <c r="MH236" s="110"/>
      <c r="MI236" s="110"/>
      <c r="MJ236" s="110"/>
      <c r="MK236" s="110"/>
      <c r="ML236" s="110"/>
      <c r="MM236" s="110"/>
      <c r="MN236" s="110"/>
      <c r="MO236" s="110"/>
      <c r="MP236" s="110"/>
      <c r="MQ236" s="110"/>
      <c r="MR236" s="110"/>
      <c r="MS236" s="110"/>
      <c r="MT236" s="110"/>
      <c r="MU236" s="110"/>
      <c r="MV236" s="110"/>
      <c r="MW236" s="110"/>
      <c r="MX236" s="110"/>
      <c r="MY236" s="110"/>
      <c r="MZ236" s="110"/>
      <c r="NA236" s="110"/>
      <c r="NB236" s="110"/>
      <c r="NC236" s="110"/>
      <c r="ND236" s="110"/>
      <c r="NE236" s="110"/>
      <c r="NF236" s="110"/>
      <c r="NG236" s="110"/>
      <c r="NH236" s="110"/>
      <c r="NI236" s="110"/>
      <c r="NJ236" s="110"/>
      <c r="NK236" s="110"/>
      <c r="NL236" s="110"/>
      <c r="NM236" s="110"/>
      <c r="NN236" s="110"/>
      <c r="NO236" s="110"/>
      <c r="NP236" s="110"/>
      <c r="NQ236" s="110"/>
      <c r="NR236" s="110"/>
      <c r="NS236" s="110"/>
      <c r="NT236" s="110"/>
      <c r="NU236" s="110"/>
      <c r="NV236" s="110"/>
      <c r="NW236" s="110"/>
      <c r="NX236" s="110"/>
      <c r="NY236" s="110"/>
      <c r="NZ236" s="110"/>
      <c r="OA236" s="110"/>
      <c r="OB236" s="110"/>
      <c r="OC236" s="110"/>
      <c r="OD236" s="110"/>
      <c r="OE236" s="110"/>
      <c r="OF236" s="110"/>
      <c r="OG236" s="110"/>
      <c r="OH236" s="110"/>
      <c r="OI236" s="110"/>
      <c r="OJ236" s="110"/>
      <c r="OK236" s="110"/>
      <c r="OL236" s="110"/>
      <c r="OM236" s="110"/>
      <c r="ON236" s="110"/>
      <c r="OO236" s="110"/>
      <c r="OP236" s="110"/>
      <c r="OQ236" s="110"/>
      <c r="OR236" s="110"/>
      <c r="OS236" s="110"/>
      <c r="OT236" s="110"/>
      <c r="OU236" s="110"/>
      <c r="OV236" s="110"/>
      <c r="OW236" s="110"/>
      <c r="OX236" s="110"/>
      <c r="OY236" s="110"/>
      <c r="OZ236" s="110"/>
      <c r="PA236" s="110"/>
      <c r="PB236" s="110"/>
      <c r="PC236" s="110"/>
      <c r="PD236" s="110"/>
      <c r="PE236" s="110"/>
      <c r="PF236" s="110"/>
      <c r="PG236" s="110"/>
      <c r="PH236" s="110"/>
      <c r="PI236" s="110"/>
      <c r="PJ236" s="110"/>
      <c r="PK236" s="110"/>
      <c r="PL236" s="110"/>
      <c r="PM236" s="110"/>
      <c r="PN236" s="110"/>
      <c r="PO236" s="110"/>
      <c r="PP236" s="110"/>
      <c r="PQ236" s="110"/>
      <c r="PR236" s="110"/>
      <c r="PS236" s="110"/>
      <c r="PT236" s="110"/>
      <c r="PU236" s="110"/>
      <c r="PV236" s="110"/>
      <c r="PW236" s="110"/>
      <c r="PX236" s="110"/>
      <c r="PY236" s="110"/>
      <c r="PZ236" s="110"/>
      <c r="QA236" s="110"/>
      <c r="QB236" s="110"/>
      <c r="QC236" s="110"/>
      <c r="QD236" s="110"/>
      <c r="QE236" s="110"/>
      <c r="QF236" s="110"/>
      <c r="QG236" s="110"/>
      <c r="QH236" s="110"/>
      <c r="QI236" s="110"/>
      <c r="QJ236" s="110"/>
      <c r="QK236" s="110"/>
      <c r="QL236" s="110"/>
      <c r="QM236" s="110"/>
      <c r="QN236" s="110"/>
      <c r="QO236" s="110"/>
      <c r="QP236" s="110"/>
      <c r="QQ236" s="110"/>
      <c r="QR236" s="110"/>
      <c r="QS236" s="110"/>
      <c r="QT236" s="110"/>
      <c r="QU236" s="110"/>
      <c r="QV236" s="110"/>
      <c r="QW236" s="110"/>
      <c r="QX236" s="110"/>
      <c r="QY236" s="110"/>
      <c r="QZ236" s="110"/>
      <c r="RA236" s="110"/>
      <c r="RB236" s="110"/>
      <c r="RC236" s="110"/>
      <c r="RD236" s="110"/>
      <c r="RE236" s="110"/>
      <c r="RF236" s="110"/>
      <c r="RG236" s="110"/>
      <c r="RH236" s="110"/>
      <c r="RI236" s="110"/>
      <c r="RJ236" s="110"/>
      <c r="RK236" s="110"/>
      <c r="RL236" s="110"/>
      <c r="RM236" s="110"/>
      <c r="RN236" s="110"/>
      <c r="RO236" s="110"/>
      <c r="RP236" s="110"/>
      <c r="RQ236" s="110"/>
      <c r="RR236" s="110"/>
      <c r="RS236" s="110"/>
      <c r="RT236" s="110"/>
      <c r="RU236" s="110"/>
      <c r="RV236" s="110"/>
      <c r="RW236" s="110"/>
      <c r="RX236" s="110"/>
      <c r="RY236" s="110"/>
      <c r="RZ236" s="110"/>
      <c r="SA236" s="110"/>
      <c r="SB236" s="110"/>
      <c r="SC236" s="110"/>
      <c r="SD236" s="110"/>
      <c r="SE236" s="110"/>
      <c r="SF236" s="110"/>
      <c r="SG236" s="110"/>
      <c r="SH236" s="110"/>
      <c r="SI236" s="110"/>
      <c r="SJ236" s="110"/>
      <c r="SK236" s="110"/>
      <c r="SL236" s="110"/>
      <c r="SM236" s="110"/>
      <c r="SN236" s="110"/>
      <c r="SO236" s="110"/>
      <c r="SP236" s="110"/>
      <c r="SQ236" s="110"/>
      <c r="SR236" s="110"/>
      <c r="SS236" s="110"/>
      <c r="ST236" s="110"/>
      <c r="SU236" s="110"/>
      <c r="SV236" s="110"/>
      <c r="SW236" s="110"/>
      <c r="SX236" s="110"/>
      <c r="SY236" s="110"/>
      <c r="SZ236" s="110"/>
      <c r="TA236" s="110"/>
      <c r="TB236" s="110"/>
      <c r="TC236" s="110"/>
      <c r="TD236" s="110"/>
      <c r="TE236" s="110"/>
    </row>
    <row r="237" spans="1:525" s="116" customFormat="1" ht="31.5" x14ac:dyDescent="0.25">
      <c r="A237" s="139" t="s">
        <v>186</v>
      </c>
      <c r="B237" s="140"/>
      <c r="C237" s="140"/>
      <c r="D237" s="114" t="s">
        <v>358</v>
      </c>
      <c r="E237" s="80">
        <f>E239+E240+E241+E243+E242</f>
        <v>6108547</v>
      </c>
      <c r="F237" s="80">
        <f t="shared" ref="F237:P237" si="99">F239+F240+F241+F243+F242</f>
        <v>6108547</v>
      </c>
      <c r="G237" s="80">
        <f t="shared" si="99"/>
        <v>4530500</v>
      </c>
      <c r="H237" s="80">
        <f t="shared" si="99"/>
        <v>95400</v>
      </c>
      <c r="I237" s="80">
        <f t="shared" si="99"/>
        <v>0</v>
      </c>
      <c r="J237" s="80">
        <f t="shared" si="99"/>
        <v>0</v>
      </c>
      <c r="K237" s="80">
        <f t="shared" si="99"/>
        <v>0</v>
      </c>
      <c r="L237" s="80">
        <f t="shared" si="99"/>
        <v>0</v>
      </c>
      <c r="M237" s="80">
        <f t="shared" si="99"/>
        <v>0</v>
      </c>
      <c r="N237" s="80">
        <f t="shared" si="99"/>
        <v>0</v>
      </c>
      <c r="O237" s="80">
        <f t="shared" si="99"/>
        <v>0</v>
      </c>
      <c r="P237" s="80">
        <f t="shared" si="99"/>
        <v>6108547</v>
      </c>
      <c r="Q237" s="260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  <c r="OH237" s="115"/>
      <c r="OI237" s="115"/>
      <c r="OJ237" s="115"/>
      <c r="OK237" s="115"/>
      <c r="OL237" s="115"/>
      <c r="OM237" s="115"/>
      <c r="ON237" s="115"/>
      <c r="OO237" s="115"/>
      <c r="OP237" s="115"/>
      <c r="OQ237" s="115"/>
      <c r="OR237" s="115"/>
      <c r="OS237" s="115"/>
      <c r="OT237" s="115"/>
      <c r="OU237" s="115"/>
      <c r="OV237" s="115"/>
      <c r="OW237" s="115"/>
      <c r="OX237" s="115"/>
      <c r="OY237" s="115"/>
      <c r="OZ237" s="115"/>
      <c r="PA237" s="115"/>
      <c r="PB237" s="115"/>
      <c r="PC237" s="115"/>
      <c r="PD237" s="115"/>
      <c r="PE237" s="115"/>
      <c r="PF237" s="115"/>
      <c r="PG237" s="115"/>
      <c r="PH237" s="115"/>
      <c r="PI237" s="115"/>
      <c r="PJ237" s="115"/>
      <c r="PK237" s="115"/>
      <c r="PL237" s="115"/>
      <c r="PM237" s="115"/>
      <c r="PN237" s="115"/>
      <c r="PO237" s="115"/>
      <c r="PP237" s="115"/>
      <c r="PQ237" s="115"/>
      <c r="PR237" s="115"/>
      <c r="PS237" s="115"/>
      <c r="PT237" s="115"/>
      <c r="PU237" s="115"/>
      <c r="PV237" s="115"/>
      <c r="PW237" s="115"/>
      <c r="PX237" s="115"/>
      <c r="PY237" s="115"/>
      <c r="PZ237" s="115"/>
      <c r="QA237" s="115"/>
      <c r="QB237" s="115"/>
      <c r="QC237" s="115"/>
      <c r="QD237" s="115"/>
      <c r="QE237" s="115"/>
      <c r="QF237" s="115"/>
      <c r="QG237" s="115"/>
      <c r="QH237" s="115"/>
      <c r="QI237" s="115"/>
      <c r="QJ237" s="115"/>
      <c r="QK237" s="115"/>
      <c r="QL237" s="115"/>
      <c r="QM237" s="115"/>
      <c r="QN237" s="115"/>
      <c r="QO237" s="115"/>
      <c r="QP237" s="115"/>
      <c r="QQ237" s="115"/>
      <c r="QR237" s="115"/>
      <c r="QS237" s="115"/>
      <c r="QT237" s="115"/>
      <c r="QU237" s="115"/>
      <c r="QV237" s="115"/>
      <c r="QW237" s="115"/>
      <c r="QX237" s="115"/>
      <c r="QY237" s="115"/>
      <c r="QZ237" s="115"/>
      <c r="RA237" s="115"/>
      <c r="RB237" s="115"/>
      <c r="RC237" s="115"/>
      <c r="RD237" s="115"/>
      <c r="RE237" s="115"/>
      <c r="RF237" s="115"/>
      <c r="RG237" s="115"/>
      <c r="RH237" s="115"/>
      <c r="RI237" s="115"/>
      <c r="RJ237" s="115"/>
      <c r="RK237" s="115"/>
      <c r="RL237" s="115"/>
      <c r="RM237" s="115"/>
      <c r="RN237" s="115"/>
      <c r="RO237" s="115"/>
      <c r="RP237" s="115"/>
      <c r="RQ237" s="115"/>
      <c r="RR237" s="115"/>
      <c r="RS237" s="115"/>
      <c r="RT237" s="115"/>
      <c r="RU237" s="115"/>
      <c r="RV237" s="115"/>
      <c r="RW237" s="115"/>
      <c r="RX237" s="115"/>
      <c r="RY237" s="115"/>
      <c r="RZ237" s="115"/>
      <c r="SA237" s="115"/>
      <c r="SB237" s="115"/>
      <c r="SC237" s="115"/>
      <c r="SD237" s="115"/>
      <c r="SE237" s="115"/>
      <c r="SF237" s="115"/>
      <c r="SG237" s="115"/>
      <c r="SH237" s="115"/>
      <c r="SI237" s="115"/>
      <c r="SJ237" s="115"/>
      <c r="SK237" s="115"/>
      <c r="SL237" s="115"/>
      <c r="SM237" s="115"/>
      <c r="SN237" s="115"/>
      <c r="SO237" s="115"/>
      <c r="SP237" s="115"/>
      <c r="SQ237" s="115"/>
      <c r="SR237" s="115"/>
      <c r="SS237" s="115"/>
      <c r="ST237" s="115"/>
      <c r="SU237" s="115"/>
      <c r="SV237" s="115"/>
      <c r="SW237" s="115"/>
      <c r="SX237" s="115"/>
      <c r="SY237" s="115"/>
      <c r="SZ237" s="115"/>
      <c r="TA237" s="115"/>
      <c r="TB237" s="115"/>
      <c r="TC237" s="115"/>
      <c r="TD237" s="115"/>
      <c r="TE237" s="115"/>
    </row>
    <row r="238" spans="1:525" s="116" customFormat="1" ht="141.75" hidden="1" customHeight="1" x14ac:dyDescent="0.25">
      <c r="A238" s="139"/>
      <c r="B238" s="140"/>
      <c r="C238" s="140"/>
      <c r="D238" s="154" t="s">
        <v>548</v>
      </c>
      <c r="E238" s="80">
        <f>E244</f>
        <v>0</v>
      </c>
      <c r="F238" s="80">
        <f t="shared" ref="F238:P238" si="100">F244</f>
        <v>0</v>
      </c>
      <c r="G238" s="80">
        <f t="shared" si="100"/>
        <v>0</v>
      </c>
      <c r="H238" s="80">
        <f t="shared" si="100"/>
        <v>0</v>
      </c>
      <c r="I238" s="80">
        <f t="shared" si="100"/>
        <v>0</v>
      </c>
      <c r="J238" s="80">
        <f t="shared" si="100"/>
        <v>0</v>
      </c>
      <c r="K238" s="80">
        <f t="shared" si="100"/>
        <v>0</v>
      </c>
      <c r="L238" s="80">
        <f t="shared" si="100"/>
        <v>0</v>
      </c>
      <c r="M238" s="80">
        <f t="shared" si="100"/>
        <v>0</v>
      </c>
      <c r="N238" s="80">
        <f t="shared" si="100"/>
        <v>0</v>
      </c>
      <c r="O238" s="80">
        <f t="shared" si="100"/>
        <v>0</v>
      </c>
      <c r="P238" s="80">
        <f t="shared" si="100"/>
        <v>0</v>
      </c>
      <c r="Q238" s="260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  <c r="OH238" s="115"/>
      <c r="OI238" s="115"/>
      <c r="OJ238" s="115"/>
      <c r="OK238" s="115"/>
      <c r="OL238" s="115"/>
      <c r="OM238" s="115"/>
      <c r="ON238" s="115"/>
      <c r="OO238" s="115"/>
      <c r="OP238" s="115"/>
      <c r="OQ238" s="115"/>
      <c r="OR238" s="115"/>
      <c r="OS238" s="115"/>
      <c r="OT238" s="115"/>
      <c r="OU238" s="115"/>
      <c r="OV238" s="115"/>
      <c r="OW238" s="115"/>
      <c r="OX238" s="115"/>
      <c r="OY238" s="115"/>
      <c r="OZ238" s="115"/>
      <c r="PA238" s="115"/>
      <c r="PB238" s="115"/>
      <c r="PC238" s="115"/>
      <c r="PD238" s="115"/>
      <c r="PE238" s="115"/>
      <c r="PF238" s="115"/>
      <c r="PG238" s="115"/>
      <c r="PH238" s="115"/>
      <c r="PI238" s="115"/>
      <c r="PJ238" s="115"/>
      <c r="PK238" s="115"/>
      <c r="PL238" s="115"/>
      <c r="PM238" s="115"/>
      <c r="PN238" s="115"/>
      <c r="PO238" s="115"/>
      <c r="PP238" s="115"/>
      <c r="PQ238" s="115"/>
      <c r="PR238" s="115"/>
      <c r="PS238" s="115"/>
      <c r="PT238" s="115"/>
      <c r="PU238" s="115"/>
      <c r="PV238" s="115"/>
      <c r="PW238" s="115"/>
      <c r="PX238" s="115"/>
      <c r="PY238" s="115"/>
      <c r="PZ238" s="115"/>
      <c r="QA238" s="115"/>
      <c r="QB238" s="115"/>
      <c r="QC238" s="115"/>
      <c r="QD238" s="115"/>
      <c r="QE238" s="115"/>
      <c r="QF238" s="115"/>
      <c r="QG238" s="115"/>
      <c r="QH238" s="115"/>
      <c r="QI238" s="115"/>
      <c r="QJ238" s="115"/>
      <c r="QK238" s="115"/>
      <c r="QL238" s="115"/>
      <c r="QM238" s="115"/>
      <c r="QN238" s="115"/>
      <c r="QO238" s="115"/>
      <c r="QP238" s="115"/>
      <c r="QQ238" s="115"/>
      <c r="QR238" s="115"/>
      <c r="QS238" s="115"/>
      <c r="QT238" s="115"/>
      <c r="QU238" s="115"/>
      <c r="QV238" s="115"/>
      <c r="QW238" s="115"/>
      <c r="QX238" s="115"/>
      <c r="QY238" s="115"/>
      <c r="QZ238" s="115"/>
      <c r="RA238" s="115"/>
      <c r="RB238" s="115"/>
      <c r="RC238" s="115"/>
      <c r="RD238" s="115"/>
      <c r="RE238" s="115"/>
      <c r="RF238" s="115"/>
      <c r="RG238" s="115"/>
      <c r="RH238" s="115"/>
      <c r="RI238" s="115"/>
      <c r="RJ238" s="115"/>
      <c r="RK238" s="115"/>
      <c r="RL238" s="115"/>
      <c r="RM238" s="115"/>
      <c r="RN238" s="115"/>
      <c r="RO238" s="115"/>
      <c r="RP238" s="115"/>
      <c r="RQ238" s="115"/>
      <c r="RR238" s="115"/>
      <c r="RS238" s="115"/>
      <c r="RT238" s="115"/>
      <c r="RU238" s="115"/>
      <c r="RV238" s="115"/>
      <c r="RW238" s="115"/>
      <c r="RX238" s="115"/>
      <c r="RY238" s="115"/>
      <c r="RZ238" s="115"/>
      <c r="SA238" s="115"/>
      <c r="SB238" s="115"/>
      <c r="SC238" s="115"/>
      <c r="SD238" s="115"/>
      <c r="SE238" s="115"/>
      <c r="SF238" s="115"/>
      <c r="SG238" s="115"/>
      <c r="SH238" s="115"/>
      <c r="SI238" s="115"/>
      <c r="SJ238" s="115"/>
      <c r="SK238" s="115"/>
      <c r="SL238" s="115"/>
      <c r="SM238" s="115"/>
      <c r="SN238" s="115"/>
      <c r="SO238" s="115"/>
      <c r="SP238" s="115"/>
      <c r="SQ238" s="115"/>
      <c r="SR238" s="115"/>
      <c r="SS238" s="115"/>
      <c r="ST238" s="115"/>
      <c r="SU238" s="115"/>
      <c r="SV238" s="115"/>
      <c r="SW238" s="115"/>
      <c r="SX238" s="115"/>
      <c r="SY238" s="115"/>
      <c r="SZ238" s="115"/>
      <c r="TA238" s="115"/>
      <c r="TB238" s="115"/>
      <c r="TC238" s="115"/>
      <c r="TD238" s="115"/>
      <c r="TE238" s="115"/>
    </row>
    <row r="239" spans="1:525" s="121" customFormat="1" ht="47.25" x14ac:dyDescent="0.25">
      <c r="A239" s="117" t="s">
        <v>187</v>
      </c>
      <c r="B239" s="118" t="str">
        <f>'дод 6'!A16</f>
        <v>0160</v>
      </c>
      <c r="C239" s="118" t="str">
        <f>'дод 6'!B16</f>
        <v>0111</v>
      </c>
      <c r="D239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239" s="81">
        <f t="shared" ref="E239:E244" si="101">F239+I239</f>
        <v>5851724</v>
      </c>
      <c r="F239" s="81">
        <f>6185200+2708+9216-329000-16400</f>
        <v>5851724</v>
      </c>
      <c r="G239" s="81">
        <f>4800200-269700</f>
        <v>4530500</v>
      </c>
      <c r="H239" s="81">
        <f>110800-16400+1000</f>
        <v>95400</v>
      </c>
      <c r="I239" s="81"/>
      <c r="J239" s="81">
        <f>L239+O239</f>
        <v>0</v>
      </c>
      <c r="K239" s="81">
        <f>12000-12000</f>
        <v>0</v>
      </c>
      <c r="L239" s="81"/>
      <c r="M239" s="81"/>
      <c r="N239" s="81"/>
      <c r="O239" s="81">
        <f>12000-12000</f>
        <v>0</v>
      </c>
      <c r="P239" s="81">
        <f t="shared" ref="P239:P244" si="102">E239+J239</f>
        <v>5851724</v>
      </c>
      <c r="Q239" s="26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</row>
    <row r="240" spans="1:525" s="121" customFormat="1" ht="84.75" customHeight="1" x14ac:dyDescent="0.25">
      <c r="A240" s="117" t="s">
        <v>329</v>
      </c>
      <c r="B240" s="118">
        <v>3111</v>
      </c>
      <c r="C240" s="118">
        <v>1040</v>
      </c>
      <c r="D240" s="119" t="str">
        <f>'дод 6'!C131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81">
        <f t="shared" si="101"/>
        <v>105000</v>
      </c>
      <c r="F240" s="81">
        <v>105000</v>
      </c>
      <c r="G240" s="81"/>
      <c r="H240" s="81"/>
      <c r="I240" s="81"/>
      <c r="J240" s="81">
        <f t="shared" ref="J240:J244" si="103">L240+O240</f>
        <v>0</v>
      </c>
      <c r="K240" s="81">
        <f>21140-21140</f>
        <v>0</v>
      </c>
      <c r="L240" s="81"/>
      <c r="M240" s="81"/>
      <c r="N240" s="81"/>
      <c r="O240" s="81">
        <f>21140-21140</f>
        <v>0</v>
      </c>
      <c r="P240" s="81">
        <f t="shared" si="102"/>
        <v>105000</v>
      </c>
      <c r="Q240" s="225">
        <v>20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</row>
    <row r="241" spans="1:525" s="121" customFormat="1" ht="31.5" customHeight="1" x14ac:dyDescent="0.25">
      <c r="A241" s="117" t="s">
        <v>188</v>
      </c>
      <c r="B241" s="118" t="str">
        <f>'дод 6'!A132</f>
        <v>3112</v>
      </c>
      <c r="C241" s="118" t="str">
        <f>'дод 6'!B132</f>
        <v>1040</v>
      </c>
      <c r="D241" s="122" t="str">
        <f>'дод 6'!C132</f>
        <v>Заходи державної політики з питань дітей та їх соціального захисту</v>
      </c>
      <c r="E241" s="81">
        <f t="shared" si="101"/>
        <v>151823</v>
      </c>
      <c r="F241" s="81">
        <f>25525+123300+2998</f>
        <v>151823</v>
      </c>
      <c r="G241" s="81"/>
      <c r="H241" s="81"/>
      <c r="I241" s="81"/>
      <c r="J241" s="81">
        <f t="shared" si="103"/>
        <v>0</v>
      </c>
      <c r="K241" s="81"/>
      <c r="L241" s="81"/>
      <c r="M241" s="81"/>
      <c r="N241" s="81"/>
      <c r="O241" s="81"/>
      <c r="P241" s="81">
        <f t="shared" si="102"/>
        <v>151823</v>
      </c>
      <c r="Q241" s="225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1" customFormat="1" ht="31.5" hidden="1" customHeight="1" x14ac:dyDescent="0.25">
      <c r="A242" s="117" t="s">
        <v>558</v>
      </c>
      <c r="B242" s="118">
        <v>3242</v>
      </c>
      <c r="C242" s="147" t="s">
        <v>55</v>
      </c>
      <c r="D242" s="128" t="s">
        <v>403</v>
      </c>
      <c r="E242" s="81">
        <f t="shared" si="101"/>
        <v>0</v>
      </c>
      <c r="F242" s="81"/>
      <c r="G242" s="81"/>
      <c r="H242" s="81"/>
      <c r="I242" s="81"/>
      <c r="J242" s="81">
        <f t="shared" si="103"/>
        <v>0</v>
      </c>
      <c r="K242" s="81"/>
      <c r="L242" s="81"/>
      <c r="M242" s="81"/>
      <c r="N242" s="81"/>
      <c r="O242" s="81"/>
      <c r="P242" s="81">
        <f t="shared" si="102"/>
        <v>0</v>
      </c>
      <c r="Q242" s="225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</row>
    <row r="243" spans="1:525" s="121" customFormat="1" ht="94.5" hidden="1" customHeight="1" x14ac:dyDescent="0.25">
      <c r="A243" s="117" t="s">
        <v>424</v>
      </c>
      <c r="B243" s="118">
        <v>6083</v>
      </c>
      <c r="C243" s="117" t="s">
        <v>67</v>
      </c>
      <c r="D243" s="155" t="s">
        <v>425</v>
      </c>
      <c r="E243" s="81">
        <f t="shared" si="101"/>
        <v>0</v>
      </c>
      <c r="F243" s="81"/>
      <c r="G243" s="81"/>
      <c r="H243" s="81"/>
      <c r="I243" s="81"/>
      <c r="J243" s="81">
        <f t="shared" si="103"/>
        <v>0</v>
      </c>
      <c r="K243" s="81"/>
      <c r="L243" s="81"/>
      <c r="M243" s="81"/>
      <c r="N243" s="81"/>
      <c r="O243" s="81"/>
      <c r="P243" s="81">
        <f t="shared" si="102"/>
        <v>0</v>
      </c>
      <c r="Q243" s="225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</row>
    <row r="244" spans="1:525" s="127" customFormat="1" ht="138.75" hidden="1" customHeight="1" x14ac:dyDescent="0.25">
      <c r="A244" s="123"/>
      <c r="B244" s="144"/>
      <c r="C244" s="123"/>
      <c r="D244" s="156" t="s">
        <v>548</v>
      </c>
      <c r="E244" s="81">
        <f t="shared" si="101"/>
        <v>0</v>
      </c>
      <c r="F244" s="82"/>
      <c r="G244" s="82"/>
      <c r="H244" s="82"/>
      <c r="I244" s="82"/>
      <c r="J244" s="81">
        <f t="shared" si="103"/>
        <v>0</v>
      </c>
      <c r="K244" s="82"/>
      <c r="L244" s="82"/>
      <c r="M244" s="82"/>
      <c r="N244" s="82"/>
      <c r="O244" s="82"/>
      <c r="P244" s="81">
        <f t="shared" si="102"/>
        <v>0</v>
      </c>
      <c r="Q244" s="225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  <c r="IW244" s="126"/>
      <c r="IX244" s="126"/>
      <c r="IY244" s="126"/>
      <c r="IZ244" s="126"/>
      <c r="JA244" s="126"/>
      <c r="JB244" s="126"/>
      <c r="JC244" s="126"/>
      <c r="JD244" s="126"/>
      <c r="JE244" s="126"/>
      <c r="JF244" s="126"/>
      <c r="JG244" s="126"/>
      <c r="JH244" s="126"/>
      <c r="JI244" s="126"/>
      <c r="JJ244" s="126"/>
      <c r="JK244" s="126"/>
      <c r="JL244" s="126"/>
      <c r="JM244" s="126"/>
      <c r="JN244" s="126"/>
      <c r="JO244" s="126"/>
      <c r="JP244" s="126"/>
      <c r="JQ244" s="126"/>
      <c r="JR244" s="126"/>
      <c r="JS244" s="126"/>
      <c r="JT244" s="126"/>
      <c r="JU244" s="126"/>
      <c r="JV244" s="126"/>
      <c r="JW244" s="126"/>
      <c r="JX244" s="126"/>
      <c r="JY244" s="126"/>
      <c r="JZ244" s="126"/>
      <c r="KA244" s="126"/>
      <c r="KB244" s="126"/>
      <c r="KC244" s="126"/>
      <c r="KD244" s="126"/>
      <c r="KE244" s="126"/>
      <c r="KF244" s="126"/>
      <c r="KG244" s="126"/>
      <c r="KH244" s="126"/>
      <c r="KI244" s="126"/>
      <c r="KJ244" s="126"/>
      <c r="KK244" s="126"/>
      <c r="KL244" s="126"/>
      <c r="KM244" s="126"/>
      <c r="KN244" s="126"/>
      <c r="KO244" s="126"/>
      <c r="KP244" s="126"/>
      <c r="KQ244" s="126"/>
      <c r="KR244" s="126"/>
      <c r="KS244" s="126"/>
      <c r="KT244" s="126"/>
      <c r="KU244" s="126"/>
      <c r="KV244" s="126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6"/>
      <c r="LO244" s="126"/>
      <c r="LP244" s="126"/>
      <c r="LQ244" s="126"/>
      <c r="LR244" s="126"/>
      <c r="LS244" s="126"/>
      <c r="LT244" s="126"/>
      <c r="LU244" s="126"/>
      <c r="LV244" s="126"/>
      <c r="LW244" s="126"/>
      <c r="LX244" s="126"/>
      <c r="LY244" s="126"/>
      <c r="LZ244" s="126"/>
      <c r="MA244" s="126"/>
      <c r="MB244" s="126"/>
      <c r="MC244" s="126"/>
      <c r="MD244" s="126"/>
      <c r="ME244" s="126"/>
      <c r="MF244" s="126"/>
      <c r="MG244" s="126"/>
      <c r="MH244" s="126"/>
      <c r="MI244" s="126"/>
      <c r="MJ244" s="126"/>
      <c r="MK244" s="126"/>
      <c r="ML244" s="126"/>
      <c r="MM244" s="126"/>
      <c r="MN244" s="126"/>
      <c r="MO244" s="126"/>
      <c r="MP244" s="126"/>
      <c r="MQ244" s="126"/>
      <c r="MR244" s="126"/>
      <c r="MS244" s="126"/>
      <c r="MT244" s="126"/>
      <c r="MU244" s="126"/>
      <c r="MV244" s="126"/>
      <c r="MW244" s="126"/>
      <c r="MX244" s="126"/>
      <c r="MY244" s="126"/>
      <c r="MZ244" s="126"/>
      <c r="NA244" s="126"/>
      <c r="NB244" s="126"/>
      <c r="NC244" s="126"/>
      <c r="ND244" s="126"/>
      <c r="NE244" s="126"/>
      <c r="NF244" s="126"/>
      <c r="NG244" s="126"/>
      <c r="NH244" s="126"/>
      <c r="NI244" s="126"/>
      <c r="NJ244" s="126"/>
      <c r="NK244" s="126"/>
      <c r="NL244" s="126"/>
      <c r="NM244" s="126"/>
      <c r="NN244" s="126"/>
      <c r="NO244" s="126"/>
      <c r="NP244" s="126"/>
      <c r="NQ244" s="126"/>
      <c r="NR244" s="126"/>
      <c r="NS244" s="126"/>
      <c r="NT244" s="126"/>
      <c r="NU244" s="126"/>
      <c r="NV244" s="126"/>
      <c r="NW244" s="126"/>
      <c r="NX244" s="126"/>
      <c r="NY244" s="126"/>
      <c r="NZ244" s="126"/>
      <c r="OA244" s="126"/>
      <c r="OB244" s="126"/>
      <c r="OC244" s="126"/>
      <c r="OD244" s="126"/>
      <c r="OE244" s="126"/>
      <c r="OF244" s="126"/>
      <c r="OG244" s="126"/>
      <c r="OH244" s="126"/>
      <c r="OI244" s="126"/>
      <c r="OJ244" s="126"/>
      <c r="OK244" s="126"/>
      <c r="OL244" s="126"/>
      <c r="OM244" s="126"/>
      <c r="ON244" s="126"/>
      <c r="OO244" s="126"/>
      <c r="OP244" s="126"/>
      <c r="OQ244" s="126"/>
      <c r="OR244" s="126"/>
      <c r="OS244" s="126"/>
      <c r="OT244" s="126"/>
      <c r="OU244" s="126"/>
      <c r="OV244" s="126"/>
      <c r="OW244" s="126"/>
      <c r="OX244" s="126"/>
      <c r="OY244" s="126"/>
      <c r="OZ244" s="126"/>
      <c r="PA244" s="126"/>
      <c r="PB244" s="126"/>
      <c r="PC244" s="126"/>
      <c r="PD244" s="126"/>
      <c r="PE244" s="126"/>
      <c r="PF244" s="126"/>
      <c r="PG244" s="126"/>
      <c r="PH244" s="126"/>
      <c r="PI244" s="126"/>
      <c r="PJ244" s="126"/>
      <c r="PK244" s="126"/>
      <c r="PL244" s="126"/>
      <c r="PM244" s="126"/>
      <c r="PN244" s="126"/>
      <c r="PO244" s="126"/>
      <c r="PP244" s="126"/>
      <c r="PQ244" s="126"/>
      <c r="PR244" s="126"/>
      <c r="PS244" s="126"/>
      <c r="PT244" s="126"/>
      <c r="PU244" s="126"/>
      <c r="PV244" s="126"/>
      <c r="PW244" s="126"/>
      <c r="PX244" s="126"/>
      <c r="PY244" s="126"/>
      <c r="PZ244" s="126"/>
      <c r="QA244" s="126"/>
      <c r="QB244" s="126"/>
      <c r="QC244" s="126"/>
      <c r="QD244" s="126"/>
      <c r="QE244" s="126"/>
      <c r="QF244" s="126"/>
      <c r="QG244" s="126"/>
      <c r="QH244" s="126"/>
      <c r="QI244" s="126"/>
      <c r="QJ244" s="126"/>
      <c r="QK244" s="126"/>
      <c r="QL244" s="126"/>
      <c r="QM244" s="126"/>
      <c r="QN244" s="126"/>
      <c r="QO244" s="126"/>
      <c r="QP244" s="126"/>
      <c r="QQ244" s="126"/>
      <c r="QR244" s="126"/>
      <c r="QS244" s="126"/>
      <c r="QT244" s="126"/>
      <c r="QU244" s="126"/>
      <c r="QV244" s="126"/>
      <c r="QW244" s="126"/>
      <c r="QX244" s="126"/>
      <c r="QY244" s="126"/>
      <c r="QZ244" s="126"/>
      <c r="RA244" s="126"/>
      <c r="RB244" s="126"/>
      <c r="RC244" s="126"/>
      <c r="RD244" s="126"/>
      <c r="RE244" s="126"/>
      <c r="RF244" s="126"/>
      <c r="RG244" s="126"/>
      <c r="RH244" s="126"/>
      <c r="RI244" s="126"/>
      <c r="RJ244" s="126"/>
      <c r="RK244" s="126"/>
      <c r="RL244" s="126"/>
      <c r="RM244" s="126"/>
      <c r="RN244" s="126"/>
      <c r="RO244" s="126"/>
      <c r="RP244" s="126"/>
      <c r="RQ244" s="126"/>
      <c r="RR244" s="126"/>
      <c r="RS244" s="126"/>
      <c r="RT244" s="126"/>
      <c r="RU244" s="126"/>
      <c r="RV244" s="126"/>
      <c r="RW244" s="126"/>
      <c r="RX244" s="126"/>
      <c r="RY244" s="126"/>
      <c r="RZ244" s="126"/>
      <c r="SA244" s="126"/>
      <c r="SB244" s="126"/>
      <c r="SC244" s="126"/>
      <c r="SD244" s="126"/>
      <c r="SE244" s="126"/>
      <c r="SF244" s="126"/>
      <c r="SG244" s="126"/>
      <c r="SH244" s="126"/>
      <c r="SI244" s="126"/>
      <c r="SJ244" s="126"/>
      <c r="SK244" s="126"/>
      <c r="SL244" s="126"/>
      <c r="SM244" s="126"/>
      <c r="SN244" s="126"/>
      <c r="SO244" s="126"/>
      <c r="SP244" s="126"/>
      <c r="SQ244" s="126"/>
      <c r="SR244" s="126"/>
      <c r="SS244" s="126"/>
      <c r="ST244" s="126"/>
      <c r="SU244" s="126"/>
      <c r="SV244" s="126"/>
      <c r="SW244" s="126"/>
      <c r="SX244" s="126"/>
      <c r="SY244" s="126"/>
      <c r="SZ244" s="126"/>
      <c r="TA244" s="126"/>
      <c r="TB244" s="126"/>
      <c r="TC244" s="126"/>
      <c r="TD244" s="126"/>
      <c r="TE244" s="126"/>
    </row>
    <row r="245" spans="1:525" s="111" customFormat="1" ht="22.5" customHeight="1" x14ac:dyDescent="0.25">
      <c r="A245" s="142" t="s">
        <v>25</v>
      </c>
      <c r="B245" s="148"/>
      <c r="C245" s="148"/>
      <c r="D245" s="138" t="s">
        <v>330</v>
      </c>
      <c r="E245" s="79">
        <f>E246</f>
        <v>83791298</v>
      </c>
      <c r="F245" s="79">
        <f t="shared" ref="F245:J245" si="104">F246</f>
        <v>83791298</v>
      </c>
      <c r="G245" s="79">
        <f t="shared" si="104"/>
        <v>62603373</v>
      </c>
      <c r="H245" s="79">
        <f t="shared" si="104"/>
        <v>4305150</v>
      </c>
      <c r="I245" s="79">
        <f t="shared" si="104"/>
        <v>0</v>
      </c>
      <c r="J245" s="79">
        <f t="shared" si="104"/>
        <v>4137110</v>
      </c>
      <c r="K245" s="79">
        <f t="shared" ref="K245" si="105">K246</f>
        <v>1182700</v>
      </c>
      <c r="L245" s="79">
        <f t="shared" ref="L245" si="106">L246</f>
        <v>2952210</v>
      </c>
      <c r="M245" s="79">
        <f t="shared" ref="M245" si="107">M246</f>
        <v>2404980</v>
      </c>
      <c r="N245" s="79">
        <f t="shared" ref="N245" si="108">N246</f>
        <v>5490</v>
      </c>
      <c r="O245" s="79">
        <f t="shared" ref="O245:P245" si="109">O246</f>
        <v>1184900</v>
      </c>
      <c r="P245" s="79">
        <f t="shared" si="109"/>
        <v>87928408</v>
      </c>
      <c r="Q245" s="225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  <c r="CW245" s="110"/>
      <c r="CX245" s="110"/>
      <c r="CY245" s="110"/>
      <c r="CZ245" s="110"/>
      <c r="DA245" s="110"/>
      <c r="DB245" s="110"/>
      <c r="DC245" s="110"/>
      <c r="DD245" s="110"/>
      <c r="DE245" s="110"/>
      <c r="DF245" s="110"/>
      <c r="DG245" s="110"/>
      <c r="DH245" s="110"/>
      <c r="DI245" s="110"/>
      <c r="DJ245" s="110"/>
      <c r="DK245" s="110"/>
      <c r="DL245" s="110"/>
      <c r="DM245" s="110"/>
      <c r="DN245" s="110"/>
      <c r="DO245" s="110"/>
      <c r="DP245" s="110"/>
      <c r="DQ245" s="110"/>
      <c r="DR245" s="110"/>
      <c r="DS245" s="110"/>
      <c r="DT245" s="110"/>
      <c r="DU245" s="110"/>
      <c r="DV245" s="110"/>
      <c r="DW245" s="110"/>
      <c r="DX245" s="110"/>
      <c r="DY245" s="110"/>
      <c r="DZ245" s="110"/>
      <c r="EA245" s="110"/>
      <c r="EB245" s="110"/>
      <c r="EC245" s="110"/>
      <c r="ED245" s="110"/>
      <c r="EE245" s="110"/>
      <c r="EF245" s="110"/>
      <c r="EG245" s="110"/>
      <c r="EH245" s="110"/>
      <c r="EI245" s="110"/>
      <c r="EJ245" s="110"/>
      <c r="EK245" s="110"/>
      <c r="EL245" s="110"/>
      <c r="EM245" s="110"/>
      <c r="EN245" s="110"/>
      <c r="EO245" s="110"/>
      <c r="EP245" s="110"/>
      <c r="EQ245" s="110"/>
      <c r="ER245" s="110"/>
      <c r="ES245" s="110"/>
      <c r="ET245" s="110"/>
      <c r="EU245" s="110"/>
      <c r="EV245" s="110"/>
      <c r="EW245" s="110"/>
      <c r="EX245" s="110"/>
      <c r="EY245" s="110"/>
      <c r="EZ245" s="110"/>
      <c r="FA245" s="110"/>
      <c r="FB245" s="110"/>
      <c r="FC245" s="110"/>
      <c r="FD245" s="110"/>
      <c r="FE245" s="110"/>
      <c r="FF245" s="110"/>
      <c r="FG245" s="110"/>
      <c r="FH245" s="110"/>
      <c r="FI245" s="110"/>
      <c r="FJ245" s="110"/>
      <c r="FK245" s="110"/>
      <c r="FL245" s="110"/>
      <c r="FM245" s="110"/>
      <c r="FN245" s="110"/>
      <c r="FO245" s="110"/>
      <c r="FP245" s="110"/>
      <c r="FQ245" s="110"/>
      <c r="FR245" s="110"/>
      <c r="FS245" s="110"/>
      <c r="FT245" s="110"/>
      <c r="FU245" s="110"/>
      <c r="FV245" s="110"/>
      <c r="FW245" s="110"/>
      <c r="FX245" s="110"/>
      <c r="FY245" s="110"/>
      <c r="FZ245" s="110"/>
      <c r="GA245" s="110"/>
      <c r="GB245" s="110"/>
      <c r="GC245" s="110"/>
      <c r="GD245" s="110"/>
      <c r="GE245" s="110"/>
      <c r="GF245" s="110"/>
      <c r="GG245" s="110"/>
      <c r="GH245" s="110"/>
      <c r="GI245" s="110"/>
      <c r="GJ245" s="110"/>
      <c r="GK245" s="110"/>
      <c r="GL245" s="110"/>
      <c r="GM245" s="110"/>
      <c r="GN245" s="110"/>
      <c r="GO245" s="110"/>
      <c r="GP245" s="110"/>
      <c r="GQ245" s="110"/>
      <c r="GR245" s="110"/>
      <c r="GS245" s="110"/>
      <c r="GT245" s="110"/>
      <c r="GU245" s="110"/>
      <c r="GV245" s="110"/>
      <c r="GW245" s="110"/>
      <c r="GX245" s="110"/>
      <c r="GY245" s="110"/>
      <c r="GZ245" s="110"/>
      <c r="HA245" s="110"/>
      <c r="HB245" s="110"/>
      <c r="HC245" s="110"/>
      <c r="HD245" s="110"/>
      <c r="HE245" s="110"/>
      <c r="HF245" s="110"/>
      <c r="HG245" s="110"/>
      <c r="HH245" s="110"/>
      <c r="HI245" s="110"/>
      <c r="HJ245" s="110"/>
      <c r="HK245" s="110"/>
      <c r="HL245" s="110"/>
      <c r="HM245" s="110"/>
      <c r="HN245" s="110"/>
      <c r="HO245" s="110"/>
      <c r="HP245" s="110"/>
      <c r="HQ245" s="110"/>
      <c r="HR245" s="110"/>
      <c r="HS245" s="110"/>
      <c r="HT245" s="110"/>
      <c r="HU245" s="110"/>
      <c r="HV245" s="110"/>
      <c r="HW245" s="110"/>
      <c r="HX245" s="110"/>
      <c r="HY245" s="110"/>
      <c r="HZ245" s="110"/>
      <c r="IA245" s="110"/>
      <c r="IB245" s="110"/>
      <c r="IC245" s="110"/>
      <c r="ID245" s="110"/>
      <c r="IE245" s="110"/>
      <c r="IF245" s="110"/>
      <c r="IG245" s="110"/>
      <c r="IH245" s="110"/>
      <c r="II245" s="110"/>
      <c r="IJ245" s="110"/>
      <c r="IK245" s="110"/>
      <c r="IL245" s="110"/>
      <c r="IM245" s="110"/>
      <c r="IN245" s="110"/>
      <c r="IO245" s="110"/>
      <c r="IP245" s="110"/>
      <c r="IQ245" s="110"/>
      <c r="IR245" s="110"/>
      <c r="IS245" s="110"/>
      <c r="IT245" s="110"/>
      <c r="IU245" s="110"/>
      <c r="IV245" s="110"/>
      <c r="IW245" s="110"/>
      <c r="IX245" s="110"/>
      <c r="IY245" s="110"/>
      <c r="IZ245" s="110"/>
      <c r="JA245" s="110"/>
      <c r="JB245" s="110"/>
      <c r="JC245" s="110"/>
      <c r="JD245" s="110"/>
      <c r="JE245" s="110"/>
      <c r="JF245" s="110"/>
      <c r="JG245" s="110"/>
      <c r="JH245" s="110"/>
      <c r="JI245" s="110"/>
      <c r="JJ245" s="110"/>
      <c r="JK245" s="110"/>
      <c r="JL245" s="110"/>
      <c r="JM245" s="110"/>
      <c r="JN245" s="110"/>
      <c r="JO245" s="110"/>
      <c r="JP245" s="110"/>
      <c r="JQ245" s="110"/>
      <c r="JR245" s="110"/>
      <c r="JS245" s="110"/>
      <c r="JT245" s="110"/>
      <c r="JU245" s="110"/>
      <c r="JV245" s="110"/>
      <c r="JW245" s="110"/>
      <c r="JX245" s="110"/>
      <c r="JY245" s="110"/>
      <c r="JZ245" s="110"/>
      <c r="KA245" s="110"/>
      <c r="KB245" s="110"/>
      <c r="KC245" s="110"/>
      <c r="KD245" s="110"/>
      <c r="KE245" s="110"/>
      <c r="KF245" s="110"/>
      <c r="KG245" s="110"/>
      <c r="KH245" s="110"/>
      <c r="KI245" s="110"/>
      <c r="KJ245" s="110"/>
      <c r="KK245" s="110"/>
      <c r="KL245" s="110"/>
      <c r="KM245" s="110"/>
      <c r="KN245" s="110"/>
      <c r="KO245" s="110"/>
      <c r="KP245" s="110"/>
      <c r="KQ245" s="110"/>
      <c r="KR245" s="110"/>
      <c r="KS245" s="110"/>
      <c r="KT245" s="110"/>
      <c r="KU245" s="110"/>
      <c r="KV245" s="110"/>
      <c r="KW245" s="110"/>
      <c r="KX245" s="110"/>
      <c r="KY245" s="110"/>
      <c r="KZ245" s="110"/>
      <c r="LA245" s="110"/>
      <c r="LB245" s="110"/>
      <c r="LC245" s="110"/>
      <c r="LD245" s="110"/>
      <c r="LE245" s="110"/>
      <c r="LF245" s="110"/>
      <c r="LG245" s="110"/>
      <c r="LH245" s="110"/>
      <c r="LI245" s="110"/>
      <c r="LJ245" s="110"/>
      <c r="LK245" s="110"/>
      <c r="LL245" s="110"/>
      <c r="LM245" s="110"/>
      <c r="LN245" s="110"/>
      <c r="LO245" s="110"/>
      <c r="LP245" s="110"/>
      <c r="LQ245" s="110"/>
      <c r="LR245" s="110"/>
      <c r="LS245" s="110"/>
      <c r="LT245" s="110"/>
      <c r="LU245" s="110"/>
      <c r="LV245" s="110"/>
      <c r="LW245" s="110"/>
      <c r="LX245" s="110"/>
      <c r="LY245" s="110"/>
      <c r="LZ245" s="110"/>
      <c r="MA245" s="110"/>
      <c r="MB245" s="110"/>
      <c r="MC245" s="110"/>
      <c r="MD245" s="110"/>
      <c r="ME245" s="110"/>
      <c r="MF245" s="110"/>
      <c r="MG245" s="110"/>
      <c r="MH245" s="110"/>
      <c r="MI245" s="110"/>
      <c r="MJ245" s="110"/>
      <c r="MK245" s="110"/>
      <c r="ML245" s="110"/>
      <c r="MM245" s="110"/>
      <c r="MN245" s="110"/>
      <c r="MO245" s="110"/>
      <c r="MP245" s="110"/>
      <c r="MQ245" s="110"/>
      <c r="MR245" s="110"/>
      <c r="MS245" s="110"/>
      <c r="MT245" s="110"/>
      <c r="MU245" s="110"/>
      <c r="MV245" s="110"/>
      <c r="MW245" s="110"/>
      <c r="MX245" s="110"/>
      <c r="MY245" s="110"/>
      <c r="MZ245" s="110"/>
      <c r="NA245" s="110"/>
      <c r="NB245" s="110"/>
      <c r="NC245" s="110"/>
      <c r="ND245" s="110"/>
      <c r="NE245" s="110"/>
      <c r="NF245" s="110"/>
      <c r="NG245" s="110"/>
      <c r="NH245" s="110"/>
      <c r="NI245" s="110"/>
      <c r="NJ245" s="110"/>
      <c r="NK245" s="110"/>
      <c r="NL245" s="110"/>
      <c r="NM245" s="110"/>
      <c r="NN245" s="110"/>
      <c r="NO245" s="110"/>
      <c r="NP245" s="110"/>
      <c r="NQ245" s="110"/>
      <c r="NR245" s="110"/>
      <c r="NS245" s="110"/>
      <c r="NT245" s="110"/>
      <c r="NU245" s="110"/>
      <c r="NV245" s="110"/>
      <c r="NW245" s="110"/>
      <c r="NX245" s="110"/>
      <c r="NY245" s="110"/>
      <c r="NZ245" s="110"/>
      <c r="OA245" s="110"/>
      <c r="OB245" s="110"/>
      <c r="OC245" s="110"/>
      <c r="OD245" s="110"/>
      <c r="OE245" s="110"/>
      <c r="OF245" s="110"/>
      <c r="OG245" s="110"/>
      <c r="OH245" s="110"/>
      <c r="OI245" s="110"/>
      <c r="OJ245" s="110"/>
      <c r="OK245" s="110"/>
      <c r="OL245" s="110"/>
      <c r="OM245" s="110"/>
      <c r="ON245" s="110"/>
      <c r="OO245" s="110"/>
      <c r="OP245" s="110"/>
      <c r="OQ245" s="110"/>
      <c r="OR245" s="110"/>
      <c r="OS245" s="110"/>
      <c r="OT245" s="110"/>
      <c r="OU245" s="110"/>
      <c r="OV245" s="110"/>
      <c r="OW245" s="110"/>
      <c r="OX245" s="110"/>
      <c r="OY245" s="110"/>
      <c r="OZ245" s="110"/>
      <c r="PA245" s="110"/>
      <c r="PB245" s="110"/>
      <c r="PC245" s="110"/>
      <c r="PD245" s="110"/>
      <c r="PE245" s="110"/>
      <c r="PF245" s="110"/>
      <c r="PG245" s="110"/>
      <c r="PH245" s="110"/>
      <c r="PI245" s="110"/>
      <c r="PJ245" s="110"/>
      <c r="PK245" s="110"/>
      <c r="PL245" s="110"/>
      <c r="PM245" s="110"/>
      <c r="PN245" s="110"/>
      <c r="PO245" s="110"/>
      <c r="PP245" s="110"/>
      <c r="PQ245" s="110"/>
      <c r="PR245" s="110"/>
      <c r="PS245" s="110"/>
      <c r="PT245" s="110"/>
      <c r="PU245" s="110"/>
      <c r="PV245" s="110"/>
      <c r="PW245" s="110"/>
      <c r="PX245" s="110"/>
      <c r="PY245" s="110"/>
      <c r="PZ245" s="110"/>
      <c r="QA245" s="110"/>
      <c r="QB245" s="110"/>
      <c r="QC245" s="110"/>
      <c r="QD245" s="110"/>
      <c r="QE245" s="110"/>
      <c r="QF245" s="110"/>
      <c r="QG245" s="110"/>
      <c r="QH245" s="110"/>
      <c r="QI245" s="110"/>
      <c r="QJ245" s="110"/>
      <c r="QK245" s="110"/>
      <c r="QL245" s="110"/>
      <c r="QM245" s="110"/>
      <c r="QN245" s="110"/>
      <c r="QO245" s="110"/>
      <c r="QP245" s="110"/>
      <c r="QQ245" s="110"/>
      <c r="QR245" s="110"/>
      <c r="QS245" s="110"/>
      <c r="QT245" s="110"/>
      <c r="QU245" s="110"/>
      <c r="QV245" s="110"/>
      <c r="QW245" s="110"/>
      <c r="QX245" s="110"/>
      <c r="QY245" s="110"/>
      <c r="QZ245" s="110"/>
      <c r="RA245" s="110"/>
      <c r="RB245" s="110"/>
      <c r="RC245" s="110"/>
      <c r="RD245" s="110"/>
      <c r="RE245" s="110"/>
      <c r="RF245" s="110"/>
      <c r="RG245" s="110"/>
      <c r="RH245" s="110"/>
      <c r="RI245" s="110"/>
      <c r="RJ245" s="110"/>
      <c r="RK245" s="110"/>
      <c r="RL245" s="110"/>
      <c r="RM245" s="110"/>
      <c r="RN245" s="110"/>
      <c r="RO245" s="110"/>
      <c r="RP245" s="110"/>
      <c r="RQ245" s="110"/>
      <c r="RR245" s="110"/>
      <c r="RS245" s="110"/>
      <c r="RT245" s="110"/>
      <c r="RU245" s="110"/>
      <c r="RV245" s="110"/>
      <c r="RW245" s="110"/>
      <c r="RX245" s="110"/>
      <c r="RY245" s="110"/>
      <c r="RZ245" s="110"/>
      <c r="SA245" s="110"/>
      <c r="SB245" s="110"/>
      <c r="SC245" s="110"/>
      <c r="SD245" s="110"/>
      <c r="SE245" s="110"/>
      <c r="SF245" s="110"/>
      <c r="SG245" s="110"/>
      <c r="SH245" s="110"/>
      <c r="SI245" s="110"/>
      <c r="SJ245" s="110"/>
      <c r="SK245" s="110"/>
      <c r="SL245" s="110"/>
      <c r="SM245" s="110"/>
      <c r="SN245" s="110"/>
      <c r="SO245" s="110"/>
      <c r="SP245" s="110"/>
      <c r="SQ245" s="110"/>
      <c r="SR245" s="110"/>
      <c r="SS245" s="110"/>
      <c r="ST245" s="110"/>
      <c r="SU245" s="110"/>
      <c r="SV245" s="110"/>
      <c r="SW245" s="110"/>
      <c r="SX245" s="110"/>
      <c r="SY245" s="110"/>
      <c r="SZ245" s="110"/>
      <c r="TA245" s="110"/>
      <c r="TB245" s="110"/>
      <c r="TC245" s="110"/>
      <c r="TD245" s="110"/>
      <c r="TE245" s="110"/>
    </row>
    <row r="246" spans="1:525" s="116" customFormat="1" ht="21.75" customHeight="1" x14ac:dyDescent="0.25">
      <c r="A246" s="112" t="s">
        <v>189</v>
      </c>
      <c r="B246" s="141"/>
      <c r="C246" s="141"/>
      <c r="D246" s="114" t="s">
        <v>330</v>
      </c>
      <c r="E246" s="80">
        <f>E247+E248+E249+E251+E252++E254+E250+E253+E255</f>
        <v>83791298</v>
      </c>
      <c r="F246" s="80">
        <f t="shared" ref="F246:P246" si="110">F247+F248+F249+F251+F252++F254+F250+F253+F255</f>
        <v>83791298</v>
      </c>
      <c r="G246" s="80">
        <f t="shared" si="110"/>
        <v>62603373</v>
      </c>
      <c r="H246" s="80">
        <f t="shared" si="110"/>
        <v>4305150</v>
      </c>
      <c r="I246" s="80">
        <f t="shared" si="110"/>
        <v>0</v>
      </c>
      <c r="J246" s="80">
        <f t="shared" si="110"/>
        <v>4137110</v>
      </c>
      <c r="K246" s="80">
        <f t="shared" si="110"/>
        <v>1182700</v>
      </c>
      <c r="L246" s="80">
        <f t="shared" si="110"/>
        <v>2952210</v>
      </c>
      <c r="M246" s="80">
        <f t="shared" si="110"/>
        <v>2404980</v>
      </c>
      <c r="N246" s="80">
        <f t="shared" si="110"/>
        <v>5490</v>
      </c>
      <c r="O246" s="80">
        <f t="shared" si="110"/>
        <v>1184900</v>
      </c>
      <c r="P246" s="80">
        <f t="shared" si="110"/>
        <v>87928408</v>
      </c>
      <c r="Q246" s="22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  <c r="OH246" s="115"/>
      <c r="OI246" s="115"/>
      <c r="OJ246" s="115"/>
      <c r="OK246" s="115"/>
      <c r="OL246" s="115"/>
      <c r="OM246" s="115"/>
      <c r="ON246" s="115"/>
      <c r="OO246" s="115"/>
      <c r="OP246" s="115"/>
      <c r="OQ246" s="115"/>
      <c r="OR246" s="115"/>
      <c r="OS246" s="115"/>
      <c r="OT246" s="115"/>
      <c r="OU246" s="115"/>
      <c r="OV246" s="115"/>
      <c r="OW246" s="115"/>
      <c r="OX246" s="115"/>
      <c r="OY246" s="115"/>
      <c r="OZ246" s="115"/>
      <c r="PA246" s="115"/>
      <c r="PB246" s="115"/>
      <c r="PC246" s="115"/>
      <c r="PD246" s="115"/>
      <c r="PE246" s="115"/>
      <c r="PF246" s="115"/>
      <c r="PG246" s="115"/>
      <c r="PH246" s="115"/>
      <c r="PI246" s="115"/>
      <c r="PJ246" s="115"/>
      <c r="PK246" s="115"/>
      <c r="PL246" s="115"/>
      <c r="PM246" s="115"/>
      <c r="PN246" s="115"/>
      <c r="PO246" s="115"/>
      <c r="PP246" s="115"/>
      <c r="PQ246" s="115"/>
      <c r="PR246" s="115"/>
      <c r="PS246" s="115"/>
      <c r="PT246" s="115"/>
      <c r="PU246" s="115"/>
      <c r="PV246" s="115"/>
      <c r="PW246" s="115"/>
      <c r="PX246" s="115"/>
      <c r="PY246" s="115"/>
      <c r="PZ246" s="115"/>
      <c r="QA246" s="115"/>
      <c r="QB246" s="115"/>
      <c r="QC246" s="115"/>
      <c r="QD246" s="115"/>
      <c r="QE246" s="115"/>
      <c r="QF246" s="115"/>
      <c r="QG246" s="115"/>
      <c r="QH246" s="115"/>
      <c r="QI246" s="115"/>
      <c r="QJ246" s="115"/>
      <c r="QK246" s="115"/>
      <c r="QL246" s="115"/>
      <c r="QM246" s="115"/>
      <c r="QN246" s="115"/>
      <c r="QO246" s="115"/>
      <c r="QP246" s="115"/>
      <c r="QQ246" s="115"/>
      <c r="QR246" s="115"/>
      <c r="QS246" s="115"/>
      <c r="QT246" s="115"/>
      <c r="QU246" s="115"/>
      <c r="QV246" s="115"/>
      <c r="QW246" s="115"/>
      <c r="QX246" s="115"/>
      <c r="QY246" s="115"/>
      <c r="QZ246" s="115"/>
      <c r="RA246" s="115"/>
      <c r="RB246" s="115"/>
      <c r="RC246" s="115"/>
      <c r="RD246" s="115"/>
      <c r="RE246" s="115"/>
      <c r="RF246" s="115"/>
      <c r="RG246" s="115"/>
      <c r="RH246" s="115"/>
      <c r="RI246" s="115"/>
      <c r="RJ246" s="115"/>
      <c r="RK246" s="115"/>
      <c r="RL246" s="115"/>
      <c r="RM246" s="115"/>
      <c r="RN246" s="115"/>
      <c r="RO246" s="115"/>
      <c r="RP246" s="115"/>
      <c r="RQ246" s="115"/>
      <c r="RR246" s="115"/>
      <c r="RS246" s="115"/>
      <c r="RT246" s="115"/>
      <c r="RU246" s="115"/>
      <c r="RV246" s="115"/>
      <c r="RW246" s="115"/>
      <c r="RX246" s="115"/>
      <c r="RY246" s="115"/>
      <c r="RZ246" s="115"/>
      <c r="SA246" s="115"/>
      <c r="SB246" s="115"/>
      <c r="SC246" s="115"/>
      <c r="SD246" s="115"/>
      <c r="SE246" s="115"/>
      <c r="SF246" s="115"/>
      <c r="SG246" s="115"/>
      <c r="SH246" s="115"/>
      <c r="SI246" s="115"/>
      <c r="SJ246" s="115"/>
      <c r="SK246" s="115"/>
      <c r="SL246" s="115"/>
      <c r="SM246" s="115"/>
      <c r="SN246" s="115"/>
      <c r="SO246" s="115"/>
      <c r="SP246" s="115"/>
      <c r="SQ246" s="115"/>
      <c r="SR246" s="115"/>
      <c r="SS246" s="115"/>
      <c r="ST246" s="115"/>
      <c r="SU246" s="115"/>
      <c r="SV246" s="115"/>
      <c r="SW246" s="115"/>
      <c r="SX246" s="115"/>
      <c r="SY246" s="115"/>
      <c r="SZ246" s="115"/>
      <c r="TA246" s="115"/>
      <c r="TB246" s="115"/>
      <c r="TC246" s="115"/>
      <c r="TD246" s="115"/>
      <c r="TE246" s="115"/>
    </row>
    <row r="247" spans="1:525" s="121" customFormat="1" ht="47.25" x14ac:dyDescent="0.25">
      <c r="A247" s="117" t="s">
        <v>136</v>
      </c>
      <c r="B247" s="118" t="str">
        <f>'дод 6'!A16</f>
        <v>0160</v>
      </c>
      <c r="C247" s="118" t="str">
        <f>'дод 6'!B16</f>
        <v>0111</v>
      </c>
      <c r="D247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247" s="81">
        <f t="shared" ref="E247:E255" si="111">F247+I247</f>
        <v>2022900</v>
      </c>
      <c r="F247" s="81">
        <f>2144800-114800-7100</f>
        <v>2022900</v>
      </c>
      <c r="G247" s="81">
        <f>1680400-94100-3012-1315</f>
        <v>1581973</v>
      </c>
      <c r="H247" s="81">
        <f>48700-7100</f>
        <v>41600</v>
      </c>
      <c r="I247" s="81"/>
      <c r="J247" s="81">
        <f>L247+O247</f>
        <v>0</v>
      </c>
      <c r="K247" s="81"/>
      <c r="L247" s="81"/>
      <c r="M247" s="81"/>
      <c r="N247" s="81"/>
      <c r="O247" s="81"/>
      <c r="P247" s="81">
        <f t="shared" ref="P247:P255" si="112">E247+J247</f>
        <v>2022900</v>
      </c>
      <c r="Q247" s="225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  <c r="IW247" s="120"/>
      <c r="IX247" s="120"/>
      <c r="IY247" s="120"/>
      <c r="IZ247" s="120"/>
      <c r="JA247" s="120"/>
      <c r="JB247" s="120"/>
      <c r="JC247" s="120"/>
      <c r="JD247" s="120"/>
      <c r="JE247" s="120"/>
      <c r="JF247" s="120"/>
      <c r="JG247" s="120"/>
      <c r="JH247" s="120"/>
      <c r="JI247" s="120"/>
      <c r="JJ247" s="120"/>
      <c r="JK247" s="120"/>
      <c r="JL247" s="120"/>
      <c r="JM247" s="120"/>
      <c r="JN247" s="120"/>
      <c r="JO247" s="120"/>
      <c r="JP247" s="120"/>
      <c r="JQ247" s="120"/>
      <c r="JR247" s="120"/>
      <c r="JS247" s="120"/>
      <c r="JT247" s="120"/>
      <c r="JU247" s="120"/>
      <c r="JV247" s="120"/>
      <c r="JW247" s="120"/>
      <c r="JX247" s="120"/>
      <c r="JY247" s="120"/>
      <c r="JZ247" s="120"/>
      <c r="KA247" s="120"/>
      <c r="KB247" s="120"/>
      <c r="KC247" s="120"/>
      <c r="KD247" s="120"/>
      <c r="KE247" s="120"/>
      <c r="KF247" s="120"/>
      <c r="KG247" s="120"/>
      <c r="KH247" s="120"/>
      <c r="KI247" s="120"/>
      <c r="KJ247" s="120"/>
      <c r="KK247" s="120"/>
      <c r="KL247" s="120"/>
      <c r="KM247" s="120"/>
      <c r="KN247" s="120"/>
      <c r="KO247" s="120"/>
      <c r="KP247" s="120"/>
      <c r="KQ247" s="120"/>
      <c r="KR247" s="120"/>
      <c r="KS247" s="120"/>
      <c r="KT247" s="120"/>
      <c r="KU247" s="120"/>
      <c r="KV247" s="120"/>
      <c r="KW247" s="120"/>
      <c r="KX247" s="120"/>
      <c r="KY247" s="120"/>
      <c r="KZ247" s="120"/>
      <c r="LA247" s="120"/>
      <c r="LB247" s="120"/>
      <c r="LC247" s="120"/>
      <c r="LD247" s="120"/>
      <c r="LE247" s="120"/>
      <c r="LF247" s="120"/>
      <c r="LG247" s="120"/>
      <c r="LH247" s="120"/>
      <c r="LI247" s="120"/>
      <c r="LJ247" s="120"/>
      <c r="LK247" s="120"/>
      <c r="LL247" s="120"/>
      <c r="LM247" s="120"/>
      <c r="LN247" s="120"/>
      <c r="LO247" s="120"/>
      <c r="LP247" s="120"/>
      <c r="LQ247" s="120"/>
      <c r="LR247" s="120"/>
      <c r="LS247" s="120"/>
      <c r="LT247" s="120"/>
      <c r="LU247" s="120"/>
      <c r="LV247" s="120"/>
      <c r="LW247" s="120"/>
      <c r="LX247" s="120"/>
      <c r="LY247" s="120"/>
      <c r="LZ247" s="120"/>
      <c r="MA247" s="120"/>
      <c r="MB247" s="120"/>
      <c r="MC247" s="120"/>
      <c r="MD247" s="120"/>
      <c r="ME247" s="120"/>
      <c r="MF247" s="120"/>
      <c r="MG247" s="120"/>
      <c r="MH247" s="120"/>
      <c r="MI247" s="120"/>
      <c r="MJ247" s="120"/>
      <c r="MK247" s="120"/>
      <c r="ML247" s="120"/>
      <c r="MM247" s="120"/>
      <c r="MN247" s="120"/>
      <c r="MO247" s="120"/>
      <c r="MP247" s="120"/>
      <c r="MQ247" s="120"/>
      <c r="MR247" s="120"/>
      <c r="MS247" s="120"/>
      <c r="MT247" s="120"/>
      <c r="MU247" s="120"/>
      <c r="MV247" s="120"/>
      <c r="MW247" s="120"/>
      <c r="MX247" s="120"/>
      <c r="MY247" s="120"/>
      <c r="MZ247" s="120"/>
      <c r="NA247" s="120"/>
      <c r="NB247" s="120"/>
      <c r="NC247" s="120"/>
      <c r="ND247" s="120"/>
      <c r="NE247" s="120"/>
      <c r="NF247" s="120"/>
      <c r="NG247" s="120"/>
      <c r="NH247" s="120"/>
      <c r="NI247" s="120"/>
      <c r="NJ247" s="120"/>
      <c r="NK247" s="120"/>
      <c r="NL247" s="120"/>
      <c r="NM247" s="120"/>
      <c r="NN247" s="120"/>
      <c r="NO247" s="120"/>
      <c r="NP247" s="120"/>
      <c r="NQ247" s="120"/>
      <c r="NR247" s="120"/>
      <c r="NS247" s="120"/>
      <c r="NT247" s="120"/>
      <c r="NU247" s="120"/>
      <c r="NV247" s="120"/>
      <c r="NW247" s="120"/>
      <c r="NX247" s="120"/>
      <c r="NY247" s="120"/>
      <c r="NZ247" s="120"/>
      <c r="OA247" s="120"/>
      <c r="OB247" s="120"/>
      <c r="OC247" s="120"/>
      <c r="OD247" s="120"/>
      <c r="OE247" s="120"/>
      <c r="OF247" s="120"/>
      <c r="OG247" s="120"/>
      <c r="OH247" s="120"/>
      <c r="OI247" s="120"/>
      <c r="OJ247" s="120"/>
      <c r="OK247" s="120"/>
      <c r="OL247" s="120"/>
      <c r="OM247" s="120"/>
      <c r="ON247" s="120"/>
      <c r="OO247" s="120"/>
      <c r="OP247" s="120"/>
      <c r="OQ247" s="120"/>
      <c r="OR247" s="120"/>
      <c r="OS247" s="120"/>
      <c r="OT247" s="120"/>
      <c r="OU247" s="120"/>
      <c r="OV247" s="120"/>
      <c r="OW247" s="120"/>
      <c r="OX247" s="120"/>
      <c r="OY247" s="120"/>
      <c r="OZ247" s="120"/>
      <c r="PA247" s="120"/>
      <c r="PB247" s="120"/>
      <c r="PC247" s="120"/>
      <c r="PD247" s="120"/>
      <c r="PE247" s="120"/>
      <c r="PF247" s="120"/>
      <c r="PG247" s="120"/>
      <c r="PH247" s="120"/>
      <c r="PI247" s="120"/>
      <c r="PJ247" s="120"/>
      <c r="PK247" s="120"/>
      <c r="PL247" s="120"/>
      <c r="PM247" s="120"/>
      <c r="PN247" s="120"/>
      <c r="PO247" s="120"/>
      <c r="PP247" s="120"/>
      <c r="PQ247" s="120"/>
      <c r="PR247" s="120"/>
      <c r="PS247" s="120"/>
      <c r="PT247" s="120"/>
      <c r="PU247" s="120"/>
      <c r="PV247" s="120"/>
      <c r="PW247" s="120"/>
      <c r="PX247" s="120"/>
      <c r="PY247" s="120"/>
      <c r="PZ247" s="120"/>
      <c r="QA247" s="120"/>
      <c r="QB247" s="120"/>
      <c r="QC247" s="120"/>
      <c r="QD247" s="120"/>
      <c r="QE247" s="120"/>
      <c r="QF247" s="120"/>
      <c r="QG247" s="120"/>
      <c r="QH247" s="120"/>
      <c r="QI247" s="120"/>
      <c r="QJ247" s="120"/>
      <c r="QK247" s="120"/>
      <c r="QL247" s="120"/>
      <c r="QM247" s="120"/>
      <c r="QN247" s="120"/>
      <c r="QO247" s="120"/>
      <c r="QP247" s="120"/>
      <c r="QQ247" s="120"/>
      <c r="QR247" s="120"/>
      <c r="QS247" s="120"/>
      <c r="QT247" s="120"/>
      <c r="QU247" s="120"/>
      <c r="QV247" s="120"/>
      <c r="QW247" s="120"/>
      <c r="QX247" s="120"/>
      <c r="QY247" s="120"/>
      <c r="QZ247" s="120"/>
      <c r="RA247" s="120"/>
      <c r="RB247" s="120"/>
      <c r="RC247" s="120"/>
      <c r="RD247" s="120"/>
      <c r="RE247" s="120"/>
      <c r="RF247" s="120"/>
      <c r="RG247" s="120"/>
      <c r="RH247" s="120"/>
      <c r="RI247" s="120"/>
      <c r="RJ247" s="120"/>
      <c r="RK247" s="120"/>
      <c r="RL247" s="120"/>
      <c r="RM247" s="120"/>
      <c r="RN247" s="120"/>
      <c r="RO247" s="120"/>
      <c r="RP247" s="120"/>
      <c r="RQ247" s="120"/>
      <c r="RR247" s="120"/>
      <c r="RS247" s="120"/>
      <c r="RT247" s="120"/>
      <c r="RU247" s="120"/>
      <c r="RV247" s="120"/>
      <c r="RW247" s="120"/>
      <c r="RX247" s="120"/>
      <c r="RY247" s="120"/>
      <c r="RZ247" s="120"/>
      <c r="SA247" s="120"/>
      <c r="SB247" s="120"/>
      <c r="SC247" s="120"/>
      <c r="SD247" s="120"/>
      <c r="SE247" s="120"/>
      <c r="SF247" s="120"/>
      <c r="SG247" s="120"/>
      <c r="SH247" s="120"/>
      <c r="SI247" s="120"/>
      <c r="SJ247" s="120"/>
      <c r="SK247" s="120"/>
      <c r="SL247" s="120"/>
      <c r="SM247" s="120"/>
      <c r="SN247" s="120"/>
      <c r="SO247" s="120"/>
      <c r="SP247" s="120"/>
      <c r="SQ247" s="120"/>
      <c r="SR247" s="120"/>
      <c r="SS247" s="120"/>
      <c r="ST247" s="120"/>
      <c r="SU247" s="120"/>
      <c r="SV247" s="120"/>
      <c r="SW247" s="120"/>
      <c r="SX247" s="120"/>
      <c r="SY247" s="120"/>
      <c r="SZ247" s="120"/>
      <c r="TA247" s="120"/>
      <c r="TB247" s="120"/>
      <c r="TC247" s="120"/>
      <c r="TD247" s="120"/>
      <c r="TE247" s="120"/>
    </row>
    <row r="248" spans="1:525" s="121" customFormat="1" ht="33" customHeight="1" x14ac:dyDescent="0.25">
      <c r="A248" s="117" t="s">
        <v>483</v>
      </c>
      <c r="B248" s="118">
        <v>1080</v>
      </c>
      <c r="C248" s="117" t="s">
        <v>56</v>
      </c>
      <c r="D248" s="122" t="str">
        <f>'дод 6'!C62</f>
        <v>Надання спеціалізованої освіти мистецькими школами</v>
      </c>
      <c r="E248" s="81">
        <f t="shared" si="111"/>
        <v>49333300</v>
      </c>
      <c r="F248" s="81">
        <f>49446300-113000</f>
        <v>49333300</v>
      </c>
      <c r="G248" s="81">
        <v>38763800</v>
      </c>
      <c r="H248" s="81">
        <f>1571100-113000</f>
        <v>1458100</v>
      </c>
      <c r="I248" s="81"/>
      <c r="J248" s="81">
        <f t="shared" ref="J248:J255" si="113">L248+O248</f>
        <v>3183090</v>
      </c>
      <c r="K248" s="81">
        <v>250000</v>
      </c>
      <c r="L248" s="81">
        <v>2930890</v>
      </c>
      <c r="M248" s="81">
        <v>2397600</v>
      </c>
      <c r="N248" s="81"/>
      <c r="O248" s="81">
        <f>2200+250000</f>
        <v>252200</v>
      </c>
      <c r="P248" s="81">
        <f t="shared" si="112"/>
        <v>52516390</v>
      </c>
      <c r="Q248" s="225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  <c r="IW248" s="120"/>
      <c r="IX248" s="120"/>
      <c r="IY248" s="120"/>
      <c r="IZ248" s="120"/>
      <c r="JA248" s="120"/>
      <c r="JB248" s="120"/>
      <c r="JC248" s="120"/>
      <c r="JD248" s="120"/>
      <c r="JE248" s="120"/>
      <c r="JF248" s="120"/>
      <c r="JG248" s="120"/>
      <c r="JH248" s="120"/>
      <c r="JI248" s="120"/>
      <c r="JJ248" s="120"/>
      <c r="JK248" s="120"/>
      <c r="JL248" s="120"/>
      <c r="JM248" s="120"/>
      <c r="JN248" s="120"/>
      <c r="JO248" s="120"/>
      <c r="JP248" s="120"/>
      <c r="JQ248" s="120"/>
      <c r="JR248" s="120"/>
      <c r="JS248" s="120"/>
      <c r="JT248" s="120"/>
      <c r="JU248" s="120"/>
      <c r="JV248" s="120"/>
      <c r="JW248" s="120"/>
      <c r="JX248" s="120"/>
      <c r="JY248" s="120"/>
      <c r="JZ248" s="120"/>
      <c r="KA248" s="120"/>
      <c r="KB248" s="120"/>
      <c r="KC248" s="120"/>
      <c r="KD248" s="120"/>
      <c r="KE248" s="120"/>
      <c r="KF248" s="120"/>
      <c r="KG248" s="120"/>
      <c r="KH248" s="120"/>
      <c r="KI248" s="120"/>
      <c r="KJ248" s="120"/>
      <c r="KK248" s="120"/>
      <c r="KL248" s="120"/>
      <c r="KM248" s="120"/>
      <c r="KN248" s="120"/>
      <c r="KO248" s="120"/>
      <c r="KP248" s="120"/>
      <c r="KQ248" s="120"/>
      <c r="KR248" s="120"/>
      <c r="KS248" s="120"/>
      <c r="KT248" s="120"/>
      <c r="KU248" s="120"/>
      <c r="KV248" s="120"/>
      <c r="KW248" s="120"/>
      <c r="KX248" s="120"/>
      <c r="KY248" s="120"/>
      <c r="KZ248" s="120"/>
      <c r="LA248" s="120"/>
      <c r="LB248" s="120"/>
      <c r="LC248" s="120"/>
      <c r="LD248" s="120"/>
      <c r="LE248" s="120"/>
      <c r="LF248" s="120"/>
      <c r="LG248" s="120"/>
      <c r="LH248" s="120"/>
      <c r="LI248" s="120"/>
      <c r="LJ248" s="120"/>
      <c r="LK248" s="120"/>
      <c r="LL248" s="120"/>
      <c r="LM248" s="120"/>
      <c r="LN248" s="120"/>
      <c r="LO248" s="120"/>
      <c r="LP248" s="120"/>
      <c r="LQ248" s="120"/>
      <c r="LR248" s="120"/>
      <c r="LS248" s="120"/>
      <c r="LT248" s="120"/>
      <c r="LU248" s="120"/>
      <c r="LV248" s="120"/>
      <c r="LW248" s="120"/>
      <c r="LX248" s="120"/>
      <c r="LY248" s="120"/>
      <c r="LZ248" s="120"/>
      <c r="MA248" s="120"/>
      <c r="MB248" s="120"/>
      <c r="MC248" s="120"/>
      <c r="MD248" s="120"/>
      <c r="ME248" s="120"/>
      <c r="MF248" s="120"/>
      <c r="MG248" s="120"/>
      <c r="MH248" s="120"/>
      <c r="MI248" s="120"/>
      <c r="MJ248" s="120"/>
      <c r="MK248" s="120"/>
      <c r="ML248" s="120"/>
      <c r="MM248" s="120"/>
      <c r="MN248" s="120"/>
      <c r="MO248" s="120"/>
      <c r="MP248" s="120"/>
      <c r="MQ248" s="120"/>
      <c r="MR248" s="120"/>
      <c r="MS248" s="120"/>
      <c r="MT248" s="120"/>
      <c r="MU248" s="120"/>
      <c r="MV248" s="120"/>
      <c r="MW248" s="120"/>
      <c r="MX248" s="120"/>
      <c r="MY248" s="120"/>
      <c r="MZ248" s="120"/>
      <c r="NA248" s="120"/>
      <c r="NB248" s="120"/>
      <c r="NC248" s="120"/>
      <c r="ND248" s="120"/>
      <c r="NE248" s="120"/>
      <c r="NF248" s="120"/>
      <c r="NG248" s="120"/>
      <c r="NH248" s="120"/>
      <c r="NI248" s="120"/>
      <c r="NJ248" s="120"/>
      <c r="NK248" s="120"/>
      <c r="NL248" s="120"/>
      <c r="NM248" s="120"/>
      <c r="NN248" s="120"/>
      <c r="NO248" s="120"/>
      <c r="NP248" s="120"/>
      <c r="NQ248" s="120"/>
      <c r="NR248" s="120"/>
      <c r="NS248" s="120"/>
      <c r="NT248" s="120"/>
      <c r="NU248" s="120"/>
      <c r="NV248" s="120"/>
      <c r="NW248" s="120"/>
      <c r="NX248" s="120"/>
      <c r="NY248" s="120"/>
      <c r="NZ248" s="120"/>
      <c r="OA248" s="120"/>
      <c r="OB248" s="120"/>
      <c r="OC248" s="120"/>
      <c r="OD248" s="120"/>
      <c r="OE248" s="120"/>
      <c r="OF248" s="120"/>
      <c r="OG248" s="120"/>
      <c r="OH248" s="120"/>
      <c r="OI248" s="120"/>
      <c r="OJ248" s="120"/>
      <c r="OK248" s="120"/>
      <c r="OL248" s="120"/>
      <c r="OM248" s="120"/>
      <c r="ON248" s="120"/>
      <c r="OO248" s="120"/>
      <c r="OP248" s="120"/>
      <c r="OQ248" s="120"/>
      <c r="OR248" s="120"/>
      <c r="OS248" s="120"/>
      <c r="OT248" s="120"/>
      <c r="OU248" s="120"/>
      <c r="OV248" s="120"/>
      <c r="OW248" s="120"/>
      <c r="OX248" s="120"/>
      <c r="OY248" s="120"/>
      <c r="OZ248" s="120"/>
      <c r="PA248" s="120"/>
      <c r="PB248" s="120"/>
      <c r="PC248" s="120"/>
      <c r="PD248" s="120"/>
      <c r="PE248" s="120"/>
      <c r="PF248" s="120"/>
      <c r="PG248" s="120"/>
      <c r="PH248" s="120"/>
      <c r="PI248" s="120"/>
      <c r="PJ248" s="120"/>
      <c r="PK248" s="120"/>
      <c r="PL248" s="120"/>
      <c r="PM248" s="120"/>
      <c r="PN248" s="120"/>
      <c r="PO248" s="120"/>
      <c r="PP248" s="120"/>
      <c r="PQ248" s="120"/>
      <c r="PR248" s="120"/>
      <c r="PS248" s="120"/>
      <c r="PT248" s="120"/>
      <c r="PU248" s="120"/>
      <c r="PV248" s="120"/>
      <c r="PW248" s="120"/>
      <c r="PX248" s="120"/>
      <c r="PY248" s="120"/>
      <c r="PZ248" s="120"/>
      <c r="QA248" s="120"/>
      <c r="QB248" s="120"/>
      <c r="QC248" s="120"/>
      <c r="QD248" s="120"/>
      <c r="QE248" s="120"/>
      <c r="QF248" s="120"/>
      <c r="QG248" s="120"/>
      <c r="QH248" s="120"/>
      <c r="QI248" s="120"/>
      <c r="QJ248" s="120"/>
      <c r="QK248" s="120"/>
      <c r="QL248" s="120"/>
      <c r="QM248" s="120"/>
      <c r="QN248" s="120"/>
      <c r="QO248" s="120"/>
      <c r="QP248" s="120"/>
      <c r="QQ248" s="120"/>
      <c r="QR248" s="120"/>
      <c r="QS248" s="120"/>
      <c r="QT248" s="120"/>
      <c r="QU248" s="120"/>
      <c r="QV248" s="120"/>
      <c r="QW248" s="120"/>
      <c r="QX248" s="120"/>
      <c r="QY248" s="120"/>
      <c r="QZ248" s="120"/>
      <c r="RA248" s="120"/>
      <c r="RB248" s="120"/>
      <c r="RC248" s="120"/>
      <c r="RD248" s="120"/>
      <c r="RE248" s="120"/>
      <c r="RF248" s="120"/>
      <c r="RG248" s="120"/>
      <c r="RH248" s="120"/>
      <c r="RI248" s="120"/>
      <c r="RJ248" s="120"/>
      <c r="RK248" s="120"/>
      <c r="RL248" s="120"/>
      <c r="RM248" s="120"/>
      <c r="RN248" s="120"/>
      <c r="RO248" s="120"/>
      <c r="RP248" s="120"/>
      <c r="RQ248" s="120"/>
      <c r="RR248" s="120"/>
      <c r="RS248" s="120"/>
      <c r="RT248" s="120"/>
      <c r="RU248" s="120"/>
      <c r="RV248" s="120"/>
      <c r="RW248" s="120"/>
      <c r="RX248" s="120"/>
      <c r="RY248" s="120"/>
      <c r="RZ248" s="120"/>
      <c r="SA248" s="120"/>
      <c r="SB248" s="120"/>
      <c r="SC248" s="120"/>
      <c r="SD248" s="120"/>
      <c r="SE248" s="120"/>
      <c r="SF248" s="120"/>
      <c r="SG248" s="120"/>
      <c r="SH248" s="120"/>
      <c r="SI248" s="120"/>
      <c r="SJ248" s="120"/>
      <c r="SK248" s="120"/>
      <c r="SL248" s="120"/>
      <c r="SM248" s="120"/>
      <c r="SN248" s="120"/>
      <c r="SO248" s="120"/>
      <c r="SP248" s="120"/>
      <c r="SQ248" s="120"/>
      <c r="SR248" s="120"/>
      <c r="SS248" s="120"/>
      <c r="ST248" s="120"/>
      <c r="SU248" s="120"/>
      <c r="SV248" s="120"/>
      <c r="SW248" s="120"/>
      <c r="SX248" s="120"/>
      <c r="SY248" s="120"/>
      <c r="SZ248" s="120"/>
      <c r="TA248" s="120"/>
      <c r="TB248" s="120"/>
      <c r="TC248" s="120"/>
      <c r="TD248" s="120"/>
      <c r="TE248" s="120"/>
    </row>
    <row r="249" spans="1:525" s="121" customFormat="1" ht="21" customHeight="1" x14ac:dyDescent="0.25">
      <c r="A249" s="117" t="s">
        <v>190</v>
      </c>
      <c r="B249" s="118" t="str">
        <f>'дод 6'!A157</f>
        <v>4030</v>
      </c>
      <c r="C249" s="118" t="str">
        <f>'дод 6'!B157</f>
        <v>0824</v>
      </c>
      <c r="D249" s="122" t="str">
        <f>'дод 6'!C157</f>
        <v>Забезпечення діяльності бібліотек</v>
      </c>
      <c r="E249" s="81">
        <f t="shared" si="111"/>
        <v>24692448</v>
      </c>
      <c r="F249" s="81">
        <f>24915400+6848-195100-34700</f>
        <v>24692448</v>
      </c>
      <c r="G249" s="81">
        <v>17520000</v>
      </c>
      <c r="H249" s="81">
        <f>2622200-195100</f>
        <v>2427100</v>
      </c>
      <c r="I249" s="81"/>
      <c r="J249" s="81">
        <f t="shared" si="113"/>
        <v>347700</v>
      </c>
      <c r="K249" s="81">
        <f>100000+198000+34700</f>
        <v>332700</v>
      </c>
      <c r="L249" s="81">
        <v>15000</v>
      </c>
      <c r="M249" s="81">
        <v>7380</v>
      </c>
      <c r="N249" s="81"/>
      <c r="O249" s="81">
        <f>100000+198000+34700</f>
        <v>332700</v>
      </c>
      <c r="P249" s="81">
        <f t="shared" si="112"/>
        <v>25040148</v>
      </c>
      <c r="Q249" s="225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</row>
    <row r="250" spans="1:525" s="121" customFormat="1" ht="54.75" customHeight="1" x14ac:dyDescent="0.25">
      <c r="A250" s="117">
        <v>1014060</v>
      </c>
      <c r="B250" s="118" t="str">
        <f>'дод 6'!A158</f>
        <v>4060</v>
      </c>
      <c r="C250" s="118" t="str">
        <f>'дод 6'!B158</f>
        <v>0828</v>
      </c>
      <c r="D250" s="122" t="str">
        <f>'дод 6'!C158</f>
        <v>Забезпечення діяльності палаців i будинків культури, клубів, центрів дозвілля та iнших клубних закладів</v>
      </c>
      <c r="E250" s="81">
        <f t="shared" si="111"/>
        <v>4160950</v>
      </c>
      <c r="F250" s="81">
        <f>3842800+19450+67400+50000+100000-18700+100000</f>
        <v>4160950</v>
      </c>
      <c r="G250" s="81">
        <v>2806900</v>
      </c>
      <c r="H250" s="81">
        <f>305200+19450-18700</f>
        <v>305950</v>
      </c>
      <c r="I250" s="81"/>
      <c r="J250" s="81">
        <f t="shared" si="113"/>
        <v>606320</v>
      </c>
      <c r="K250" s="81">
        <f>600000</f>
        <v>600000</v>
      </c>
      <c r="L250" s="81">
        <v>6320</v>
      </c>
      <c r="M250" s="81"/>
      <c r="N250" s="81">
        <v>5490</v>
      </c>
      <c r="O250" s="81">
        <f>600000</f>
        <v>600000</v>
      </c>
      <c r="P250" s="81">
        <f t="shared" si="112"/>
        <v>4767270</v>
      </c>
      <c r="Q250" s="225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</row>
    <row r="251" spans="1:525" s="127" customFormat="1" ht="33.75" customHeight="1" x14ac:dyDescent="0.25">
      <c r="A251" s="117">
        <v>1014081</v>
      </c>
      <c r="B251" s="118" t="str">
        <f>'дод 6'!A159</f>
        <v>4081</v>
      </c>
      <c r="C251" s="118" t="str">
        <f>'дод 6'!B159</f>
        <v>0829</v>
      </c>
      <c r="D251" s="122" t="str">
        <f>'дод 6'!C159</f>
        <v>Забезпечення діяльності інших закладів в галузі культури і мистецтва</v>
      </c>
      <c r="E251" s="81">
        <f t="shared" si="111"/>
        <v>2565700</v>
      </c>
      <c r="F251" s="81">
        <f>2573400-7700</f>
        <v>2565700</v>
      </c>
      <c r="G251" s="81">
        <v>1930700</v>
      </c>
      <c r="H251" s="81">
        <f>80100-7700</f>
        <v>72400</v>
      </c>
      <c r="I251" s="81"/>
      <c r="J251" s="81">
        <f t="shared" si="113"/>
        <v>0</v>
      </c>
      <c r="K251" s="81"/>
      <c r="L251" s="81"/>
      <c r="M251" s="81"/>
      <c r="N251" s="81"/>
      <c r="O251" s="81"/>
      <c r="P251" s="81">
        <f t="shared" si="112"/>
        <v>2565700</v>
      </c>
      <c r="Q251" s="225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  <c r="IU251" s="126"/>
      <c r="IV251" s="126"/>
      <c r="IW251" s="126"/>
      <c r="IX251" s="126"/>
      <c r="IY251" s="126"/>
      <c r="IZ251" s="126"/>
      <c r="JA251" s="126"/>
      <c r="JB251" s="126"/>
      <c r="JC251" s="126"/>
      <c r="JD251" s="126"/>
      <c r="JE251" s="126"/>
      <c r="JF251" s="126"/>
      <c r="JG251" s="126"/>
      <c r="JH251" s="126"/>
      <c r="JI251" s="126"/>
      <c r="JJ251" s="126"/>
      <c r="JK251" s="126"/>
      <c r="JL251" s="126"/>
      <c r="JM251" s="126"/>
      <c r="JN251" s="126"/>
      <c r="JO251" s="126"/>
      <c r="JP251" s="126"/>
      <c r="JQ251" s="126"/>
      <c r="JR251" s="126"/>
      <c r="JS251" s="126"/>
      <c r="JT251" s="126"/>
      <c r="JU251" s="126"/>
      <c r="JV251" s="126"/>
      <c r="JW251" s="126"/>
      <c r="JX251" s="126"/>
      <c r="JY251" s="126"/>
      <c r="JZ251" s="126"/>
      <c r="KA251" s="126"/>
      <c r="KB251" s="126"/>
      <c r="KC251" s="126"/>
      <c r="KD251" s="126"/>
      <c r="KE251" s="126"/>
      <c r="KF251" s="126"/>
      <c r="KG251" s="126"/>
      <c r="KH251" s="126"/>
      <c r="KI251" s="126"/>
      <c r="KJ251" s="126"/>
      <c r="KK251" s="126"/>
      <c r="KL251" s="126"/>
      <c r="KM251" s="126"/>
      <c r="KN251" s="126"/>
      <c r="KO251" s="126"/>
      <c r="KP251" s="126"/>
      <c r="KQ251" s="126"/>
      <c r="KR251" s="126"/>
      <c r="KS251" s="126"/>
      <c r="KT251" s="126"/>
      <c r="KU251" s="126"/>
      <c r="KV251" s="126"/>
      <c r="KW251" s="126"/>
      <c r="KX251" s="126"/>
      <c r="KY251" s="126"/>
      <c r="KZ251" s="126"/>
      <c r="LA251" s="126"/>
      <c r="LB251" s="126"/>
      <c r="LC251" s="126"/>
      <c r="LD251" s="126"/>
      <c r="LE251" s="126"/>
      <c r="LF251" s="126"/>
      <c r="LG251" s="126"/>
      <c r="LH251" s="126"/>
      <c r="LI251" s="126"/>
      <c r="LJ251" s="126"/>
      <c r="LK251" s="126"/>
      <c r="LL251" s="126"/>
      <c r="LM251" s="126"/>
      <c r="LN251" s="126"/>
      <c r="LO251" s="126"/>
      <c r="LP251" s="126"/>
      <c r="LQ251" s="126"/>
      <c r="LR251" s="126"/>
      <c r="LS251" s="126"/>
      <c r="LT251" s="126"/>
      <c r="LU251" s="126"/>
      <c r="LV251" s="126"/>
      <c r="LW251" s="126"/>
      <c r="LX251" s="126"/>
      <c r="LY251" s="126"/>
      <c r="LZ251" s="126"/>
      <c r="MA251" s="126"/>
      <c r="MB251" s="126"/>
      <c r="MC251" s="126"/>
      <c r="MD251" s="126"/>
      <c r="ME251" s="126"/>
      <c r="MF251" s="126"/>
      <c r="MG251" s="126"/>
      <c r="MH251" s="126"/>
      <c r="MI251" s="126"/>
      <c r="MJ251" s="126"/>
      <c r="MK251" s="126"/>
      <c r="ML251" s="126"/>
      <c r="MM251" s="126"/>
      <c r="MN251" s="126"/>
      <c r="MO251" s="126"/>
      <c r="MP251" s="126"/>
      <c r="MQ251" s="126"/>
      <c r="MR251" s="126"/>
      <c r="MS251" s="126"/>
      <c r="MT251" s="126"/>
      <c r="MU251" s="126"/>
      <c r="MV251" s="126"/>
      <c r="MW251" s="126"/>
      <c r="MX251" s="126"/>
      <c r="MY251" s="126"/>
      <c r="MZ251" s="126"/>
      <c r="NA251" s="126"/>
      <c r="NB251" s="126"/>
      <c r="NC251" s="126"/>
      <c r="ND251" s="126"/>
      <c r="NE251" s="126"/>
      <c r="NF251" s="126"/>
      <c r="NG251" s="126"/>
      <c r="NH251" s="126"/>
      <c r="NI251" s="126"/>
      <c r="NJ251" s="126"/>
      <c r="NK251" s="126"/>
      <c r="NL251" s="126"/>
      <c r="NM251" s="126"/>
      <c r="NN251" s="126"/>
      <c r="NO251" s="126"/>
      <c r="NP251" s="126"/>
      <c r="NQ251" s="126"/>
      <c r="NR251" s="126"/>
      <c r="NS251" s="126"/>
      <c r="NT251" s="126"/>
      <c r="NU251" s="126"/>
      <c r="NV251" s="126"/>
      <c r="NW251" s="126"/>
      <c r="NX251" s="126"/>
      <c r="NY251" s="126"/>
      <c r="NZ251" s="126"/>
      <c r="OA251" s="126"/>
      <c r="OB251" s="126"/>
      <c r="OC251" s="126"/>
      <c r="OD251" s="126"/>
      <c r="OE251" s="126"/>
      <c r="OF251" s="126"/>
      <c r="OG251" s="126"/>
      <c r="OH251" s="126"/>
      <c r="OI251" s="126"/>
      <c r="OJ251" s="126"/>
      <c r="OK251" s="126"/>
      <c r="OL251" s="126"/>
      <c r="OM251" s="126"/>
      <c r="ON251" s="126"/>
      <c r="OO251" s="126"/>
      <c r="OP251" s="126"/>
      <c r="OQ251" s="126"/>
      <c r="OR251" s="126"/>
      <c r="OS251" s="126"/>
      <c r="OT251" s="126"/>
      <c r="OU251" s="126"/>
      <c r="OV251" s="126"/>
      <c r="OW251" s="126"/>
      <c r="OX251" s="126"/>
      <c r="OY251" s="126"/>
      <c r="OZ251" s="126"/>
      <c r="PA251" s="126"/>
      <c r="PB251" s="126"/>
      <c r="PC251" s="126"/>
      <c r="PD251" s="126"/>
      <c r="PE251" s="126"/>
      <c r="PF251" s="126"/>
      <c r="PG251" s="126"/>
      <c r="PH251" s="126"/>
      <c r="PI251" s="126"/>
      <c r="PJ251" s="126"/>
      <c r="PK251" s="126"/>
      <c r="PL251" s="126"/>
      <c r="PM251" s="126"/>
      <c r="PN251" s="126"/>
      <c r="PO251" s="126"/>
      <c r="PP251" s="126"/>
      <c r="PQ251" s="126"/>
      <c r="PR251" s="126"/>
      <c r="PS251" s="126"/>
      <c r="PT251" s="126"/>
      <c r="PU251" s="126"/>
      <c r="PV251" s="126"/>
      <c r="PW251" s="126"/>
      <c r="PX251" s="126"/>
      <c r="PY251" s="126"/>
      <c r="PZ251" s="126"/>
      <c r="QA251" s="126"/>
      <c r="QB251" s="126"/>
      <c r="QC251" s="126"/>
      <c r="QD251" s="126"/>
      <c r="QE251" s="126"/>
      <c r="QF251" s="126"/>
      <c r="QG251" s="126"/>
      <c r="QH251" s="126"/>
      <c r="QI251" s="126"/>
      <c r="QJ251" s="126"/>
      <c r="QK251" s="126"/>
      <c r="QL251" s="126"/>
      <c r="QM251" s="126"/>
      <c r="QN251" s="126"/>
      <c r="QO251" s="126"/>
      <c r="QP251" s="126"/>
      <c r="QQ251" s="126"/>
      <c r="QR251" s="126"/>
      <c r="QS251" s="126"/>
      <c r="QT251" s="126"/>
      <c r="QU251" s="126"/>
      <c r="QV251" s="126"/>
      <c r="QW251" s="126"/>
      <c r="QX251" s="126"/>
      <c r="QY251" s="126"/>
      <c r="QZ251" s="126"/>
      <c r="RA251" s="126"/>
      <c r="RB251" s="126"/>
      <c r="RC251" s="126"/>
      <c r="RD251" s="126"/>
      <c r="RE251" s="126"/>
      <c r="RF251" s="126"/>
      <c r="RG251" s="126"/>
      <c r="RH251" s="126"/>
      <c r="RI251" s="126"/>
      <c r="RJ251" s="126"/>
      <c r="RK251" s="126"/>
      <c r="RL251" s="126"/>
      <c r="RM251" s="126"/>
      <c r="RN251" s="126"/>
      <c r="RO251" s="126"/>
      <c r="RP251" s="126"/>
      <c r="RQ251" s="126"/>
      <c r="RR251" s="126"/>
      <c r="RS251" s="126"/>
      <c r="RT251" s="126"/>
      <c r="RU251" s="126"/>
      <c r="RV251" s="126"/>
      <c r="RW251" s="126"/>
      <c r="RX251" s="126"/>
      <c r="RY251" s="126"/>
      <c r="RZ251" s="126"/>
      <c r="SA251" s="126"/>
      <c r="SB251" s="126"/>
      <c r="SC251" s="126"/>
      <c r="SD251" s="126"/>
      <c r="SE251" s="126"/>
      <c r="SF251" s="126"/>
      <c r="SG251" s="126"/>
      <c r="SH251" s="126"/>
      <c r="SI251" s="126"/>
      <c r="SJ251" s="126"/>
      <c r="SK251" s="126"/>
      <c r="SL251" s="126"/>
      <c r="SM251" s="126"/>
      <c r="SN251" s="126"/>
      <c r="SO251" s="126"/>
      <c r="SP251" s="126"/>
      <c r="SQ251" s="126"/>
      <c r="SR251" s="126"/>
      <c r="SS251" s="126"/>
      <c r="ST251" s="126"/>
      <c r="SU251" s="126"/>
      <c r="SV251" s="126"/>
      <c r="SW251" s="126"/>
      <c r="SX251" s="126"/>
      <c r="SY251" s="126"/>
      <c r="SZ251" s="126"/>
      <c r="TA251" s="126"/>
      <c r="TB251" s="126"/>
      <c r="TC251" s="126"/>
      <c r="TD251" s="126"/>
      <c r="TE251" s="126"/>
    </row>
    <row r="252" spans="1:525" s="127" customFormat="1" ht="25.5" customHeight="1" x14ac:dyDescent="0.25">
      <c r="A252" s="117">
        <v>1014082</v>
      </c>
      <c r="B252" s="118" t="str">
        <f>'дод 6'!A160</f>
        <v>4082</v>
      </c>
      <c r="C252" s="118" t="str">
        <f>'дод 6'!B160</f>
        <v>0829</v>
      </c>
      <c r="D252" s="122" t="str">
        <f>'дод 6'!C160</f>
        <v>Інші заходи в галузі культури і мистецтва</v>
      </c>
      <c r="E252" s="81">
        <f t="shared" si="111"/>
        <v>1016000</v>
      </c>
      <c r="F252" s="81">
        <f>1260000+6000-250000</f>
        <v>1016000</v>
      </c>
      <c r="G252" s="81"/>
      <c r="H252" s="81"/>
      <c r="I252" s="81"/>
      <c r="J252" s="81">
        <f t="shared" si="113"/>
        <v>0</v>
      </c>
      <c r="K252" s="81"/>
      <c r="L252" s="81"/>
      <c r="M252" s="81"/>
      <c r="N252" s="81"/>
      <c r="O252" s="81"/>
      <c r="P252" s="81">
        <f t="shared" si="112"/>
        <v>1016000</v>
      </c>
      <c r="Q252" s="225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27" customFormat="1" ht="21.75" hidden="1" customHeight="1" x14ac:dyDescent="0.25">
      <c r="A253" s="117" t="s">
        <v>437</v>
      </c>
      <c r="B253" s="117" t="s">
        <v>438</v>
      </c>
      <c r="C253" s="117" t="s">
        <v>110</v>
      </c>
      <c r="D253" s="132" t="str">
        <f>'дод 6'!C204</f>
        <v>Будівництво1 установ та закладів культури</v>
      </c>
      <c r="E253" s="81">
        <f t="shared" si="111"/>
        <v>0</v>
      </c>
      <c r="F253" s="81"/>
      <c r="G253" s="81"/>
      <c r="H253" s="81"/>
      <c r="I253" s="81"/>
      <c r="J253" s="81">
        <f t="shared" si="113"/>
        <v>0</v>
      </c>
      <c r="K253" s="81"/>
      <c r="L253" s="81"/>
      <c r="M253" s="81"/>
      <c r="N253" s="81"/>
      <c r="O253" s="81"/>
      <c r="P253" s="81">
        <f t="shared" si="112"/>
        <v>0</v>
      </c>
      <c r="Q253" s="225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  <c r="IU253" s="126"/>
      <c r="IV253" s="126"/>
      <c r="IW253" s="126"/>
      <c r="IX253" s="126"/>
      <c r="IY253" s="126"/>
      <c r="IZ253" s="126"/>
      <c r="JA253" s="126"/>
      <c r="JB253" s="126"/>
      <c r="JC253" s="126"/>
      <c r="JD253" s="126"/>
      <c r="JE253" s="126"/>
      <c r="JF253" s="126"/>
      <c r="JG253" s="126"/>
      <c r="JH253" s="126"/>
      <c r="JI253" s="126"/>
      <c r="JJ253" s="126"/>
      <c r="JK253" s="126"/>
      <c r="JL253" s="126"/>
      <c r="JM253" s="126"/>
      <c r="JN253" s="126"/>
      <c r="JO253" s="126"/>
      <c r="JP253" s="126"/>
      <c r="JQ253" s="126"/>
      <c r="JR253" s="126"/>
      <c r="JS253" s="126"/>
      <c r="JT253" s="126"/>
      <c r="JU253" s="126"/>
      <c r="JV253" s="126"/>
      <c r="JW253" s="126"/>
      <c r="JX253" s="126"/>
      <c r="JY253" s="126"/>
      <c r="JZ253" s="126"/>
      <c r="KA253" s="126"/>
      <c r="KB253" s="126"/>
      <c r="KC253" s="126"/>
      <c r="KD253" s="126"/>
      <c r="KE253" s="126"/>
      <c r="KF253" s="126"/>
      <c r="KG253" s="126"/>
      <c r="KH253" s="126"/>
      <c r="KI253" s="126"/>
      <c r="KJ253" s="126"/>
      <c r="KK253" s="126"/>
      <c r="KL253" s="126"/>
      <c r="KM253" s="126"/>
      <c r="KN253" s="126"/>
      <c r="KO253" s="126"/>
      <c r="KP253" s="126"/>
      <c r="KQ253" s="126"/>
      <c r="KR253" s="126"/>
      <c r="KS253" s="126"/>
      <c r="KT253" s="126"/>
      <c r="KU253" s="126"/>
      <c r="KV253" s="126"/>
      <c r="KW253" s="126"/>
      <c r="KX253" s="126"/>
      <c r="KY253" s="126"/>
      <c r="KZ253" s="126"/>
      <c r="LA253" s="126"/>
      <c r="LB253" s="126"/>
      <c r="LC253" s="126"/>
      <c r="LD253" s="126"/>
      <c r="LE253" s="126"/>
      <c r="LF253" s="126"/>
      <c r="LG253" s="126"/>
      <c r="LH253" s="126"/>
      <c r="LI253" s="126"/>
      <c r="LJ253" s="126"/>
      <c r="LK253" s="126"/>
      <c r="LL253" s="126"/>
      <c r="LM253" s="126"/>
      <c r="LN253" s="126"/>
      <c r="LO253" s="126"/>
      <c r="LP253" s="126"/>
      <c r="LQ253" s="126"/>
      <c r="LR253" s="126"/>
      <c r="LS253" s="126"/>
      <c r="LT253" s="126"/>
      <c r="LU253" s="126"/>
      <c r="LV253" s="126"/>
      <c r="LW253" s="126"/>
      <c r="LX253" s="126"/>
      <c r="LY253" s="126"/>
      <c r="LZ253" s="126"/>
      <c r="MA253" s="126"/>
      <c r="MB253" s="126"/>
      <c r="MC253" s="126"/>
      <c r="MD253" s="126"/>
      <c r="ME253" s="126"/>
      <c r="MF253" s="126"/>
      <c r="MG253" s="126"/>
      <c r="MH253" s="126"/>
      <c r="MI253" s="126"/>
      <c r="MJ253" s="126"/>
      <c r="MK253" s="126"/>
      <c r="ML253" s="126"/>
      <c r="MM253" s="126"/>
      <c r="MN253" s="126"/>
      <c r="MO253" s="126"/>
      <c r="MP253" s="126"/>
      <c r="MQ253" s="126"/>
      <c r="MR253" s="126"/>
      <c r="MS253" s="126"/>
      <c r="MT253" s="126"/>
      <c r="MU253" s="126"/>
      <c r="MV253" s="126"/>
      <c r="MW253" s="126"/>
      <c r="MX253" s="126"/>
      <c r="MY253" s="126"/>
      <c r="MZ253" s="126"/>
      <c r="NA253" s="126"/>
      <c r="NB253" s="126"/>
      <c r="NC253" s="126"/>
      <c r="ND253" s="126"/>
      <c r="NE253" s="126"/>
      <c r="NF253" s="126"/>
      <c r="NG253" s="126"/>
      <c r="NH253" s="126"/>
      <c r="NI253" s="126"/>
      <c r="NJ253" s="126"/>
      <c r="NK253" s="126"/>
      <c r="NL253" s="126"/>
      <c r="NM253" s="126"/>
      <c r="NN253" s="126"/>
      <c r="NO253" s="126"/>
      <c r="NP253" s="126"/>
      <c r="NQ253" s="126"/>
      <c r="NR253" s="126"/>
      <c r="NS253" s="126"/>
      <c r="NT253" s="126"/>
      <c r="NU253" s="126"/>
      <c r="NV253" s="126"/>
      <c r="NW253" s="126"/>
      <c r="NX253" s="126"/>
      <c r="NY253" s="126"/>
      <c r="NZ253" s="126"/>
      <c r="OA253" s="126"/>
      <c r="OB253" s="126"/>
      <c r="OC253" s="126"/>
      <c r="OD253" s="126"/>
      <c r="OE253" s="126"/>
      <c r="OF253" s="126"/>
      <c r="OG253" s="126"/>
      <c r="OH253" s="126"/>
      <c r="OI253" s="126"/>
      <c r="OJ253" s="126"/>
      <c r="OK253" s="126"/>
      <c r="OL253" s="126"/>
      <c r="OM253" s="126"/>
      <c r="ON253" s="126"/>
      <c r="OO253" s="126"/>
      <c r="OP253" s="126"/>
      <c r="OQ253" s="126"/>
      <c r="OR253" s="126"/>
      <c r="OS253" s="126"/>
      <c r="OT253" s="126"/>
      <c r="OU253" s="126"/>
      <c r="OV253" s="126"/>
      <c r="OW253" s="126"/>
      <c r="OX253" s="126"/>
      <c r="OY253" s="126"/>
      <c r="OZ253" s="126"/>
      <c r="PA253" s="126"/>
      <c r="PB253" s="126"/>
      <c r="PC253" s="126"/>
      <c r="PD253" s="126"/>
      <c r="PE253" s="126"/>
      <c r="PF253" s="126"/>
      <c r="PG253" s="126"/>
      <c r="PH253" s="126"/>
      <c r="PI253" s="126"/>
      <c r="PJ253" s="126"/>
      <c r="PK253" s="126"/>
      <c r="PL253" s="126"/>
      <c r="PM253" s="126"/>
      <c r="PN253" s="126"/>
      <c r="PO253" s="126"/>
      <c r="PP253" s="126"/>
      <c r="PQ253" s="126"/>
      <c r="PR253" s="126"/>
      <c r="PS253" s="126"/>
      <c r="PT253" s="126"/>
      <c r="PU253" s="126"/>
      <c r="PV253" s="126"/>
      <c r="PW253" s="126"/>
      <c r="PX253" s="126"/>
      <c r="PY253" s="126"/>
      <c r="PZ253" s="126"/>
      <c r="QA253" s="126"/>
      <c r="QB253" s="126"/>
      <c r="QC253" s="126"/>
      <c r="QD253" s="126"/>
      <c r="QE253" s="126"/>
      <c r="QF253" s="126"/>
      <c r="QG253" s="126"/>
      <c r="QH253" s="126"/>
      <c r="QI253" s="126"/>
      <c r="QJ253" s="126"/>
      <c r="QK253" s="126"/>
      <c r="QL253" s="126"/>
      <c r="QM253" s="126"/>
      <c r="QN253" s="126"/>
      <c r="QO253" s="126"/>
      <c r="QP253" s="126"/>
      <c r="QQ253" s="126"/>
      <c r="QR253" s="126"/>
      <c r="QS253" s="126"/>
      <c r="QT253" s="126"/>
      <c r="QU253" s="126"/>
      <c r="QV253" s="126"/>
      <c r="QW253" s="126"/>
      <c r="QX253" s="126"/>
      <c r="QY253" s="126"/>
      <c r="QZ253" s="126"/>
      <c r="RA253" s="126"/>
      <c r="RB253" s="126"/>
      <c r="RC253" s="126"/>
      <c r="RD253" s="126"/>
      <c r="RE253" s="126"/>
      <c r="RF253" s="126"/>
      <c r="RG253" s="126"/>
      <c r="RH253" s="126"/>
      <c r="RI253" s="126"/>
      <c r="RJ253" s="126"/>
      <c r="RK253" s="126"/>
      <c r="RL253" s="126"/>
      <c r="RM253" s="126"/>
      <c r="RN253" s="126"/>
      <c r="RO253" s="126"/>
      <c r="RP253" s="126"/>
      <c r="RQ253" s="126"/>
      <c r="RR253" s="126"/>
      <c r="RS253" s="126"/>
      <c r="RT253" s="126"/>
      <c r="RU253" s="126"/>
      <c r="RV253" s="126"/>
      <c r="RW253" s="126"/>
      <c r="RX253" s="126"/>
      <c r="RY253" s="126"/>
      <c r="RZ253" s="126"/>
      <c r="SA253" s="126"/>
      <c r="SB253" s="126"/>
      <c r="SC253" s="126"/>
      <c r="SD253" s="126"/>
      <c r="SE253" s="126"/>
      <c r="SF253" s="126"/>
      <c r="SG253" s="126"/>
      <c r="SH253" s="126"/>
      <c r="SI253" s="126"/>
      <c r="SJ253" s="126"/>
      <c r="SK253" s="126"/>
      <c r="SL253" s="126"/>
      <c r="SM253" s="126"/>
      <c r="SN253" s="126"/>
      <c r="SO253" s="126"/>
      <c r="SP253" s="126"/>
      <c r="SQ253" s="126"/>
      <c r="SR253" s="126"/>
      <c r="SS253" s="126"/>
      <c r="ST253" s="126"/>
      <c r="SU253" s="126"/>
      <c r="SV253" s="126"/>
      <c r="SW253" s="126"/>
      <c r="SX253" s="126"/>
      <c r="SY253" s="126"/>
      <c r="SZ253" s="126"/>
      <c r="TA253" s="126"/>
      <c r="TB253" s="126"/>
      <c r="TC253" s="126"/>
      <c r="TD253" s="126"/>
      <c r="TE253" s="126"/>
    </row>
    <row r="254" spans="1:525" s="121" customFormat="1" ht="22.5" hidden="1" customHeight="1" x14ac:dyDescent="0.25">
      <c r="A254" s="117" t="s">
        <v>142</v>
      </c>
      <c r="B254" s="118" t="str">
        <f>'дод 6'!A239</f>
        <v>7640</v>
      </c>
      <c r="C254" s="118" t="str">
        <f>'дод 6'!B239</f>
        <v>0470</v>
      </c>
      <c r="D254" s="122" t="s">
        <v>413</v>
      </c>
      <c r="E254" s="81">
        <f t="shared" si="111"/>
        <v>0</v>
      </c>
      <c r="F254" s="81"/>
      <c r="G254" s="81"/>
      <c r="H254" s="81"/>
      <c r="I254" s="81"/>
      <c r="J254" s="81">
        <f t="shared" si="113"/>
        <v>0</v>
      </c>
      <c r="K254" s="81"/>
      <c r="L254" s="81"/>
      <c r="M254" s="81"/>
      <c r="N254" s="81"/>
      <c r="O254" s="81"/>
      <c r="P254" s="81">
        <f t="shared" si="112"/>
        <v>0</v>
      </c>
      <c r="Q254" s="225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</row>
    <row r="255" spans="1:525" s="121" customFormat="1" ht="27" hidden="1" customHeight="1" x14ac:dyDescent="0.25">
      <c r="A255" s="117">
        <v>1018340</v>
      </c>
      <c r="B255" s="118" t="str">
        <f>'дод 6'!A265</f>
        <v>8340</v>
      </c>
      <c r="C255" s="118" t="str">
        <f>'дод 6'!B265</f>
        <v>0540</v>
      </c>
      <c r="D255" s="153" t="str">
        <f>'дод 6'!C265</f>
        <v>Природоохоронні заходи за рахунок цільових фондів</v>
      </c>
      <c r="E255" s="81">
        <f t="shared" si="111"/>
        <v>0</v>
      </c>
      <c r="F255" s="81"/>
      <c r="G255" s="81"/>
      <c r="H255" s="81"/>
      <c r="I255" s="81"/>
      <c r="J255" s="81">
        <f t="shared" si="113"/>
        <v>0</v>
      </c>
      <c r="K255" s="81"/>
      <c r="L255" s="81"/>
      <c r="M255" s="81"/>
      <c r="N255" s="81"/>
      <c r="O255" s="81"/>
      <c r="P255" s="81">
        <f t="shared" si="112"/>
        <v>0</v>
      </c>
      <c r="Q255" s="225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</row>
    <row r="256" spans="1:525" s="111" customFormat="1" ht="34.5" customHeight="1" x14ac:dyDescent="0.25">
      <c r="A256" s="142" t="s">
        <v>191</v>
      </c>
      <c r="B256" s="148"/>
      <c r="C256" s="148"/>
      <c r="D256" s="138" t="s">
        <v>31</v>
      </c>
      <c r="E256" s="79">
        <f>E257</f>
        <v>400388586.60000002</v>
      </c>
      <c r="F256" s="79">
        <f>F257</f>
        <v>341732337.60000002</v>
      </c>
      <c r="G256" s="79">
        <f t="shared" ref="G256:P256" si="114">G257</f>
        <v>11295300</v>
      </c>
      <c r="H256" s="79">
        <f t="shared" si="114"/>
        <v>16730400</v>
      </c>
      <c r="I256" s="79">
        <f t="shared" si="114"/>
        <v>58656249</v>
      </c>
      <c r="J256" s="79">
        <f>J257</f>
        <v>605016891.00999999</v>
      </c>
      <c r="K256" s="79">
        <f t="shared" si="114"/>
        <v>165525658.00999999</v>
      </c>
      <c r="L256" s="79">
        <f t="shared" si="114"/>
        <v>22768259</v>
      </c>
      <c r="M256" s="79">
        <f t="shared" si="114"/>
        <v>0</v>
      </c>
      <c r="N256" s="79">
        <f t="shared" si="114"/>
        <v>0</v>
      </c>
      <c r="O256" s="79">
        <f t="shared" si="114"/>
        <v>582248632.00999999</v>
      </c>
      <c r="P256" s="79">
        <f t="shared" si="114"/>
        <v>1005405477.61</v>
      </c>
      <c r="Q256" s="225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110"/>
      <c r="EJ256" s="110"/>
      <c r="EK256" s="110"/>
      <c r="EL256" s="110"/>
      <c r="EM256" s="110"/>
      <c r="EN256" s="110"/>
      <c r="EO256" s="110"/>
      <c r="EP256" s="110"/>
      <c r="EQ256" s="110"/>
      <c r="ER256" s="110"/>
      <c r="ES256" s="110"/>
      <c r="ET256" s="110"/>
      <c r="EU256" s="110"/>
      <c r="EV256" s="110"/>
      <c r="EW256" s="110"/>
      <c r="EX256" s="110"/>
      <c r="EY256" s="110"/>
      <c r="EZ256" s="110"/>
      <c r="FA256" s="110"/>
      <c r="FB256" s="110"/>
      <c r="FC256" s="110"/>
      <c r="FD256" s="110"/>
      <c r="FE256" s="110"/>
      <c r="FF256" s="110"/>
      <c r="FG256" s="110"/>
      <c r="FH256" s="110"/>
      <c r="FI256" s="110"/>
      <c r="FJ256" s="110"/>
      <c r="FK256" s="110"/>
      <c r="FL256" s="110"/>
      <c r="FM256" s="110"/>
      <c r="FN256" s="110"/>
      <c r="FO256" s="110"/>
      <c r="FP256" s="110"/>
      <c r="FQ256" s="110"/>
      <c r="FR256" s="110"/>
      <c r="FS256" s="110"/>
      <c r="FT256" s="110"/>
      <c r="FU256" s="110"/>
      <c r="FV256" s="110"/>
      <c r="FW256" s="110"/>
      <c r="FX256" s="110"/>
      <c r="FY256" s="110"/>
      <c r="FZ256" s="110"/>
      <c r="GA256" s="110"/>
      <c r="GB256" s="110"/>
      <c r="GC256" s="110"/>
      <c r="GD256" s="110"/>
      <c r="GE256" s="110"/>
      <c r="GF256" s="110"/>
      <c r="GG256" s="110"/>
      <c r="GH256" s="110"/>
      <c r="GI256" s="110"/>
      <c r="GJ256" s="110"/>
      <c r="GK256" s="110"/>
      <c r="GL256" s="110"/>
      <c r="GM256" s="110"/>
      <c r="GN256" s="110"/>
      <c r="GO256" s="110"/>
      <c r="GP256" s="110"/>
      <c r="GQ256" s="110"/>
      <c r="GR256" s="110"/>
      <c r="GS256" s="110"/>
      <c r="GT256" s="110"/>
      <c r="GU256" s="110"/>
      <c r="GV256" s="110"/>
      <c r="GW256" s="110"/>
      <c r="GX256" s="110"/>
      <c r="GY256" s="110"/>
      <c r="GZ256" s="110"/>
      <c r="HA256" s="110"/>
      <c r="HB256" s="110"/>
      <c r="HC256" s="110"/>
      <c r="HD256" s="110"/>
      <c r="HE256" s="110"/>
      <c r="HF256" s="110"/>
      <c r="HG256" s="110"/>
      <c r="HH256" s="110"/>
      <c r="HI256" s="110"/>
      <c r="HJ256" s="110"/>
      <c r="HK256" s="110"/>
      <c r="HL256" s="110"/>
      <c r="HM256" s="110"/>
      <c r="HN256" s="110"/>
      <c r="HO256" s="110"/>
      <c r="HP256" s="110"/>
      <c r="HQ256" s="110"/>
      <c r="HR256" s="110"/>
      <c r="HS256" s="110"/>
      <c r="HT256" s="110"/>
      <c r="HU256" s="110"/>
      <c r="HV256" s="110"/>
      <c r="HW256" s="110"/>
      <c r="HX256" s="110"/>
      <c r="HY256" s="110"/>
      <c r="HZ256" s="110"/>
      <c r="IA256" s="110"/>
      <c r="IB256" s="110"/>
      <c r="IC256" s="110"/>
      <c r="ID256" s="110"/>
      <c r="IE256" s="110"/>
      <c r="IF256" s="110"/>
      <c r="IG256" s="110"/>
      <c r="IH256" s="110"/>
      <c r="II256" s="110"/>
      <c r="IJ256" s="110"/>
      <c r="IK256" s="110"/>
      <c r="IL256" s="110"/>
      <c r="IM256" s="110"/>
      <c r="IN256" s="110"/>
      <c r="IO256" s="110"/>
      <c r="IP256" s="110"/>
      <c r="IQ256" s="110"/>
      <c r="IR256" s="110"/>
      <c r="IS256" s="110"/>
      <c r="IT256" s="110"/>
      <c r="IU256" s="110"/>
      <c r="IV256" s="110"/>
      <c r="IW256" s="110"/>
      <c r="IX256" s="110"/>
      <c r="IY256" s="110"/>
      <c r="IZ256" s="110"/>
      <c r="JA256" s="110"/>
      <c r="JB256" s="110"/>
      <c r="JC256" s="110"/>
      <c r="JD256" s="110"/>
      <c r="JE256" s="110"/>
      <c r="JF256" s="110"/>
      <c r="JG256" s="110"/>
      <c r="JH256" s="110"/>
      <c r="JI256" s="110"/>
      <c r="JJ256" s="110"/>
      <c r="JK256" s="110"/>
      <c r="JL256" s="110"/>
      <c r="JM256" s="110"/>
      <c r="JN256" s="110"/>
      <c r="JO256" s="110"/>
      <c r="JP256" s="110"/>
      <c r="JQ256" s="110"/>
      <c r="JR256" s="110"/>
      <c r="JS256" s="110"/>
      <c r="JT256" s="110"/>
      <c r="JU256" s="110"/>
      <c r="JV256" s="110"/>
      <c r="JW256" s="110"/>
      <c r="JX256" s="110"/>
      <c r="JY256" s="110"/>
      <c r="JZ256" s="110"/>
      <c r="KA256" s="110"/>
      <c r="KB256" s="110"/>
      <c r="KC256" s="110"/>
      <c r="KD256" s="110"/>
      <c r="KE256" s="110"/>
      <c r="KF256" s="110"/>
      <c r="KG256" s="110"/>
      <c r="KH256" s="110"/>
      <c r="KI256" s="110"/>
      <c r="KJ256" s="110"/>
      <c r="KK256" s="110"/>
      <c r="KL256" s="110"/>
      <c r="KM256" s="110"/>
      <c r="KN256" s="110"/>
      <c r="KO256" s="110"/>
      <c r="KP256" s="110"/>
      <c r="KQ256" s="110"/>
      <c r="KR256" s="110"/>
      <c r="KS256" s="110"/>
      <c r="KT256" s="110"/>
      <c r="KU256" s="110"/>
      <c r="KV256" s="110"/>
      <c r="KW256" s="110"/>
      <c r="KX256" s="110"/>
      <c r="KY256" s="110"/>
      <c r="KZ256" s="110"/>
      <c r="LA256" s="110"/>
      <c r="LB256" s="110"/>
      <c r="LC256" s="110"/>
      <c r="LD256" s="110"/>
      <c r="LE256" s="110"/>
      <c r="LF256" s="110"/>
      <c r="LG256" s="110"/>
      <c r="LH256" s="110"/>
      <c r="LI256" s="110"/>
      <c r="LJ256" s="110"/>
      <c r="LK256" s="110"/>
      <c r="LL256" s="110"/>
      <c r="LM256" s="110"/>
      <c r="LN256" s="110"/>
      <c r="LO256" s="110"/>
      <c r="LP256" s="110"/>
      <c r="LQ256" s="110"/>
      <c r="LR256" s="110"/>
      <c r="LS256" s="110"/>
      <c r="LT256" s="110"/>
      <c r="LU256" s="110"/>
      <c r="LV256" s="110"/>
      <c r="LW256" s="110"/>
      <c r="LX256" s="110"/>
      <c r="LY256" s="110"/>
      <c r="LZ256" s="110"/>
      <c r="MA256" s="110"/>
      <c r="MB256" s="110"/>
      <c r="MC256" s="110"/>
      <c r="MD256" s="110"/>
      <c r="ME256" s="110"/>
      <c r="MF256" s="110"/>
      <c r="MG256" s="110"/>
      <c r="MH256" s="110"/>
      <c r="MI256" s="110"/>
      <c r="MJ256" s="110"/>
      <c r="MK256" s="110"/>
      <c r="ML256" s="110"/>
      <c r="MM256" s="110"/>
      <c r="MN256" s="110"/>
      <c r="MO256" s="110"/>
      <c r="MP256" s="110"/>
      <c r="MQ256" s="110"/>
      <c r="MR256" s="110"/>
      <c r="MS256" s="110"/>
      <c r="MT256" s="110"/>
      <c r="MU256" s="110"/>
      <c r="MV256" s="110"/>
      <c r="MW256" s="110"/>
      <c r="MX256" s="110"/>
      <c r="MY256" s="110"/>
      <c r="MZ256" s="110"/>
      <c r="NA256" s="110"/>
      <c r="NB256" s="110"/>
      <c r="NC256" s="110"/>
      <c r="ND256" s="110"/>
      <c r="NE256" s="110"/>
      <c r="NF256" s="110"/>
      <c r="NG256" s="110"/>
      <c r="NH256" s="110"/>
      <c r="NI256" s="110"/>
      <c r="NJ256" s="110"/>
      <c r="NK256" s="110"/>
      <c r="NL256" s="110"/>
      <c r="NM256" s="110"/>
      <c r="NN256" s="110"/>
      <c r="NO256" s="110"/>
      <c r="NP256" s="110"/>
      <c r="NQ256" s="110"/>
      <c r="NR256" s="110"/>
      <c r="NS256" s="110"/>
      <c r="NT256" s="110"/>
      <c r="NU256" s="110"/>
      <c r="NV256" s="110"/>
      <c r="NW256" s="110"/>
      <c r="NX256" s="110"/>
      <c r="NY256" s="110"/>
      <c r="NZ256" s="110"/>
      <c r="OA256" s="110"/>
      <c r="OB256" s="110"/>
      <c r="OC256" s="110"/>
      <c r="OD256" s="110"/>
      <c r="OE256" s="110"/>
      <c r="OF256" s="110"/>
      <c r="OG256" s="110"/>
      <c r="OH256" s="110"/>
      <c r="OI256" s="110"/>
      <c r="OJ256" s="110"/>
      <c r="OK256" s="110"/>
      <c r="OL256" s="110"/>
      <c r="OM256" s="110"/>
      <c r="ON256" s="110"/>
      <c r="OO256" s="110"/>
      <c r="OP256" s="110"/>
      <c r="OQ256" s="110"/>
      <c r="OR256" s="110"/>
      <c r="OS256" s="110"/>
      <c r="OT256" s="110"/>
      <c r="OU256" s="110"/>
      <c r="OV256" s="110"/>
      <c r="OW256" s="110"/>
      <c r="OX256" s="110"/>
      <c r="OY256" s="110"/>
      <c r="OZ256" s="110"/>
      <c r="PA256" s="110"/>
      <c r="PB256" s="110"/>
      <c r="PC256" s="110"/>
      <c r="PD256" s="110"/>
      <c r="PE256" s="110"/>
      <c r="PF256" s="110"/>
      <c r="PG256" s="110"/>
      <c r="PH256" s="110"/>
      <c r="PI256" s="110"/>
      <c r="PJ256" s="110"/>
      <c r="PK256" s="110"/>
      <c r="PL256" s="110"/>
      <c r="PM256" s="110"/>
      <c r="PN256" s="110"/>
      <c r="PO256" s="110"/>
      <c r="PP256" s="110"/>
      <c r="PQ256" s="110"/>
      <c r="PR256" s="110"/>
      <c r="PS256" s="110"/>
      <c r="PT256" s="110"/>
      <c r="PU256" s="110"/>
      <c r="PV256" s="110"/>
      <c r="PW256" s="110"/>
      <c r="PX256" s="110"/>
      <c r="PY256" s="110"/>
      <c r="PZ256" s="110"/>
      <c r="QA256" s="110"/>
      <c r="QB256" s="110"/>
      <c r="QC256" s="110"/>
      <c r="QD256" s="110"/>
      <c r="QE256" s="110"/>
      <c r="QF256" s="110"/>
      <c r="QG256" s="110"/>
      <c r="QH256" s="110"/>
      <c r="QI256" s="110"/>
      <c r="QJ256" s="110"/>
      <c r="QK256" s="110"/>
      <c r="QL256" s="110"/>
      <c r="QM256" s="110"/>
      <c r="QN256" s="110"/>
      <c r="QO256" s="110"/>
      <c r="QP256" s="110"/>
      <c r="QQ256" s="110"/>
      <c r="QR256" s="110"/>
      <c r="QS256" s="110"/>
      <c r="QT256" s="110"/>
      <c r="QU256" s="110"/>
      <c r="QV256" s="110"/>
      <c r="QW256" s="110"/>
      <c r="QX256" s="110"/>
      <c r="QY256" s="110"/>
      <c r="QZ256" s="110"/>
      <c r="RA256" s="110"/>
      <c r="RB256" s="110"/>
      <c r="RC256" s="110"/>
      <c r="RD256" s="110"/>
      <c r="RE256" s="110"/>
      <c r="RF256" s="110"/>
      <c r="RG256" s="110"/>
      <c r="RH256" s="110"/>
      <c r="RI256" s="110"/>
      <c r="RJ256" s="110"/>
      <c r="RK256" s="110"/>
      <c r="RL256" s="110"/>
      <c r="RM256" s="110"/>
      <c r="RN256" s="110"/>
      <c r="RO256" s="110"/>
      <c r="RP256" s="110"/>
      <c r="RQ256" s="110"/>
      <c r="RR256" s="110"/>
      <c r="RS256" s="110"/>
      <c r="RT256" s="110"/>
      <c r="RU256" s="110"/>
      <c r="RV256" s="110"/>
      <c r="RW256" s="110"/>
      <c r="RX256" s="110"/>
      <c r="RY256" s="110"/>
      <c r="RZ256" s="110"/>
      <c r="SA256" s="110"/>
      <c r="SB256" s="110"/>
      <c r="SC256" s="110"/>
      <c r="SD256" s="110"/>
      <c r="SE256" s="110"/>
      <c r="SF256" s="110"/>
      <c r="SG256" s="110"/>
      <c r="SH256" s="110"/>
      <c r="SI256" s="110"/>
      <c r="SJ256" s="110"/>
      <c r="SK256" s="110"/>
      <c r="SL256" s="110"/>
      <c r="SM256" s="110"/>
      <c r="SN256" s="110"/>
      <c r="SO256" s="110"/>
      <c r="SP256" s="110"/>
      <c r="SQ256" s="110"/>
      <c r="SR256" s="110"/>
      <c r="SS256" s="110"/>
      <c r="ST256" s="110"/>
      <c r="SU256" s="110"/>
      <c r="SV256" s="110"/>
      <c r="SW256" s="110"/>
      <c r="SX256" s="110"/>
      <c r="SY256" s="110"/>
      <c r="SZ256" s="110"/>
      <c r="TA256" s="110"/>
      <c r="TB256" s="110"/>
      <c r="TC256" s="110"/>
      <c r="TD256" s="110"/>
      <c r="TE256" s="110"/>
    </row>
    <row r="257" spans="1:525" s="116" customFormat="1" ht="31.5" x14ac:dyDescent="0.25">
      <c r="A257" s="112" t="s">
        <v>192</v>
      </c>
      <c r="B257" s="141"/>
      <c r="C257" s="141"/>
      <c r="D257" s="114" t="s">
        <v>667</v>
      </c>
      <c r="E257" s="80">
        <f>E267+E268+E269+E270+E271+E273+E274+E275+E276+E281+E282+E284+E286+E285+E288+E290+E294+E296+E298+E305+E306+E308+E313+E317+E319+E287+E303+E310+E309+E277+E279+E318+E316+E272+E315+E320+E314+E311+E280+E312+E302+E300+E297</f>
        <v>400388586.60000002</v>
      </c>
      <c r="F257" s="80">
        <f t="shared" ref="F257:P257" si="115">F267+F268+F269+F270+F271+F273+F274+F275+F276+F281+F282+F284+F286+F285+F288+F290+F294+F296+F298+F305+F306+F308+F313+F317+F319+F287+F303+F310+F309+F277+F279+F318+F316+F272+F315+F320+F314+F311+F280+F312+F302+F300+F297</f>
        <v>341732337.60000002</v>
      </c>
      <c r="G257" s="80">
        <f t="shared" si="115"/>
        <v>11295300</v>
      </c>
      <c r="H257" s="80">
        <f t="shared" si="115"/>
        <v>16730400</v>
      </c>
      <c r="I257" s="80">
        <f t="shared" si="115"/>
        <v>58656249</v>
      </c>
      <c r="J257" s="80">
        <f t="shared" si="115"/>
        <v>605016891.00999999</v>
      </c>
      <c r="K257" s="80">
        <f t="shared" si="115"/>
        <v>165525658.00999999</v>
      </c>
      <c r="L257" s="80">
        <f t="shared" si="115"/>
        <v>22768259</v>
      </c>
      <c r="M257" s="80">
        <f t="shared" si="115"/>
        <v>0</v>
      </c>
      <c r="N257" s="80">
        <f t="shared" si="115"/>
        <v>0</v>
      </c>
      <c r="O257" s="80">
        <f t="shared" si="115"/>
        <v>582248632.00999999</v>
      </c>
      <c r="P257" s="80">
        <f t="shared" si="115"/>
        <v>1005405477.61</v>
      </c>
      <c r="Q257" s="22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  <c r="OH257" s="115"/>
      <c r="OI257" s="115"/>
      <c r="OJ257" s="115"/>
      <c r="OK257" s="115"/>
      <c r="OL257" s="115"/>
      <c r="OM257" s="115"/>
      <c r="ON257" s="115"/>
      <c r="OO257" s="115"/>
      <c r="OP257" s="115"/>
      <c r="OQ257" s="115"/>
      <c r="OR257" s="115"/>
      <c r="OS257" s="115"/>
      <c r="OT257" s="115"/>
      <c r="OU257" s="115"/>
      <c r="OV257" s="115"/>
      <c r="OW257" s="115"/>
      <c r="OX257" s="115"/>
      <c r="OY257" s="115"/>
      <c r="OZ257" s="115"/>
      <c r="PA257" s="115"/>
      <c r="PB257" s="115"/>
      <c r="PC257" s="115"/>
      <c r="PD257" s="115"/>
      <c r="PE257" s="115"/>
      <c r="PF257" s="115"/>
      <c r="PG257" s="115"/>
      <c r="PH257" s="115"/>
      <c r="PI257" s="115"/>
      <c r="PJ257" s="115"/>
      <c r="PK257" s="115"/>
      <c r="PL257" s="115"/>
      <c r="PM257" s="115"/>
      <c r="PN257" s="115"/>
      <c r="PO257" s="115"/>
      <c r="PP257" s="115"/>
      <c r="PQ257" s="115"/>
      <c r="PR257" s="115"/>
      <c r="PS257" s="115"/>
      <c r="PT257" s="115"/>
      <c r="PU257" s="115"/>
      <c r="PV257" s="115"/>
      <c r="PW257" s="115"/>
      <c r="PX257" s="115"/>
      <c r="PY257" s="115"/>
      <c r="PZ257" s="115"/>
      <c r="QA257" s="115"/>
      <c r="QB257" s="115"/>
      <c r="QC257" s="115"/>
      <c r="QD257" s="115"/>
      <c r="QE257" s="115"/>
      <c r="QF257" s="115"/>
      <c r="QG257" s="115"/>
      <c r="QH257" s="115"/>
      <c r="QI257" s="115"/>
      <c r="QJ257" s="115"/>
      <c r="QK257" s="115"/>
      <c r="QL257" s="115"/>
      <c r="QM257" s="115"/>
      <c r="QN257" s="115"/>
      <c r="QO257" s="115"/>
      <c r="QP257" s="115"/>
      <c r="QQ257" s="115"/>
      <c r="QR257" s="115"/>
      <c r="QS257" s="115"/>
      <c r="QT257" s="115"/>
      <c r="QU257" s="115"/>
      <c r="QV257" s="115"/>
      <c r="QW257" s="115"/>
      <c r="QX257" s="115"/>
      <c r="QY257" s="115"/>
      <c r="QZ257" s="115"/>
      <c r="RA257" s="115"/>
      <c r="RB257" s="115"/>
      <c r="RC257" s="115"/>
      <c r="RD257" s="115"/>
      <c r="RE257" s="115"/>
      <c r="RF257" s="115"/>
      <c r="RG257" s="115"/>
      <c r="RH257" s="115"/>
      <c r="RI257" s="115"/>
      <c r="RJ257" s="115"/>
      <c r="RK257" s="115"/>
      <c r="RL257" s="115"/>
      <c r="RM257" s="115"/>
      <c r="RN257" s="115"/>
      <c r="RO257" s="115"/>
      <c r="RP257" s="115"/>
      <c r="RQ257" s="115"/>
      <c r="RR257" s="115"/>
      <c r="RS257" s="115"/>
      <c r="RT257" s="115"/>
      <c r="RU257" s="115"/>
      <c r="RV257" s="115"/>
      <c r="RW257" s="115"/>
      <c r="RX257" s="115"/>
      <c r="RY257" s="115"/>
      <c r="RZ257" s="115"/>
      <c r="SA257" s="115"/>
      <c r="SB257" s="115"/>
      <c r="SC257" s="115"/>
      <c r="SD257" s="115"/>
      <c r="SE257" s="115"/>
      <c r="SF257" s="115"/>
      <c r="SG257" s="115"/>
      <c r="SH257" s="115"/>
      <c r="SI257" s="115"/>
      <c r="SJ257" s="115"/>
      <c r="SK257" s="115"/>
      <c r="SL257" s="115"/>
      <c r="SM257" s="115"/>
      <c r="SN257" s="115"/>
      <c r="SO257" s="115"/>
      <c r="SP257" s="115"/>
      <c r="SQ257" s="115"/>
      <c r="SR257" s="115"/>
      <c r="SS257" s="115"/>
      <c r="ST257" s="115"/>
      <c r="SU257" s="115"/>
      <c r="SV257" s="115"/>
      <c r="SW257" s="115"/>
      <c r="SX257" s="115"/>
      <c r="SY257" s="115"/>
      <c r="SZ257" s="115"/>
      <c r="TA257" s="115"/>
      <c r="TB257" s="115"/>
      <c r="TC257" s="115"/>
      <c r="TD257" s="115"/>
      <c r="TE257" s="115"/>
    </row>
    <row r="258" spans="1:525" s="116" customFormat="1" ht="117.75" customHeight="1" x14ac:dyDescent="0.25">
      <c r="A258" s="112"/>
      <c r="B258" s="141"/>
      <c r="C258" s="141"/>
      <c r="D258" s="114" t="s">
        <v>390</v>
      </c>
      <c r="E258" s="80">
        <f>E304</f>
        <v>0</v>
      </c>
      <c r="F258" s="80">
        <f t="shared" ref="F258:P258" si="116">F304</f>
        <v>0</v>
      </c>
      <c r="G258" s="80">
        <f t="shared" si="116"/>
        <v>0</v>
      </c>
      <c r="H258" s="80">
        <f t="shared" si="116"/>
        <v>0</v>
      </c>
      <c r="I258" s="80">
        <f t="shared" si="116"/>
        <v>0</v>
      </c>
      <c r="J258" s="80">
        <f t="shared" si="116"/>
        <v>16609000</v>
      </c>
      <c r="K258" s="80">
        <f t="shared" si="116"/>
        <v>0</v>
      </c>
      <c r="L258" s="80">
        <f t="shared" si="116"/>
        <v>16609000</v>
      </c>
      <c r="M258" s="80">
        <f t="shared" si="116"/>
        <v>0</v>
      </c>
      <c r="N258" s="80">
        <f t="shared" si="116"/>
        <v>0</v>
      </c>
      <c r="O258" s="80">
        <f t="shared" si="116"/>
        <v>0</v>
      </c>
      <c r="P258" s="80">
        <f t="shared" si="116"/>
        <v>16609000</v>
      </c>
      <c r="Q258" s="22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  <c r="OH258" s="115"/>
      <c r="OI258" s="115"/>
      <c r="OJ258" s="115"/>
      <c r="OK258" s="115"/>
      <c r="OL258" s="115"/>
      <c r="OM258" s="115"/>
      <c r="ON258" s="115"/>
      <c r="OO258" s="115"/>
      <c r="OP258" s="115"/>
      <c r="OQ258" s="115"/>
      <c r="OR258" s="115"/>
      <c r="OS258" s="115"/>
      <c r="OT258" s="115"/>
      <c r="OU258" s="115"/>
      <c r="OV258" s="115"/>
      <c r="OW258" s="115"/>
      <c r="OX258" s="115"/>
      <c r="OY258" s="115"/>
      <c r="OZ258" s="115"/>
      <c r="PA258" s="115"/>
      <c r="PB258" s="115"/>
      <c r="PC258" s="115"/>
      <c r="PD258" s="115"/>
      <c r="PE258" s="115"/>
      <c r="PF258" s="115"/>
      <c r="PG258" s="115"/>
      <c r="PH258" s="115"/>
      <c r="PI258" s="115"/>
      <c r="PJ258" s="115"/>
      <c r="PK258" s="115"/>
      <c r="PL258" s="115"/>
      <c r="PM258" s="115"/>
      <c r="PN258" s="115"/>
      <c r="PO258" s="115"/>
      <c r="PP258" s="115"/>
      <c r="PQ258" s="115"/>
      <c r="PR258" s="115"/>
      <c r="PS258" s="115"/>
      <c r="PT258" s="115"/>
      <c r="PU258" s="115"/>
      <c r="PV258" s="115"/>
      <c r="PW258" s="115"/>
      <c r="PX258" s="115"/>
      <c r="PY258" s="115"/>
      <c r="PZ258" s="115"/>
      <c r="QA258" s="115"/>
      <c r="QB258" s="115"/>
      <c r="QC258" s="115"/>
      <c r="QD258" s="115"/>
      <c r="QE258" s="115"/>
      <c r="QF258" s="115"/>
      <c r="QG258" s="115"/>
      <c r="QH258" s="115"/>
      <c r="QI258" s="115"/>
      <c r="QJ258" s="115"/>
      <c r="QK258" s="115"/>
      <c r="QL258" s="115"/>
      <c r="QM258" s="115"/>
      <c r="QN258" s="115"/>
      <c r="QO258" s="115"/>
      <c r="QP258" s="115"/>
      <c r="QQ258" s="115"/>
      <c r="QR258" s="115"/>
      <c r="QS258" s="115"/>
      <c r="QT258" s="115"/>
      <c r="QU258" s="115"/>
      <c r="QV258" s="115"/>
      <c r="QW258" s="115"/>
      <c r="QX258" s="115"/>
      <c r="QY258" s="115"/>
      <c r="QZ258" s="115"/>
      <c r="RA258" s="115"/>
      <c r="RB258" s="115"/>
      <c r="RC258" s="115"/>
      <c r="RD258" s="115"/>
      <c r="RE258" s="115"/>
      <c r="RF258" s="115"/>
      <c r="RG258" s="115"/>
      <c r="RH258" s="115"/>
      <c r="RI258" s="115"/>
      <c r="RJ258" s="115"/>
      <c r="RK258" s="115"/>
      <c r="RL258" s="115"/>
      <c r="RM258" s="115"/>
      <c r="RN258" s="115"/>
      <c r="RO258" s="115"/>
      <c r="RP258" s="115"/>
      <c r="RQ258" s="115"/>
      <c r="RR258" s="115"/>
      <c r="RS258" s="115"/>
      <c r="RT258" s="115"/>
      <c r="RU258" s="115"/>
      <c r="RV258" s="115"/>
      <c r="RW258" s="115"/>
      <c r="RX258" s="115"/>
      <c r="RY258" s="115"/>
      <c r="RZ258" s="115"/>
      <c r="SA258" s="115"/>
      <c r="SB258" s="115"/>
      <c r="SC258" s="115"/>
      <c r="SD258" s="115"/>
      <c r="SE258" s="115"/>
      <c r="SF258" s="115"/>
      <c r="SG258" s="115"/>
      <c r="SH258" s="115"/>
      <c r="SI258" s="115"/>
      <c r="SJ258" s="115"/>
      <c r="SK258" s="115"/>
      <c r="SL258" s="115"/>
      <c r="SM258" s="115"/>
      <c r="SN258" s="115"/>
      <c r="SO258" s="115"/>
      <c r="SP258" s="115"/>
      <c r="SQ258" s="115"/>
      <c r="SR258" s="115"/>
      <c r="SS258" s="115"/>
      <c r="ST258" s="115"/>
      <c r="SU258" s="115"/>
      <c r="SV258" s="115"/>
      <c r="SW258" s="115"/>
      <c r="SX258" s="115"/>
      <c r="SY258" s="115"/>
      <c r="SZ258" s="115"/>
      <c r="TA258" s="115"/>
      <c r="TB258" s="115"/>
      <c r="TC258" s="115"/>
      <c r="TD258" s="115"/>
      <c r="TE258" s="115"/>
    </row>
    <row r="259" spans="1:525" s="116" customFormat="1" ht="84" hidden="1" customHeight="1" x14ac:dyDescent="0.25">
      <c r="A259" s="112"/>
      <c r="B259" s="141"/>
      <c r="C259" s="141"/>
      <c r="D259" s="114" t="s">
        <v>504</v>
      </c>
      <c r="E259" s="80">
        <f>E293</f>
        <v>0</v>
      </c>
      <c r="F259" s="80">
        <f t="shared" ref="F259:P259" si="117">F293</f>
        <v>0</v>
      </c>
      <c r="G259" s="80">
        <f t="shared" si="117"/>
        <v>0</v>
      </c>
      <c r="H259" s="80">
        <f t="shared" si="117"/>
        <v>0</v>
      </c>
      <c r="I259" s="80">
        <f t="shared" si="117"/>
        <v>0</v>
      </c>
      <c r="J259" s="80">
        <f t="shared" si="117"/>
        <v>0</v>
      </c>
      <c r="K259" s="80">
        <f t="shared" si="117"/>
        <v>0</v>
      </c>
      <c r="L259" s="80">
        <f t="shared" si="117"/>
        <v>0</v>
      </c>
      <c r="M259" s="80">
        <f t="shared" si="117"/>
        <v>0</v>
      </c>
      <c r="N259" s="80">
        <f t="shared" si="117"/>
        <v>0</v>
      </c>
      <c r="O259" s="80">
        <f t="shared" si="117"/>
        <v>0</v>
      </c>
      <c r="P259" s="80">
        <f t="shared" si="117"/>
        <v>0</v>
      </c>
      <c r="Q259" s="22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  <c r="OH259" s="115"/>
      <c r="OI259" s="115"/>
      <c r="OJ259" s="115"/>
      <c r="OK259" s="115"/>
      <c r="OL259" s="115"/>
      <c r="OM259" s="115"/>
      <c r="ON259" s="115"/>
      <c r="OO259" s="115"/>
      <c r="OP259" s="115"/>
      <c r="OQ259" s="115"/>
      <c r="OR259" s="115"/>
      <c r="OS259" s="115"/>
      <c r="OT259" s="115"/>
      <c r="OU259" s="115"/>
      <c r="OV259" s="115"/>
      <c r="OW259" s="115"/>
      <c r="OX259" s="115"/>
      <c r="OY259" s="115"/>
      <c r="OZ259" s="115"/>
      <c r="PA259" s="115"/>
      <c r="PB259" s="115"/>
      <c r="PC259" s="115"/>
      <c r="PD259" s="115"/>
      <c r="PE259" s="115"/>
      <c r="PF259" s="115"/>
      <c r="PG259" s="115"/>
      <c r="PH259" s="115"/>
      <c r="PI259" s="115"/>
      <c r="PJ259" s="115"/>
      <c r="PK259" s="115"/>
      <c r="PL259" s="115"/>
      <c r="PM259" s="115"/>
      <c r="PN259" s="115"/>
      <c r="PO259" s="115"/>
      <c r="PP259" s="115"/>
      <c r="PQ259" s="115"/>
      <c r="PR259" s="115"/>
      <c r="PS259" s="115"/>
      <c r="PT259" s="115"/>
      <c r="PU259" s="115"/>
      <c r="PV259" s="115"/>
      <c r="PW259" s="115"/>
      <c r="PX259" s="115"/>
      <c r="PY259" s="115"/>
      <c r="PZ259" s="115"/>
      <c r="QA259" s="115"/>
      <c r="QB259" s="115"/>
      <c r="QC259" s="115"/>
      <c r="QD259" s="115"/>
      <c r="QE259" s="115"/>
      <c r="QF259" s="115"/>
      <c r="QG259" s="115"/>
      <c r="QH259" s="115"/>
      <c r="QI259" s="115"/>
      <c r="QJ259" s="115"/>
      <c r="QK259" s="115"/>
      <c r="QL259" s="115"/>
      <c r="QM259" s="115"/>
      <c r="QN259" s="115"/>
      <c r="QO259" s="115"/>
      <c r="QP259" s="115"/>
      <c r="QQ259" s="115"/>
      <c r="QR259" s="115"/>
      <c r="QS259" s="115"/>
      <c r="QT259" s="115"/>
      <c r="QU259" s="115"/>
      <c r="QV259" s="115"/>
      <c r="QW259" s="115"/>
      <c r="QX259" s="115"/>
      <c r="QY259" s="115"/>
      <c r="QZ259" s="115"/>
      <c r="RA259" s="115"/>
      <c r="RB259" s="115"/>
      <c r="RC259" s="115"/>
      <c r="RD259" s="115"/>
      <c r="RE259" s="115"/>
      <c r="RF259" s="115"/>
      <c r="RG259" s="115"/>
      <c r="RH259" s="115"/>
      <c r="RI259" s="115"/>
      <c r="RJ259" s="115"/>
      <c r="RK259" s="115"/>
      <c r="RL259" s="115"/>
      <c r="RM259" s="115"/>
      <c r="RN259" s="115"/>
      <c r="RO259" s="115"/>
      <c r="RP259" s="115"/>
      <c r="RQ259" s="115"/>
      <c r="RR259" s="115"/>
      <c r="RS259" s="115"/>
      <c r="RT259" s="115"/>
      <c r="RU259" s="115"/>
      <c r="RV259" s="115"/>
      <c r="RW259" s="115"/>
      <c r="RX259" s="115"/>
      <c r="RY259" s="115"/>
      <c r="RZ259" s="115"/>
      <c r="SA259" s="115"/>
      <c r="SB259" s="115"/>
      <c r="SC259" s="115"/>
      <c r="SD259" s="115"/>
      <c r="SE259" s="115"/>
      <c r="SF259" s="115"/>
      <c r="SG259" s="115"/>
      <c r="SH259" s="115"/>
      <c r="SI259" s="115"/>
      <c r="SJ259" s="115"/>
      <c r="SK259" s="115"/>
      <c r="SL259" s="115"/>
      <c r="SM259" s="115"/>
      <c r="SN259" s="115"/>
      <c r="SO259" s="115"/>
      <c r="SP259" s="115"/>
      <c r="SQ259" s="115"/>
      <c r="SR259" s="115"/>
      <c r="SS259" s="115"/>
      <c r="ST259" s="115"/>
      <c r="SU259" s="115"/>
      <c r="SV259" s="115"/>
      <c r="SW259" s="115"/>
      <c r="SX259" s="115"/>
      <c r="SY259" s="115"/>
      <c r="SZ259" s="115"/>
      <c r="TA259" s="115"/>
      <c r="TB259" s="115"/>
      <c r="TC259" s="115"/>
      <c r="TD259" s="115"/>
      <c r="TE259" s="115"/>
    </row>
    <row r="260" spans="1:525" s="116" customFormat="1" ht="61.5" hidden="1" customHeight="1" x14ac:dyDescent="0.25">
      <c r="A260" s="112"/>
      <c r="B260" s="141"/>
      <c r="C260" s="141"/>
      <c r="D260" s="114" t="s">
        <v>383</v>
      </c>
      <c r="E260" s="80">
        <f>E289</f>
        <v>0</v>
      </c>
      <c r="F260" s="80">
        <f t="shared" ref="F260:P260" si="118">F289</f>
        <v>0</v>
      </c>
      <c r="G260" s="80">
        <f t="shared" si="118"/>
        <v>0</v>
      </c>
      <c r="H260" s="80">
        <f t="shared" si="118"/>
        <v>0</v>
      </c>
      <c r="I260" s="80">
        <f t="shared" si="118"/>
        <v>0</v>
      </c>
      <c r="J260" s="80">
        <f t="shared" si="118"/>
        <v>0</v>
      </c>
      <c r="K260" s="80">
        <f t="shared" si="118"/>
        <v>0</v>
      </c>
      <c r="L260" s="80">
        <f t="shared" si="118"/>
        <v>0</v>
      </c>
      <c r="M260" s="80">
        <f t="shared" si="118"/>
        <v>0</v>
      </c>
      <c r="N260" s="80">
        <f t="shared" si="118"/>
        <v>0</v>
      </c>
      <c r="O260" s="80">
        <f t="shared" si="118"/>
        <v>0</v>
      </c>
      <c r="P260" s="80">
        <f t="shared" si="118"/>
        <v>0</v>
      </c>
      <c r="Q260" s="22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  <c r="OH260" s="115"/>
      <c r="OI260" s="115"/>
      <c r="OJ260" s="115"/>
      <c r="OK260" s="115"/>
      <c r="OL260" s="115"/>
      <c r="OM260" s="115"/>
      <c r="ON260" s="115"/>
      <c r="OO260" s="115"/>
      <c r="OP260" s="115"/>
      <c r="OQ260" s="115"/>
      <c r="OR260" s="115"/>
      <c r="OS260" s="115"/>
      <c r="OT260" s="115"/>
      <c r="OU260" s="115"/>
      <c r="OV260" s="115"/>
      <c r="OW260" s="115"/>
      <c r="OX260" s="115"/>
      <c r="OY260" s="115"/>
      <c r="OZ260" s="115"/>
      <c r="PA260" s="115"/>
      <c r="PB260" s="115"/>
      <c r="PC260" s="115"/>
      <c r="PD260" s="115"/>
      <c r="PE260" s="115"/>
      <c r="PF260" s="115"/>
      <c r="PG260" s="115"/>
      <c r="PH260" s="115"/>
      <c r="PI260" s="115"/>
      <c r="PJ260" s="115"/>
      <c r="PK260" s="115"/>
      <c r="PL260" s="115"/>
      <c r="PM260" s="115"/>
      <c r="PN260" s="115"/>
      <c r="PO260" s="115"/>
      <c r="PP260" s="115"/>
      <c r="PQ260" s="115"/>
      <c r="PR260" s="115"/>
      <c r="PS260" s="115"/>
      <c r="PT260" s="115"/>
      <c r="PU260" s="115"/>
      <c r="PV260" s="115"/>
      <c r="PW260" s="115"/>
      <c r="PX260" s="115"/>
      <c r="PY260" s="115"/>
      <c r="PZ260" s="115"/>
      <c r="QA260" s="115"/>
      <c r="QB260" s="115"/>
      <c r="QC260" s="115"/>
      <c r="QD260" s="115"/>
      <c r="QE260" s="115"/>
      <c r="QF260" s="115"/>
      <c r="QG260" s="115"/>
      <c r="QH260" s="115"/>
      <c r="QI260" s="115"/>
      <c r="QJ260" s="115"/>
      <c r="QK260" s="115"/>
      <c r="QL260" s="115"/>
      <c r="QM260" s="115"/>
      <c r="QN260" s="115"/>
      <c r="QO260" s="115"/>
      <c r="QP260" s="115"/>
      <c r="QQ260" s="115"/>
      <c r="QR260" s="115"/>
      <c r="QS260" s="115"/>
      <c r="QT260" s="115"/>
      <c r="QU260" s="115"/>
      <c r="QV260" s="115"/>
      <c r="QW260" s="115"/>
      <c r="QX260" s="115"/>
      <c r="QY260" s="115"/>
      <c r="QZ260" s="115"/>
      <c r="RA260" s="115"/>
      <c r="RB260" s="115"/>
      <c r="RC260" s="115"/>
      <c r="RD260" s="115"/>
      <c r="RE260" s="115"/>
      <c r="RF260" s="115"/>
      <c r="RG260" s="115"/>
      <c r="RH260" s="115"/>
      <c r="RI260" s="115"/>
      <c r="RJ260" s="115"/>
      <c r="RK260" s="115"/>
      <c r="RL260" s="115"/>
      <c r="RM260" s="115"/>
      <c r="RN260" s="115"/>
      <c r="RO260" s="115"/>
      <c r="RP260" s="115"/>
      <c r="RQ260" s="115"/>
      <c r="RR260" s="115"/>
      <c r="RS260" s="115"/>
      <c r="RT260" s="115"/>
      <c r="RU260" s="115"/>
      <c r="RV260" s="115"/>
      <c r="RW260" s="115"/>
      <c r="RX260" s="115"/>
      <c r="RY260" s="115"/>
      <c r="RZ260" s="115"/>
      <c r="SA260" s="115"/>
      <c r="SB260" s="115"/>
      <c r="SC260" s="115"/>
      <c r="SD260" s="115"/>
      <c r="SE260" s="115"/>
      <c r="SF260" s="115"/>
      <c r="SG260" s="115"/>
      <c r="SH260" s="115"/>
      <c r="SI260" s="115"/>
      <c r="SJ260" s="115"/>
      <c r="SK260" s="115"/>
      <c r="SL260" s="115"/>
      <c r="SM260" s="115"/>
      <c r="SN260" s="115"/>
      <c r="SO260" s="115"/>
      <c r="SP260" s="115"/>
      <c r="SQ260" s="115"/>
      <c r="SR260" s="115"/>
      <c r="SS260" s="115"/>
      <c r="ST260" s="115"/>
      <c r="SU260" s="115"/>
      <c r="SV260" s="115"/>
      <c r="SW260" s="115"/>
      <c r="SX260" s="115"/>
      <c r="SY260" s="115"/>
      <c r="SZ260" s="115"/>
      <c r="TA260" s="115"/>
      <c r="TB260" s="115"/>
      <c r="TC260" s="115"/>
      <c r="TD260" s="115"/>
      <c r="TE260" s="115"/>
    </row>
    <row r="261" spans="1:525" s="116" customFormat="1" ht="141.75" hidden="1" customHeight="1" x14ac:dyDescent="0.25">
      <c r="A261" s="112"/>
      <c r="B261" s="141"/>
      <c r="C261" s="141"/>
      <c r="D261" s="154" t="s">
        <v>548</v>
      </c>
      <c r="E261" s="80">
        <f>E277</f>
        <v>0</v>
      </c>
      <c r="F261" s="80">
        <f t="shared" ref="F261:P261" si="119">F277</f>
        <v>0</v>
      </c>
      <c r="G261" s="80">
        <f t="shared" si="119"/>
        <v>0</v>
      </c>
      <c r="H261" s="80">
        <f t="shared" si="119"/>
        <v>0</v>
      </c>
      <c r="I261" s="80">
        <f t="shared" si="119"/>
        <v>0</v>
      </c>
      <c r="J261" s="80">
        <f t="shared" si="119"/>
        <v>0</v>
      </c>
      <c r="K261" s="80">
        <f t="shared" si="119"/>
        <v>0</v>
      </c>
      <c r="L261" s="80">
        <f t="shared" si="119"/>
        <v>0</v>
      </c>
      <c r="M261" s="80">
        <f t="shared" si="119"/>
        <v>0</v>
      </c>
      <c r="N261" s="80">
        <f t="shared" si="119"/>
        <v>0</v>
      </c>
      <c r="O261" s="80">
        <f t="shared" si="119"/>
        <v>0</v>
      </c>
      <c r="P261" s="80">
        <f t="shared" si="119"/>
        <v>0</v>
      </c>
      <c r="Q261" s="22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  <c r="OH261" s="115"/>
      <c r="OI261" s="115"/>
      <c r="OJ261" s="115"/>
      <c r="OK261" s="115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5"/>
      <c r="OY261" s="115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5"/>
      <c r="PL261" s="115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5"/>
      <c r="PY261" s="115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15"/>
      <c r="QM261" s="115"/>
      <c r="QN261" s="115"/>
      <c r="QO261" s="115"/>
      <c r="QP261" s="115"/>
      <c r="QQ261" s="115"/>
      <c r="QR261" s="115"/>
      <c r="QS261" s="115"/>
      <c r="QT261" s="115"/>
      <c r="QU261" s="115"/>
      <c r="QV261" s="115"/>
      <c r="QW261" s="115"/>
      <c r="QX261" s="115"/>
      <c r="QY261" s="115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5"/>
      <c r="RM261" s="115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5"/>
      <c r="RZ261" s="115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5"/>
      <c r="SM261" s="115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15"/>
      <c r="SZ261" s="115"/>
      <c r="TA261" s="115"/>
      <c r="TB261" s="115"/>
      <c r="TC261" s="115"/>
      <c r="TD261" s="115"/>
      <c r="TE261" s="115"/>
    </row>
    <row r="262" spans="1:525" s="116" customFormat="1" ht="15.75" hidden="1" customHeight="1" x14ac:dyDescent="0.25">
      <c r="A262" s="112"/>
      <c r="B262" s="141"/>
      <c r="C262" s="141"/>
      <c r="D262" s="149" t="s">
        <v>388</v>
      </c>
      <c r="E262" s="80">
        <f t="shared" ref="E262:P262" si="120">E291+E295</f>
        <v>0</v>
      </c>
      <c r="F262" s="80">
        <f t="shared" si="120"/>
        <v>0</v>
      </c>
      <c r="G262" s="80">
        <f t="shared" si="120"/>
        <v>0</v>
      </c>
      <c r="H262" s="80">
        <f t="shared" si="120"/>
        <v>0</v>
      </c>
      <c r="I262" s="80">
        <f t="shared" si="120"/>
        <v>0</v>
      </c>
      <c r="J262" s="80">
        <f t="shared" si="120"/>
        <v>0</v>
      </c>
      <c r="K262" s="80">
        <f t="shared" si="120"/>
        <v>0</v>
      </c>
      <c r="L262" s="80">
        <f t="shared" si="120"/>
        <v>0</v>
      </c>
      <c r="M262" s="80">
        <f t="shared" si="120"/>
        <v>0</v>
      </c>
      <c r="N262" s="80">
        <f t="shared" si="120"/>
        <v>0</v>
      </c>
      <c r="O262" s="80">
        <f t="shared" si="120"/>
        <v>0</v>
      </c>
      <c r="P262" s="80">
        <f t="shared" si="120"/>
        <v>0</v>
      </c>
      <c r="Q262" s="22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  <c r="OH262" s="115"/>
      <c r="OI262" s="115"/>
      <c r="OJ262" s="115"/>
      <c r="OK262" s="115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5"/>
      <c r="OY262" s="115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5"/>
      <c r="PL262" s="115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5"/>
      <c r="PY262" s="115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15"/>
      <c r="QM262" s="115"/>
      <c r="QN262" s="115"/>
      <c r="QO262" s="115"/>
      <c r="QP262" s="115"/>
      <c r="QQ262" s="115"/>
      <c r="QR262" s="115"/>
      <c r="QS262" s="115"/>
      <c r="QT262" s="115"/>
      <c r="QU262" s="115"/>
      <c r="QV262" s="115"/>
      <c r="QW262" s="115"/>
      <c r="QX262" s="115"/>
      <c r="QY262" s="115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5"/>
      <c r="RM262" s="115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5"/>
      <c r="RZ262" s="115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5"/>
      <c r="SM262" s="115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15"/>
      <c r="SZ262" s="115"/>
      <c r="TA262" s="115"/>
      <c r="TB262" s="115"/>
      <c r="TC262" s="115"/>
      <c r="TD262" s="115"/>
      <c r="TE262" s="115"/>
    </row>
    <row r="263" spans="1:525" s="116" customFormat="1" ht="15.75" hidden="1" customHeight="1" x14ac:dyDescent="0.25">
      <c r="A263" s="112"/>
      <c r="B263" s="141"/>
      <c r="C263" s="141"/>
      <c r="D263" s="149" t="s">
        <v>410</v>
      </c>
      <c r="E263" s="80">
        <f>E307</f>
        <v>0</v>
      </c>
      <c r="F263" s="80">
        <f t="shared" ref="F263:P263" si="121">F307</f>
        <v>0</v>
      </c>
      <c r="G263" s="80">
        <f t="shared" si="121"/>
        <v>0</v>
      </c>
      <c r="H263" s="80">
        <f t="shared" si="121"/>
        <v>0</v>
      </c>
      <c r="I263" s="80">
        <f t="shared" si="121"/>
        <v>0</v>
      </c>
      <c r="J263" s="80">
        <f t="shared" si="121"/>
        <v>0</v>
      </c>
      <c r="K263" s="80">
        <f t="shared" si="121"/>
        <v>0</v>
      </c>
      <c r="L263" s="80">
        <f t="shared" si="121"/>
        <v>0</v>
      </c>
      <c r="M263" s="80">
        <f t="shared" si="121"/>
        <v>0</v>
      </c>
      <c r="N263" s="80">
        <f t="shared" si="121"/>
        <v>0</v>
      </c>
      <c r="O263" s="80">
        <f t="shared" si="121"/>
        <v>0</v>
      </c>
      <c r="P263" s="80">
        <f t="shared" si="121"/>
        <v>0</v>
      </c>
      <c r="Q263" s="22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  <c r="OH263" s="115"/>
      <c r="OI263" s="115"/>
      <c r="OJ263" s="115"/>
      <c r="OK263" s="115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5"/>
      <c r="OY263" s="115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5"/>
      <c r="PL263" s="115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5"/>
      <c r="PY263" s="115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15"/>
      <c r="QM263" s="115"/>
      <c r="QN263" s="115"/>
      <c r="QO263" s="115"/>
      <c r="QP263" s="115"/>
      <c r="QQ263" s="115"/>
      <c r="QR263" s="115"/>
      <c r="QS263" s="115"/>
      <c r="QT263" s="115"/>
      <c r="QU263" s="115"/>
      <c r="QV263" s="115"/>
      <c r="QW263" s="115"/>
      <c r="QX263" s="115"/>
      <c r="QY263" s="115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5"/>
      <c r="RM263" s="115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5"/>
      <c r="RZ263" s="115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5"/>
      <c r="SM263" s="115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15"/>
      <c r="SZ263" s="115"/>
      <c r="TA263" s="115"/>
      <c r="TB263" s="115"/>
      <c r="TC263" s="115"/>
      <c r="TD263" s="115"/>
      <c r="TE263" s="115"/>
    </row>
    <row r="264" spans="1:525" s="116" customFormat="1" ht="111.75" customHeight="1" x14ac:dyDescent="0.25">
      <c r="A264" s="112"/>
      <c r="B264" s="141"/>
      <c r="C264" s="141"/>
      <c r="D264" s="149" t="s">
        <v>691</v>
      </c>
      <c r="E264" s="80">
        <f>E283</f>
        <v>0</v>
      </c>
      <c r="F264" s="80">
        <f t="shared" ref="F264:P264" si="122">F283</f>
        <v>0</v>
      </c>
      <c r="G264" s="80">
        <f t="shared" si="122"/>
        <v>0</v>
      </c>
      <c r="H264" s="80">
        <f t="shared" si="122"/>
        <v>0</v>
      </c>
      <c r="I264" s="80">
        <f t="shared" si="122"/>
        <v>0</v>
      </c>
      <c r="J264" s="80">
        <f t="shared" si="122"/>
        <v>7344000</v>
      </c>
      <c r="K264" s="80">
        <f t="shared" si="122"/>
        <v>7344000</v>
      </c>
      <c r="L264" s="80">
        <f t="shared" si="122"/>
        <v>0</v>
      </c>
      <c r="M264" s="80">
        <f t="shared" si="122"/>
        <v>0</v>
      </c>
      <c r="N264" s="80">
        <f t="shared" si="122"/>
        <v>0</v>
      </c>
      <c r="O264" s="80">
        <f t="shared" si="122"/>
        <v>7344000</v>
      </c>
      <c r="P264" s="80">
        <f t="shared" si="122"/>
        <v>7344000</v>
      </c>
      <c r="Q264" s="22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  <c r="OH264" s="115"/>
      <c r="OI264" s="115"/>
      <c r="OJ264" s="115"/>
      <c r="OK264" s="115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5"/>
      <c r="OY264" s="115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5"/>
      <c r="PL264" s="115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5"/>
      <c r="PY264" s="115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15"/>
      <c r="QM264" s="115"/>
      <c r="QN264" s="115"/>
      <c r="QO264" s="115"/>
      <c r="QP264" s="115"/>
      <c r="QQ264" s="115"/>
      <c r="QR264" s="115"/>
      <c r="QS264" s="115"/>
      <c r="QT264" s="115"/>
      <c r="QU264" s="115"/>
      <c r="QV264" s="115"/>
      <c r="QW264" s="115"/>
      <c r="QX264" s="115"/>
      <c r="QY264" s="115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5"/>
      <c r="RM264" s="115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5"/>
      <c r="RZ264" s="115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5"/>
      <c r="SM264" s="115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15"/>
      <c r="SZ264" s="115"/>
      <c r="TA264" s="115"/>
      <c r="TB264" s="115"/>
      <c r="TC264" s="115"/>
      <c r="TD264" s="115"/>
      <c r="TE264" s="115"/>
    </row>
    <row r="265" spans="1:525" s="116" customFormat="1" ht="63" customHeight="1" x14ac:dyDescent="0.25">
      <c r="A265" s="112"/>
      <c r="B265" s="141"/>
      <c r="C265" s="141"/>
      <c r="D265" s="149" t="s">
        <v>698</v>
      </c>
      <c r="E265" s="80">
        <f>E298</f>
        <v>0</v>
      </c>
      <c r="F265" s="80">
        <f t="shared" ref="F265:P265" si="123">F298</f>
        <v>0</v>
      </c>
      <c r="G265" s="80">
        <f t="shared" si="123"/>
        <v>0</v>
      </c>
      <c r="H265" s="80">
        <f t="shared" si="123"/>
        <v>0</v>
      </c>
      <c r="I265" s="80">
        <f t="shared" si="123"/>
        <v>0</v>
      </c>
      <c r="J265" s="80">
        <f t="shared" si="123"/>
        <v>400000000</v>
      </c>
      <c r="K265" s="80">
        <f t="shared" si="123"/>
        <v>0</v>
      </c>
      <c r="L265" s="80">
        <f t="shared" si="123"/>
        <v>0</v>
      </c>
      <c r="M265" s="80">
        <f t="shared" si="123"/>
        <v>0</v>
      </c>
      <c r="N265" s="80">
        <f t="shared" si="123"/>
        <v>0</v>
      </c>
      <c r="O265" s="80">
        <f t="shared" si="123"/>
        <v>400000000</v>
      </c>
      <c r="P265" s="80">
        <f t="shared" si="123"/>
        <v>400000000</v>
      </c>
      <c r="Q265" s="22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  <c r="OH265" s="115"/>
      <c r="OI265" s="115"/>
      <c r="OJ265" s="115"/>
      <c r="OK265" s="115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5"/>
      <c r="OY265" s="115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5"/>
      <c r="PL265" s="115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5"/>
      <c r="PY265" s="115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15"/>
      <c r="QM265" s="115"/>
      <c r="QN265" s="115"/>
      <c r="QO265" s="115"/>
      <c r="QP265" s="115"/>
      <c r="QQ265" s="115"/>
      <c r="QR265" s="115"/>
      <c r="QS265" s="115"/>
      <c r="QT265" s="115"/>
      <c r="QU265" s="115"/>
      <c r="QV265" s="115"/>
      <c r="QW265" s="115"/>
      <c r="QX265" s="115"/>
      <c r="QY265" s="115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5"/>
      <c r="RM265" s="115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5"/>
      <c r="RZ265" s="115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5"/>
      <c r="SM265" s="115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15"/>
      <c r="SZ265" s="115"/>
      <c r="TA265" s="115"/>
      <c r="TB265" s="115"/>
      <c r="TC265" s="115"/>
      <c r="TD265" s="115"/>
      <c r="TE265" s="115"/>
    </row>
    <row r="266" spans="1:525" s="116" customFormat="1" ht="126.75" customHeight="1" x14ac:dyDescent="0.25">
      <c r="A266" s="112"/>
      <c r="B266" s="141"/>
      <c r="C266" s="141"/>
      <c r="D266" s="149" t="s">
        <v>725</v>
      </c>
      <c r="E266" s="80">
        <f>E301</f>
        <v>0</v>
      </c>
      <c r="F266" s="80">
        <f t="shared" ref="F266:P266" si="124">F301</f>
        <v>0</v>
      </c>
      <c r="G266" s="80">
        <f t="shared" si="124"/>
        <v>0</v>
      </c>
      <c r="H266" s="80">
        <f t="shared" si="124"/>
        <v>0</v>
      </c>
      <c r="I266" s="80">
        <f t="shared" si="124"/>
        <v>0</v>
      </c>
      <c r="J266" s="80">
        <f t="shared" si="124"/>
        <v>15622974</v>
      </c>
      <c r="K266" s="80">
        <f t="shared" si="124"/>
        <v>0</v>
      </c>
      <c r="L266" s="80">
        <f t="shared" si="124"/>
        <v>0</v>
      </c>
      <c r="M266" s="80">
        <f t="shared" si="124"/>
        <v>0</v>
      </c>
      <c r="N266" s="80">
        <f t="shared" si="124"/>
        <v>0</v>
      </c>
      <c r="O266" s="80">
        <f t="shared" si="124"/>
        <v>15622974</v>
      </c>
      <c r="P266" s="80">
        <f t="shared" si="124"/>
        <v>15622974</v>
      </c>
      <c r="Q266" s="229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  <c r="OH266" s="115"/>
      <c r="OI266" s="115"/>
      <c r="OJ266" s="115"/>
      <c r="OK266" s="115"/>
      <c r="OL266" s="115"/>
      <c r="OM266" s="115"/>
      <c r="ON266" s="115"/>
      <c r="OO266" s="115"/>
      <c r="OP266" s="115"/>
      <c r="OQ266" s="115"/>
      <c r="OR266" s="115"/>
      <c r="OS266" s="115"/>
      <c r="OT266" s="115"/>
      <c r="OU266" s="115"/>
      <c r="OV266" s="115"/>
      <c r="OW266" s="115"/>
      <c r="OX266" s="115"/>
      <c r="OY266" s="115"/>
      <c r="OZ266" s="115"/>
      <c r="PA266" s="115"/>
      <c r="PB266" s="115"/>
      <c r="PC266" s="115"/>
      <c r="PD266" s="115"/>
      <c r="PE266" s="115"/>
      <c r="PF266" s="115"/>
      <c r="PG266" s="115"/>
      <c r="PH266" s="115"/>
      <c r="PI266" s="115"/>
      <c r="PJ266" s="115"/>
      <c r="PK266" s="115"/>
      <c r="PL266" s="115"/>
      <c r="PM266" s="115"/>
      <c r="PN266" s="115"/>
      <c r="PO266" s="115"/>
      <c r="PP266" s="115"/>
      <c r="PQ266" s="115"/>
      <c r="PR266" s="115"/>
      <c r="PS266" s="115"/>
      <c r="PT266" s="115"/>
      <c r="PU266" s="115"/>
      <c r="PV266" s="115"/>
      <c r="PW266" s="115"/>
      <c r="PX266" s="115"/>
      <c r="PY266" s="115"/>
      <c r="PZ266" s="115"/>
      <c r="QA266" s="115"/>
      <c r="QB266" s="115"/>
      <c r="QC266" s="115"/>
      <c r="QD266" s="115"/>
      <c r="QE266" s="115"/>
      <c r="QF266" s="115"/>
      <c r="QG266" s="115"/>
      <c r="QH266" s="115"/>
      <c r="QI266" s="115"/>
      <c r="QJ266" s="115"/>
      <c r="QK266" s="115"/>
      <c r="QL266" s="115"/>
      <c r="QM266" s="115"/>
      <c r="QN266" s="115"/>
      <c r="QO266" s="115"/>
      <c r="QP266" s="115"/>
      <c r="QQ266" s="115"/>
      <c r="QR266" s="115"/>
      <c r="QS266" s="115"/>
      <c r="QT266" s="115"/>
      <c r="QU266" s="115"/>
      <c r="QV266" s="115"/>
      <c r="QW266" s="115"/>
      <c r="QX266" s="115"/>
      <c r="QY266" s="115"/>
      <c r="QZ266" s="115"/>
      <c r="RA266" s="115"/>
      <c r="RB266" s="115"/>
      <c r="RC266" s="115"/>
      <c r="RD266" s="115"/>
      <c r="RE266" s="115"/>
      <c r="RF266" s="115"/>
      <c r="RG266" s="115"/>
      <c r="RH266" s="115"/>
      <c r="RI266" s="115"/>
      <c r="RJ266" s="115"/>
      <c r="RK266" s="115"/>
      <c r="RL266" s="115"/>
      <c r="RM266" s="115"/>
      <c r="RN266" s="115"/>
      <c r="RO266" s="115"/>
      <c r="RP266" s="115"/>
      <c r="RQ266" s="115"/>
      <c r="RR266" s="115"/>
      <c r="RS266" s="115"/>
      <c r="RT266" s="115"/>
      <c r="RU266" s="115"/>
      <c r="RV266" s="115"/>
      <c r="RW266" s="115"/>
      <c r="RX266" s="115"/>
      <c r="RY266" s="115"/>
      <c r="RZ266" s="115"/>
      <c r="SA266" s="115"/>
      <c r="SB266" s="115"/>
      <c r="SC266" s="115"/>
      <c r="SD266" s="115"/>
      <c r="SE266" s="115"/>
      <c r="SF266" s="115"/>
      <c r="SG266" s="115"/>
      <c r="SH266" s="115"/>
      <c r="SI266" s="115"/>
      <c r="SJ266" s="115"/>
      <c r="SK266" s="115"/>
      <c r="SL266" s="115"/>
      <c r="SM266" s="115"/>
      <c r="SN266" s="115"/>
      <c r="SO266" s="115"/>
      <c r="SP266" s="115"/>
      <c r="SQ266" s="115"/>
      <c r="SR266" s="115"/>
      <c r="SS266" s="115"/>
      <c r="ST266" s="115"/>
      <c r="SU266" s="115"/>
      <c r="SV266" s="115"/>
      <c r="SW266" s="115"/>
      <c r="SX266" s="115"/>
      <c r="SY266" s="115"/>
      <c r="SZ266" s="115"/>
      <c r="TA266" s="115"/>
      <c r="TB266" s="115"/>
      <c r="TC266" s="115"/>
      <c r="TD266" s="115"/>
      <c r="TE266" s="115"/>
    </row>
    <row r="267" spans="1:525" s="121" customFormat="1" ht="47.25" x14ac:dyDescent="0.25">
      <c r="A267" s="117" t="s">
        <v>193</v>
      </c>
      <c r="B267" s="117" t="str">
        <f>'дод 6'!A16</f>
        <v>0160</v>
      </c>
      <c r="C267" s="117" t="str">
        <f>'дод 6'!B16</f>
        <v>0111</v>
      </c>
      <c r="D267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267" s="81">
        <f t="shared" ref="E267:E319" si="125">F267+I267</f>
        <v>14876700</v>
      </c>
      <c r="F267" s="81">
        <f>15746400+18600-821800-66500</f>
        <v>14876700</v>
      </c>
      <c r="G267" s="81">
        <f>11968900-673600</f>
        <v>11295300</v>
      </c>
      <c r="H267" s="81">
        <f>462900-66500</f>
        <v>396400</v>
      </c>
      <c r="I267" s="81"/>
      <c r="J267" s="81">
        <f>L267+O267</f>
        <v>0</v>
      </c>
      <c r="K267" s="81"/>
      <c r="L267" s="81"/>
      <c r="M267" s="81"/>
      <c r="N267" s="81"/>
      <c r="O267" s="81"/>
      <c r="P267" s="81">
        <f t="shared" ref="P267:P320" si="126">E267+J267</f>
        <v>14876700</v>
      </c>
      <c r="Q267" s="225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</row>
    <row r="268" spans="1:525" s="121" customFormat="1" ht="23.25" hidden="1" customHeight="1" x14ac:dyDescent="0.25">
      <c r="A268" s="117" t="s">
        <v>507</v>
      </c>
      <c r="B268" s="117" t="s">
        <v>44</v>
      </c>
      <c r="C268" s="117" t="s">
        <v>92</v>
      </c>
      <c r="D268" s="145" t="s">
        <v>239</v>
      </c>
      <c r="E268" s="81">
        <f t="shared" si="125"/>
        <v>0</v>
      </c>
      <c r="F268" s="81"/>
      <c r="G268" s="81"/>
      <c r="H268" s="81"/>
      <c r="I268" s="81"/>
      <c r="J268" s="81">
        <f>L268+O268</f>
        <v>0</v>
      </c>
      <c r="K268" s="81"/>
      <c r="L268" s="81"/>
      <c r="M268" s="81"/>
      <c r="N268" s="81"/>
      <c r="O268" s="81"/>
      <c r="P268" s="81">
        <f t="shared" si="126"/>
        <v>0</v>
      </c>
      <c r="Q268" s="225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</row>
    <row r="269" spans="1:525" s="121" customFormat="1" ht="19.5" hidden="1" customHeight="1" x14ac:dyDescent="0.25">
      <c r="A269" s="129" t="s">
        <v>297</v>
      </c>
      <c r="B269" s="130" t="str">
        <f>'дод 6'!A146</f>
        <v>3210</v>
      </c>
      <c r="C269" s="130" t="str">
        <f>'дод 6'!B146</f>
        <v>1050</v>
      </c>
      <c r="D269" s="119" t="str">
        <f>'дод 6'!C146</f>
        <v>Організація та проведення громадських робіт</v>
      </c>
      <c r="E269" s="81">
        <f t="shared" si="125"/>
        <v>0</v>
      </c>
      <c r="F269" s="81">
        <f>100000-100000</f>
        <v>0</v>
      </c>
      <c r="G269" s="81"/>
      <c r="H269" s="81"/>
      <c r="I269" s="81"/>
      <c r="J269" s="81">
        <f t="shared" ref="J269:J320" si="127">L269+O269</f>
        <v>0</v>
      </c>
      <c r="K269" s="81"/>
      <c r="L269" s="81"/>
      <c r="M269" s="81"/>
      <c r="N269" s="81"/>
      <c r="O269" s="81"/>
      <c r="P269" s="81">
        <f t="shared" si="126"/>
        <v>0</v>
      </c>
      <c r="Q269" s="225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</row>
    <row r="270" spans="1:525" s="121" customFormat="1" ht="33.75" customHeight="1" x14ac:dyDescent="0.25">
      <c r="A270" s="117" t="s">
        <v>194</v>
      </c>
      <c r="B270" s="118" t="str">
        <f>'дод 6'!A172</f>
        <v>6011</v>
      </c>
      <c r="C270" s="118" t="str">
        <f>'дод 6'!B172</f>
        <v>0610</v>
      </c>
      <c r="D270" s="122" t="str">
        <f>'дод 6'!C172</f>
        <v>Експлуатація та технічне обслуговування житлового фонду</v>
      </c>
      <c r="E270" s="81">
        <f t="shared" si="125"/>
        <v>0</v>
      </c>
      <c r="F270" s="81"/>
      <c r="G270" s="81"/>
      <c r="H270" s="81"/>
      <c r="I270" s="81"/>
      <c r="J270" s="81">
        <f t="shared" si="127"/>
        <v>3068051</v>
      </c>
      <c r="K270" s="81">
        <f>3000000+1868051-300000-1200000-300000</f>
        <v>3068051</v>
      </c>
      <c r="L270" s="81"/>
      <c r="M270" s="81"/>
      <c r="N270" s="81"/>
      <c r="O270" s="81">
        <f>3000000+1868051-300000-1200000-300000</f>
        <v>3068051</v>
      </c>
      <c r="P270" s="81">
        <f t="shared" si="126"/>
        <v>3068051</v>
      </c>
      <c r="Q270" s="225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</row>
    <row r="271" spans="1:525" s="121" customFormat="1" ht="31.5" x14ac:dyDescent="0.25">
      <c r="A271" s="117" t="s">
        <v>195</v>
      </c>
      <c r="B271" s="118" t="str">
        <f>'дод 6'!A173</f>
        <v>6013</v>
      </c>
      <c r="C271" s="118" t="str">
        <f>'дод 6'!B173</f>
        <v>0620</v>
      </c>
      <c r="D271" s="122" t="str">
        <f>'дод 6'!C173</f>
        <v>Забезпечення діяльності водопровідно-каналізаційного господарства</v>
      </c>
      <c r="E271" s="81">
        <f t="shared" si="125"/>
        <v>56140800</v>
      </c>
      <c r="F271" s="81">
        <f>450000+140000+40000+299000</f>
        <v>929000</v>
      </c>
      <c r="G271" s="81"/>
      <c r="H271" s="81"/>
      <c r="I271" s="81">
        <f>36000000+500000+3000000+4111800+5000000+5000000+1600000</f>
        <v>55211800</v>
      </c>
      <c r="J271" s="81">
        <f t="shared" si="127"/>
        <v>0</v>
      </c>
      <c r="K271" s="81"/>
      <c r="L271" s="81"/>
      <c r="M271" s="81"/>
      <c r="N271" s="81"/>
      <c r="O271" s="81"/>
      <c r="P271" s="81">
        <f t="shared" si="126"/>
        <v>56140800</v>
      </c>
      <c r="Q271" s="225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121" customFormat="1" ht="22.5" hidden="1" customHeight="1" x14ac:dyDescent="0.25">
      <c r="A272" s="117" t="s">
        <v>592</v>
      </c>
      <c r="B272" s="118">
        <f>'дод 6'!A174</f>
        <v>6014</v>
      </c>
      <c r="C272" s="118" t="str">
        <f>'дод 6'!B174</f>
        <v>0620</v>
      </c>
      <c r="D272" s="153" t="str">
        <f>'дод 6'!C174</f>
        <v>Забезпечення збору та вивезення сміття і відходів</v>
      </c>
      <c r="E272" s="81">
        <f t="shared" ref="E272" si="128">F272+I272</f>
        <v>0</v>
      </c>
      <c r="F272" s="81"/>
      <c r="G272" s="81"/>
      <c r="H272" s="81"/>
      <c r="I272" s="81"/>
      <c r="J272" s="81">
        <f t="shared" si="127"/>
        <v>0</v>
      </c>
      <c r="K272" s="81"/>
      <c r="L272" s="81"/>
      <c r="M272" s="81"/>
      <c r="N272" s="81"/>
      <c r="O272" s="81"/>
      <c r="P272" s="81">
        <f t="shared" ref="P272" si="129">E272+J272</f>
        <v>0</v>
      </c>
      <c r="Q272" s="225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</row>
    <row r="273" spans="1:525" s="121" customFormat="1" ht="33" customHeight="1" x14ac:dyDescent="0.25">
      <c r="A273" s="117" t="s">
        <v>256</v>
      </c>
      <c r="B273" s="118" t="str">
        <f>'дод 6'!A175</f>
        <v>6015</v>
      </c>
      <c r="C273" s="118" t="str">
        <f>'дод 6'!B175</f>
        <v>0620</v>
      </c>
      <c r="D273" s="122" t="str">
        <f>'дод 6'!C175</f>
        <v>Забезпечення надійної та безперебійної експлуатації ліфтів</v>
      </c>
      <c r="E273" s="81">
        <f t="shared" si="125"/>
        <v>50000</v>
      </c>
      <c r="F273" s="81">
        <v>50000</v>
      </c>
      <c r="G273" s="81"/>
      <c r="H273" s="81"/>
      <c r="I273" s="81"/>
      <c r="J273" s="81">
        <f t="shared" si="127"/>
        <v>150000</v>
      </c>
      <c r="K273" s="81">
        <v>150000</v>
      </c>
      <c r="L273" s="81"/>
      <c r="M273" s="81"/>
      <c r="N273" s="81"/>
      <c r="O273" s="199">
        <v>150000</v>
      </c>
      <c r="P273" s="81">
        <f t="shared" si="126"/>
        <v>200000</v>
      </c>
      <c r="Q273" s="225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</row>
    <row r="274" spans="1:525" s="121" customFormat="1" ht="32.25" customHeight="1" x14ac:dyDescent="0.25">
      <c r="A274" s="117" t="s">
        <v>259</v>
      </c>
      <c r="B274" s="118" t="str">
        <f>'дод 6'!A176</f>
        <v>6017</v>
      </c>
      <c r="C274" s="118" t="str">
        <f>'дод 6'!B176</f>
        <v>0620</v>
      </c>
      <c r="D274" s="122" t="str">
        <f>'дод 6'!C176</f>
        <v>Інша діяльність, пов’язана з експлуатацією об’єктів житлово-комунального господарства</v>
      </c>
      <c r="E274" s="81">
        <f t="shared" si="125"/>
        <v>450000</v>
      </c>
      <c r="F274" s="81">
        <f>50000+250000+150000</f>
        <v>450000</v>
      </c>
      <c r="G274" s="81"/>
      <c r="H274" s="81"/>
      <c r="I274" s="81"/>
      <c r="J274" s="81">
        <f t="shared" si="127"/>
        <v>0</v>
      </c>
      <c r="K274" s="81"/>
      <c r="L274" s="81"/>
      <c r="M274" s="81"/>
      <c r="N274" s="81"/>
      <c r="O274" s="81"/>
      <c r="P274" s="81">
        <f t="shared" si="126"/>
        <v>450000</v>
      </c>
      <c r="Q274" s="225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</row>
    <row r="275" spans="1:525" s="121" customFormat="1" ht="47.25" x14ac:dyDescent="0.25">
      <c r="A275" s="117" t="s">
        <v>196</v>
      </c>
      <c r="B275" s="118" t="str">
        <f>'дод 6'!A177</f>
        <v>6020</v>
      </c>
      <c r="C275" s="118" t="str">
        <f>'дод 6'!B177</f>
        <v>0620</v>
      </c>
      <c r="D275" s="122" t="str">
        <f>'дод 6'!C177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81">
        <f t="shared" si="125"/>
        <v>881620</v>
      </c>
      <c r="F275" s="81"/>
      <c r="G275" s="81"/>
      <c r="H275" s="81"/>
      <c r="I275" s="81">
        <f>380000+203000+298620</f>
        <v>881620</v>
      </c>
      <c r="J275" s="81">
        <f t="shared" si="127"/>
        <v>0</v>
      </c>
      <c r="K275" s="81"/>
      <c r="L275" s="81"/>
      <c r="M275" s="81"/>
      <c r="N275" s="81"/>
      <c r="O275" s="81"/>
      <c r="P275" s="81">
        <f t="shared" si="126"/>
        <v>881620</v>
      </c>
      <c r="Q275" s="225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</row>
    <row r="276" spans="1:525" s="121" customFormat="1" ht="24.75" customHeight="1" x14ac:dyDescent="0.25">
      <c r="A276" s="117" t="s">
        <v>197</v>
      </c>
      <c r="B276" s="118" t="str">
        <f>'дод 6'!A178</f>
        <v>6030</v>
      </c>
      <c r="C276" s="118" t="str">
        <f>'дод 6'!B178</f>
        <v>0620</v>
      </c>
      <c r="D276" s="122" t="str">
        <f>'дод 6'!C178</f>
        <v>Організація благоустрою населених пунктів</v>
      </c>
      <c r="E276" s="81">
        <f t="shared" si="125"/>
        <v>262421210.59999999</v>
      </c>
      <c r="F276" s="81">
        <f>223985500-200000+30000000+10000000+1250000+5000000+1800000+4454550-95000+1000000+20000000-1000000-299000-8000000-707000-19550000+500000-2310000+4500000-2000000-5000000-99000+100000-285000-1773839.4+1050000</f>
        <v>262321210.59999999</v>
      </c>
      <c r="G276" s="81"/>
      <c r="H276" s="81">
        <f>40330000-299000-8000000-707000-19550000+4500000</f>
        <v>16274000</v>
      </c>
      <c r="I276" s="81">
        <f>200000-100000</f>
        <v>100000</v>
      </c>
      <c r="J276" s="81">
        <f t="shared" si="127"/>
        <v>7050477.4000000004</v>
      </c>
      <c r="K276" s="81">
        <f>2106700+2814593+1000000+1200000-70815.6</f>
        <v>7050477.4000000004</v>
      </c>
      <c r="L276" s="81"/>
      <c r="M276" s="81"/>
      <c r="N276" s="81"/>
      <c r="O276" s="81">
        <f>2106700+2814593+1000000+1200000-70815.6</f>
        <v>7050477.4000000004</v>
      </c>
      <c r="P276" s="81">
        <f t="shared" si="126"/>
        <v>269471688</v>
      </c>
      <c r="Q276" s="225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</row>
    <row r="277" spans="1:525" s="121" customFormat="1" ht="99.75" hidden="1" customHeight="1" x14ac:dyDescent="0.25">
      <c r="A277" s="117" t="s">
        <v>545</v>
      </c>
      <c r="B277" s="118">
        <v>6083</v>
      </c>
      <c r="C277" s="117" t="s">
        <v>67</v>
      </c>
      <c r="D277" s="155" t="s">
        <v>425</v>
      </c>
      <c r="E277" s="81">
        <f t="shared" si="125"/>
        <v>0</v>
      </c>
      <c r="F277" s="81"/>
      <c r="G277" s="81"/>
      <c r="H277" s="81"/>
      <c r="I277" s="81"/>
      <c r="J277" s="81">
        <f t="shared" si="127"/>
        <v>0</v>
      </c>
      <c r="K277" s="81"/>
      <c r="L277" s="81"/>
      <c r="M277" s="81"/>
      <c r="N277" s="81"/>
      <c r="O277" s="81"/>
      <c r="P277" s="81">
        <f t="shared" si="126"/>
        <v>0</v>
      </c>
      <c r="Q277" s="225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</row>
    <row r="278" spans="1:525" s="121" customFormat="1" ht="141.75" hidden="1" customHeight="1" x14ac:dyDescent="0.25">
      <c r="A278" s="123"/>
      <c r="B278" s="144"/>
      <c r="C278" s="123"/>
      <c r="D278" s="156" t="s">
        <v>548</v>
      </c>
      <c r="E278" s="81">
        <f t="shared" si="125"/>
        <v>0</v>
      </c>
      <c r="F278" s="82"/>
      <c r="G278" s="82"/>
      <c r="H278" s="82"/>
      <c r="I278" s="82"/>
      <c r="J278" s="81">
        <f t="shared" si="127"/>
        <v>0</v>
      </c>
      <c r="K278" s="82"/>
      <c r="L278" s="82"/>
      <c r="M278" s="82"/>
      <c r="N278" s="82"/>
      <c r="O278" s="82"/>
      <c r="P278" s="81">
        <f t="shared" si="126"/>
        <v>0</v>
      </c>
      <c r="Q278" s="225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</row>
    <row r="279" spans="1:525" s="121" customFormat="1" ht="94.5" hidden="1" customHeight="1" x14ac:dyDescent="0.25">
      <c r="A279" s="117" t="s">
        <v>555</v>
      </c>
      <c r="B279" s="118">
        <v>6071</v>
      </c>
      <c r="C279" s="117" t="s">
        <v>307</v>
      </c>
      <c r="D279" s="122" t="str">
        <f>'дод 6'!C179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81">
        <f t="shared" si="125"/>
        <v>0</v>
      </c>
      <c r="F279" s="81"/>
      <c r="G279" s="81"/>
      <c r="H279" s="81"/>
      <c r="I279" s="81"/>
      <c r="J279" s="81">
        <f t="shared" si="127"/>
        <v>0</v>
      </c>
      <c r="K279" s="81"/>
      <c r="L279" s="81"/>
      <c r="M279" s="81"/>
      <c r="N279" s="81"/>
      <c r="O279" s="81"/>
      <c r="P279" s="81">
        <f t="shared" si="126"/>
        <v>0</v>
      </c>
      <c r="Q279" s="225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</row>
    <row r="280" spans="1:525" s="121" customFormat="1" ht="33" customHeight="1" x14ac:dyDescent="0.25">
      <c r="A280" s="117" t="s">
        <v>684</v>
      </c>
      <c r="B280" s="118">
        <f>'дод 6'!A183</f>
        <v>6086</v>
      </c>
      <c r="C280" s="118" t="str">
        <f>'дод 6'!B183</f>
        <v>0610</v>
      </c>
      <c r="D280" s="153" t="str">
        <f>'дод 6'!C183</f>
        <v>Інша діяльність щодо забезпечення житлом громадян</v>
      </c>
      <c r="E280" s="81">
        <f t="shared" si="125"/>
        <v>0</v>
      </c>
      <c r="F280" s="81">
        <f>5500000-5500000</f>
        <v>0</v>
      </c>
      <c r="G280" s="81"/>
      <c r="H280" s="81"/>
      <c r="I280" s="81"/>
      <c r="J280" s="81">
        <f t="shared" si="127"/>
        <v>285000</v>
      </c>
      <c r="K280" s="81">
        <v>285000</v>
      </c>
      <c r="L280" s="81"/>
      <c r="M280" s="81"/>
      <c r="N280" s="81"/>
      <c r="O280" s="81">
        <v>285000</v>
      </c>
      <c r="P280" s="81">
        <f>E280+J280</f>
        <v>285000</v>
      </c>
      <c r="Q280" s="225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</row>
    <row r="281" spans="1:525" s="121" customFormat="1" ht="30" customHeight="1" x14ac:dyDescent="0.25">
      <c r="A281" s="117" t="s">
        <v>249</v>
      </c>
      <c r="B281" s="118" t="str">
        <f>'дод 6'!A184</f>
        <v>6090</v>
      </c>
      <c r="C281" s="118" t="str">
        <f>'дод 6'!B184</f>
        <v>0640</v>
      </c>
      <c r="D281" s="122" t="str">
        <f>'дод 6'!C184</f>
        <v>Інша діяльність у сфері житлово-комунального господарства</v>
      </c>
      <c r="E281" s="81">
        <f t="shared" si="125"/>
        <v>8749689</v>
      </c>
      <c r="F281" s="81">
        <f>698724+4817956+500000-500000-25000+470235+82578+139581-121630+95000+655544+868058+423600-400000+1000000-1050000+99000+300000</f>
        <v>8053646</v>
      </c>
      <c r="G281" s="81"/>
      <c r="H281" s="81">
        <v>60000</v>
      </c>
      <c r="I281" s="81">
        <f>25000+500000+71043+500000-100000-300000</f>
        <v>696043</v>
      </c>
      <c r="J281" s="81">
        <f t="shared" ref="J281" si="130">L281+O281</f>
        <v>10982759</v>
      </c>
      <c r="K281" s="81">
        <f>6146500+840000-840000</f>
        <v>6146500</v>
      </c>
      <c r="L281" s="81">
        <v>4836259</v>
      </c>
      <c r="M281" s="81"/>
      <c r="N281" s="81"/>
      <c r="O281" s="81">
        <f>6146500+840000-840000</f>
        <v>6146500</v>
      </c>
      <c r="P281" s="81">
        <f t="shared" si="126"/>
        <v>19732448</v>
      </c>
      <c r="Q281" s="225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</row>
    <row r="282" spans="1:525" s="121" customFormat="1" ht="31.5" x14ac:dyDescent="0.25">
      <c r="A282" s="117" t="s">
        <v>268</v>
      </c>
      <c r="B282" s="118" t="str">
        <f>'дод 6'!A198</f>
        <v>7310</v>
      </c>
      <c r="C282" s="118" t="str">
        <f>'дод 6'!B198</f>
        <v>0443</v>
      </c>
      <c r="D282" s="132" t="s">
        <v>694</v>
      </c>
      <c r="E282" s="81">
        <f t="shared" si="125"/>
        <v>0</v>
      </c>
      <c r="F282" s="81"/>
      <c r="G282" s="81"/>
      <c r="H282" s="81"/>
      <c r="I282" s="81"/>
      <c r="J282" s="81">
        <f t="shared" si="127"/>
        <v>56358134</v>
      </c>
      <c r="K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L282" s="81"/>
      <c r="M282" s="81"/>
      <c r="N282" s="81"/>
      <c r="O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P282" s="81">
        <f t="shared" si="126"/>
        <v>56358134</v>
      </c>
      <c r="Q282" s="225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</row>
    <row r="283" spans="1:525" s="127" customFormat="1" ht="110.25" x14ac:dyDescent="0.25">
      <c r="A283" s="123"/>
      <c r="B283" s="144"/>
      <c r="C283" s="144"/>
      <c r="D283" s="146" t="s">
        <v>691</v>
      </c>
      <c r="E283" s="81">
        <f t="shared" si="125"/>
        <v>0</v>
      </c>
      <c r="F283" s="82"/>
      <c r="G283" s="82"/>
      <c r="H283" s="82"/>
      <c r="I283" s="82"/>
      <c r="J283" s="82">
        <f t="shared" si="127"/>
        <v>7344000</v>
      </c>
      <c r="K283" s="82">
        <v>7344000</v>
      </c>
      <c r="L283" s="82"/>
      <c r="M283" s="82"/>
      <c r="N283" s="82"/>
      <c r="O283" s="82">
        <v>7344000</v>
      </c>
      <c r="P283" s="82">
        <f t="shared" si="126"/>
        <v>7344000</v>
      </c>
      <c r="Q283" s="225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6"/>
      <c r="JU283" s="126"/>
      <c r="JV283" s="126"/>
      <c r="JW283" s="126"/>
      <c r="JX283" s="126"/>
      <c r="JY283" s="126"/>
      <c r="JZ283" s="126"/>
      <c r="KA283" s="126"/>
      <c r="KB283" s="126"/>
      <c r="KC283" s="126"/>
      <c r="KD283" s="126"/>
      <c r="KE283" s="126"/>
      <c r="KF283" s="126"/>
      <c r="KG283" s="126"/>
      <c r="KH283" s="126"/>
      <c r="KI283" s="126"/>
      <c r="KJ283" s="126"/>
      <c r="KK283" s="126"/>
      <c r="KL283" s="126"/>
      <c r="KM283" s="126"/>
      <c r="KN283" s="126"/>
      <c r="KO283" s="126"/>
      <c r="KP283" s="126"/>
      <c r="KQ283" s="126"/>
      <c r="KR283" s="126"/>
      <c r="KS283" s="126"/>
      <c r="KT283" s="126"/>
      <c r="KU283" s="126"/>
      <c r="KV283" s="126"/>
      <c r="KW283" s="126"/>
      <c r="KX283" s="126"/>
      <c r="KY283" s="126"/>
      <c r="KZ283" s="126"/>
      <c r="LA283" s="126"/>
      <c r="LB283" s="126"/>
      <c r="LC283" s="126"/>
      <c r="LD283" s="126"/>
      <c r="LE283" s="126"/>
      <c r="LF283" s="126"/>
      <c r="LG283" s="126"/>
      <c r="LH283" s="126"/>
      <c r="LI283" s="126"/>
      <c r="LJ283" s="126"/>
      <c r="LK283" s="126"/>
      <c r="LL283" s="126"/>
      <c r="LM283" s="126"/>
      <c r="LN283" s="126"/>
      <c r="LO283" s="126"/>
      <c r="LP283" s="126"/>
      <c r="LQ283" s="126"/>
      <c r="LR283" s="126"/>
      <c r="LS283" s="126"/>
      <c r="LT283" s="126"/>
      <c r="LU283" s="126"/>
      <c r="LV283" s="126"/>
      <c r="LW283" s="126"/>
      <c r="LX283" s="126"/>
      <c r="LY283" s="126"/>
      <c r="LZ283" s="126"/>
      <c r="MA283" s="126"/>
      <c r="MB283" s="126"/>
      <c r="MC283" s="126"/>
      <c r="MD283" s="126"/>
      <c r="ME283" s="126"/>
      <c r="MF283" s="126"/>
      <c r="MG283" s="126"/>
      <c r="MH283" s="126"/>
      <c r="MI283" s="126"/>
      <c r="MJ283" s="126"/>
      <c r="MK283" s="126"/>
      <c r="ML283" s="126"/>
      <c r="MM283" s="126"/>
      <c r="MN283" s="126"/>
      <c r="MO283" s="126"/>
      <c r="MP283" s="126"/>
      <c r="MQ283" s="126"/>
      <c r="MR283" s="126"/>
      <c r="MS283" s="126"/>
      <c r="MT283" s="126"/>
      <c r="MU283" s="126"/>
      <c r="MV283" s="126"/>
      <c r="MW283" s="126"/>
      <c r="MX283" s="126"/>
      <c r="MY283" s="126"/>
      <c r="MZ283" s="126"/>
      <c r="NA283" s="126"/>
      <c r="NB283" s="126"/>
      <c r="NC283" s="126"/>
      <c r="ND283" s="126"/>
      <c r="NE283" s="126"/>
      <c r="NF283" s="126"/>
      <c r="NG283" s="126"/>
      <c r="NH283" s="126"/>
      <c r="NI283" s="126"/>
      <c r="NJ283" s="126"/>
      <c r="NK283" s="126"/>
      <c r="NL283" s="126"/>
      <c r="NM283" s="126"/>
      <c r="NN283" s="126"/>
      <c r="NO283" s="126"/>
      <c r="NP283" s="126"/>
      <c r="NQ283" s="126"/>
      <c r="NR283" s="126"/>
      <c r="NS283" s="126"/>
      <c r="NT283" s="126"/>
      <c r="NU283" s="126"/>
      <c r="NV283" s="126"/>
      <c r="NW283" s="126"/>
      <c r="NX283" s="126"/>
      <c r="NY283" s="126"/>
      <c r="NZ283" s="126"/>
      <c r="OA283" s="126"/>
      <c r="OB283" s="126"/>
      <c r="OC283" s="126"/>
      <c r="OD283" s="126"/>
      <c r="OE283" s="126"/>
      <c r="OF283" s="126"/>
      <c r="OG283" s="126"/>
      <c r="OH283" s="126"/>
      <c r="OI283" s="126"/>
      <c r="OJ283" s="126"/>
      <c r="OK283" s="126"/>
      <c r="OL283" s="126"/>
      <c r="OM283" s="126"/>
      <c r="ON283" s="126"/>
      <c r="OO283" s="126"/>
      <c r="OP283" s="126"/>
      <c r="OQ283" s="126"/>
      <c r="OR283" s="126"/>
      <c r="OS283" s="126"/>
      <c r="OT283" s="126"/>
      <c r="OU283" s="126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6"/>
      <c r="QH283" s="126"/>
      <c r="QI283" s="126"/>
      <c r="QJ283" s="126"/>
      <c r="QK283" s="126"/>
      <c r="QL283" s="126"/>
      <c r="QM283" s="126"/>
      <c r="QN283" s="126"/>
      <c r="QO283" s="126"/>
      <c r="QP283" s="126"/>
      <c r="QQ283" s="126"/>
      <c r="QR283" s="126"/>
      <c r="QS283" s="126"/>
      <c r="QT283" s="126"/>
      <c r="QU283" s="126"/>
      <c r="QV283" s="126"/>
      <c r="QW283" s="126"/>
      <c r="QX283" s="126"/>
      <c r="QY283" s="126"/>
      <c r="QZ283" s="126"/>
      <c r="RA283" s="126"/>
      <c r="RB283" s="126"/>
      <c r="RC283" s="126"/>
      <c r="RD283" s="126"/>
      <c r="RE283" s="126"/>
      <c r="RF283" s="126"/>
      <c r="RG283" s="126"/>
      <c r="RH283" s="126"/>
      <c r="RI283" s="126"/>
      <c r="RJ283" s="126"/>
      <c r="RK283" s="126"/>
      <c r="RL283" s="126"/>
      <c r="RM283" s="126"/>
      <c r="RN283" s="126"/>
      <c r="RO283" s="126"/>
      <c r="RP283" s="126"/>
      <c r="RQ283" s="126"/>
      <c r="RR283" s="126"/>
      <c r="RS283" s="126"/>
      <c r="RT283" s="126"/>
      <c r="RU283" s="126"/>
      <c r="RV283" s="126"/>
      <c r="RW283" s="126"/>
      <c r="RX283" s="126"/>
      <c r="RY283" s="126"/>
      <c r="RZ283" s="126"/>
      <c r="SA283" s="126"/>
      <c r="SB283" s="126"/>
      <c r="SC283" s="126"/>
      <c r="SD283" s="126"/>
      <c r="SE283" s="126"/>
      <c r="SF283" s="126"/>
      <c r="SG283" s="126"/>
      <c r="SH283" s="126"/>
      <c r="SI283" s="126"/>
      <c r="SJ283" s="126"/>
      <c r="SK283" s="126"/>
      <c r="SL283" s="126"/>
      <c r="SM283" s="126"/>
      <c r="SN283" s="126"/>
      <c r="SO283" s="126"/>
      <c r="SP283" s="126"/>
      <c r="SQ283" s="126"/>
      <c r="SR283" s="126"/>
      <c r="SS283" s="126"/>
      <c r="ST283" s="126"/>
      <c r="SU283" s="126"/>
      <c r="SV283" s="126"/>
      <c r="SW283" s="126"/>
      <c r="SX283" s="126"/>
      <c r="SY283" s="126"/>
      <c r="SZ283" s="126"/>
      <c r="TA283" s="126"/>
      <c r="TB283" s="126"/>
      <c r="TC283" s="126"/>
      <c r="TD283" s="126"/>
      <c r="TE283" s="126"/>
    </row>
    <row r="284" spans="1:525" s="121" customFormat="1" ht="29.25" customHeight="1" x14ac:dyDescent="0.25">
      <c r="A284" s="117" t="s">
        <v>270</v>
      </c>
      <c r="B284" s="118" t="str">
        <f>'дод 6'!A206</f>
        <v>7330</v>
      </c>
      <c r="C284" s="118" t="str">
        <f>'дод 6'!B206</f>
        <v>0443</v>
      </c>
      <c r="D284" s="132" t="str">
        <f>'дод 6'!C206</f>
        <v>Будівництво1 інших об'єктів комунальної власності</v>
      </c>
      <c r="E284" s="81">
        <f t="shared" si="125"/>
        <v>0</v>
      </c>
      <c r="F284" s="81"/>
      <c r="G284" s="81"/>
      <c r="H284" s="81"/>
      <c r="I284" s="81"/>
      <c r="J284" s="81">
        <f>L284+O284</f>
        <v>8129694</v>
      </c>
      <c r="K284" s="81">
        <f>500000+146794+5000000-5000000+180000+76000+1499900+300000+707000+100000+300000+200000+120000+4000000</f>
        <v>8129694</v>
      </c>
      <c r="L284" s="81"/>
      <c r="M284" s="81"/>
      <c r="N284" s="81"/>
      <c r="O284" s="81">
        <f>500000+146794+5000000-5000000+180000+76000+1499900+300000+707000+100000+300000+200000+120000+4000000</f>
        <v>8129694</v>
      </c>
      <c r="P284" s="81">
        <f t="shared" si="126"/>
        <v>8129694</v>
      </c>
      <c r="Q284" s="225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</row>
    <row r="285" spans="1:525" s="121" customFormat="1" ht="33" customHeight="1" x14ac:dyDescent="0.25">
      <c r="A285" s="117" t="s">
        <v>198</v>
      </c>
      <c r="B285" s="118">
        <v>7340</v>
      </c>
      <c r="C285" s="118" t="str">
        <f>'дод 6'!B205</f>
        <v>0443</v>
      </c>
      <c r="D285" s="122" t="str">
        <f>'дод 6'!C207</f>
        <v>Проектування, реставрація та охорона пам'яток архітектури</v>
      </c>
      <c r="E285" s="81">
        <f t="shared" si="125"/>
        <v>0</v>
      </c>
      <c r="F285" s="81"/>
      <c r="G285" s="81"/>
      <c r="H285" s="81"/>
      <c r="I285" s="81"/>
      <c r="J285" s="81">
        <f>L285+O285</f>
        <v>9240110</v>
      </c>
      <c r="K285" s="81">
        <f>5000000+4240110</f>
        <v>9240110</v>
      </c>
      <c r="L285" s="81"/>
      <c r="M285" s="81"/>
      <c r="N285" s="81"/>
      <c r="O285" s="81">
        <f>5000000+4240110</f>
        <v>9240110</v>
      </c>
      <c r="P285" s="81">
        <f t="shared" ref="P285:P296" si="131">E285+J285</f>
        <v>9240110</v>
      </c>
      <c r="Q285" s="225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</row>
    <row r="286" spans="1:525" s="121" customFormat="1" ht="49.5" hidden="1" customHeight="1" x14ac:dyDescent="0.25">
      <c r="A286" s="117" t="s">
        <v>365</v>
      </c>
      <c r="B286" s="118">
        <f>'дод 6'!A209</f>
        <v>7361</v>
      </c>
      <c r="C286" s="118" t="str">
        <f>'дод 6'!B209</f>
        <v>0490</v>
      </c>
      <c r="D286" s="122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286" s="81">
        <f t="shared" si="125"/>
        <v>0</v>
      </c>
      <c r="F286" s="81"/>
      <c r="G286" s="81"/>
      <c r="H286" s="81"/>
      <c r="I286" s="81"/>
      <c r="J286" s="81">
        <f t="shared" ref="J286:J296" si="132">L286+O286</f>
        <v>0</v>
      </c>
      <c r="K286" s="81"/>
      <c r="L286" s="81"/>
      <c r="M286" s="81"/>
      <c r="N286" s="81"/>
      <c r="O286" s="81"/>
      <c r="P286" s="81">
        <f t="shared" si="131"/>
        <v>0</v>
      </c>
      <c r="Q286" s="225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  <c r="IW286" s="120"/>
      <c r="IX286" s="120"/>
      <c r="IY286" s="120"/>
      <c r="IZ286" s="120"/>
      <c r="JA286" s="120"/>
      <c r="JB286" s="120"/>
      <c r="JC286" s="120"/>
      <c r="JD286" s="120"/>
      <c r="JE286" s="120"/>
      <c r="JF286" s="120"/>
      <c r="JG286" s="120"/>
      <c r="JH286" s="120"/>
      <c r="JI286" s="120"/>
      <c r="JJ286" s="120"/>
      <c r="JK286" s="120"/>
      <c r="JL286" s="120"/>
      <c r="JM286" s="120"/>
      <c r="JN286" s="120"/>
      <c r="JO286" s="120"/>
      <c r="JP286" s="120"/>
      <c r="JQ286" s="120"/>
      <c r="JR286" s="120"/>
      <c r="JS286" s="120"/>
      <c r="JT286" s="120"/>
      <c r="JU286" s="120"/>
      <c r="JV286" s="120"/>
      <c r="JW286" s="120"/>
      <c r="JX286" s="120"/>
      <c r="JY286" s="120"/>
      <c r="JZ286" s="120"/>
      <c r="KA286" s="120"/>
      <c r="KB286" s="120"/>
      <c r="KC286" s="120"/>
      <c r="KD286" s="120"/>
      <c r="KE286" s="120"/>
      <c r="KF286" s="120"/>
      <c r="KG286" s="120"/>
      <c r="KH286" s="120"/>
      <c r="KI286" s="120"/>
      <c r="KJ286" s="120"/>
      <c r="KK286" s="120"/>
      <c r="KL286" s="120"/>
      <c r="KM286" s="120"/>
      <c r="KN286" s="120"/>
      <c r="KO286" s="120"/>
      <c r="KP286" s="120"/>
      <c r="KQ286" s="120"/>
      <c r="KR286" s="120"/>
      <c r="KS286" s="120"/>
      <c r="KT286" s="120"/>
      <c r="KU286" s="120"/>
      <c r="KV286" s="120"/>
      <c r="KW286" s="120"/>
      <c r="KX286" s="120"/>
      <c r="KY286" s="120"/>
      <c r="KZ286" s="120"/>
      <c r="LA286" s="120"/>
      <c r="LB286" s="120"/>
      <c r="LC286" s="120"/>
      <c r="LD286" s="120"/>
      <c r="LE286" s="120"/>
      <c r="LF286" s="120"/>
      <c r="LG286" s="120"/>
      <c r="LH286" s="120"/>
      <c r="LI286" s="120"/>
      <c r="LJ286" s="120"/>
      <c r="LK286" s="120"/>
      <c r="LL286" s="120"/>
      <c r="LM286" s="120"/>
      <c r="LN286" s="120"/>
      <c r="LO286" s="120"/>
      <c r="LP286" s="120"/>
      <c r="LQ286" s="120"/>
      <c r="LR286" s="120"/>
      <c r="LS286" s="120"/>
      <c r="LT286" s="120"/>
      <c r="LU286" s="120"/>
      <c r="LV286" s="120"/>
      <c r="LW286" s="120"/>
      <c r="LX286" s="120"/>
      <c r="LY286" s="120"/>
      <c r="LZ286" s="120"/>
      <c r="MA286" s="120"/>
      <c r="MB286" s="120"/>
      <c r="MC286" s="120"/>
      <c r="MD286" s="120"/>
      <c r="ME286" s="120"/>
      <c r="MF286" s="120"/>
      <c r="MG286" s="120"/>
      <c r="MH286" s="120"/>
      <c r="MI286" s="120"/>
      <c r="MJ286" s="120"/>
      <c r="MK286" s="120"/>
      <c r="ML286" s="120"/>
      <c r="MM286" s="120"/>
      <c r="MN286" s="120"/>
      <c r="MO286" s="120"/>
      <c r="MP286" s="120"/>
      <c r="MQ286" s="120"/>
      <c r="MR286" s="120"/>
      <c r="MS286" s="120"/>
      <c r="MT286" s="120"/>
      <c r="MU286" s="120"/>
      <c r="MV286" s="120"/>
      <c r="MW286" s="120"/>
      <c r="MX286" s="120"/>
      <c r="MY286" s="120"/>
      <c r="MZ286" s="120"/>
      <c r="NA286" s="120"/>
      <c r="NB286" s="120"/>
      <c r="NC286" s="120"/>
      <c r="ND286" s="120"/>
      <c r="NE286" s="120"/>
      <c r="NF286" s="120"/>
      <c r="NG286" s="120"/>
      <c r="NH286" s="120"/>
      <c r="NI286" s="120"/>
      <c r="NJ286" s="120"/>
      <c r="NK286" s="120"/>
      <c r="NL286" s="120"/>
      <c r="NM286" s="120"/>
      <c r="NN286" s="120"/>
      <c r="NO286" s="120"/>
      <c r="NP286" s="120"/>
      <c r="NQ286" s="120"/>
      <c r="NR286" s="120"/>
      <c r="NS286" s="120"/>
      <c r="NT286" s="120"/>
      <c r="NU286" s="120"/>
      <c r="NV286" s="120"/>
      <c r="NW286" s="120"/>
      <c r="NX286" s="120"/>
      <c r="NY286" s="120"/>
      <c r="NZ286" s="120"/>
      <c r="OA286" s="120"/>
      <c r="OB286" s="120"/>
      <c r="OC286" s="120"/>
      <c r="OD286" s="120"/>
      <c r="OE286" s="120"/>
      <c r="OF286" s="120"/>
      <c r="OG286" s="120"/>
      <c r="OH286" s="120"/>
      <c r="OI286" s="120"/>
      <c r="OJ286" s="120"/>
      <c r="OK286" s="120"/>
      <c r="OL286" s="120"/>
      <c r="OM286" s="120"/>
      <c r="ON286" s="120"/>
      <c r="OO286" s="120"/>
      <c r="OP286" s="120"/>
      <c r="OQ286" s="120"/>
      <c r="OR286" s="120"/>
      <c r="OS286" s="120"/>
      <c r="OT286" s="120"/>
      <c r="OU286" s="120"/>
      <c r="OV286" s="120"/>
      <c r="OW286" s="120"/>
      <c r="OX286" s="120"/>
      <c r="OY286" s="120"/>
      <c r="OZ286" s="120"/>
      <c r="PA286" s="120"/>
      <c r="PB286" s="120"/>
      <c r="PC286" s="120"/>
      <c r="PD286" s="120"/>
      <c r="PE286" s="120"/>
      <c r="PF286" s="120"/>
      <c r="PG286" s="120"/>
      <c r="PH286" s="120"/>
      <c r="PI286" s="120"/>
      <c r="PJ286" s="120"/>
      <c r="PK286" s="120"/>
      <c r="PL286" s="120"/>
      <c r="PM286" s="120"/>
      <c r="PN286" s="120"/>
      <c r="PO286" s="120"/>
      <c r="PP286" s="120"/>
      <c r="PQ286" s="120"/>
      <c r="PR286" s="120"/>
      <c r="PS286" s="120"/>
      <c r="PT286" s="120"/>
      <c r="PU286" s="120"/>
      <c r="PV286" s="120"/>
      <c r="PW286" s="120"/>
      <c r="PX286" s="120"/>
      <c r="PY286" s="120"/>
      <c r="PZ286" s="120"/>
      <c r="QA286" s="120"/>
      <c r="QB286" s="120"/>
      <c r="QC286" s="120"/>
      <c r="QD286" s="120"/>
      <c r="QE286" s="120"/>
      <c r="QF286" s="120"/>
      <c r="QG286" s="120"/>
      <c r="QH286" s="120"/>
      <c r="QI286" s="120"/>
      <c r="QJ286" s="120"/>
      <c r="QK286" s="120"/>
      <c r="QL286" s="120"/>
      <c r="QM286" s="120"/>
      <c r="QN286" s="120"/>
      <c r="QO286" s="120"/>
      <c r="QP286" s="120"/>
      <c r="QQ286" s="120"/>
      <c r="QR286" s="120"/>
      <c r="QS286" s="120"/>
      <c r="QT286" s="120"/>
      <c r="QU286" s="120"/>
      <c r="QV286" s="120"/>
      <c r="QW286" s="120"/>
      <c r="QX286" s="120"/>
      <c r="QY286" s="120"/>
      <c r="QZ286" s="120"/>
      <c r="RA286" s="120"/>
      <c r="RB286" s="120"/>
      <c r="RC286" s="120"/>
      <c r="RD286" s="120"/>
      <c r="RE286" s="120"/>
      <c r="RF286" s="120"/>
      <c r="RG286" s="120"/>
      <c r="RH286" s="120"/>
      <c r="RI286" s="120"/>
      <c r="RJ286" s="120"/>
      <c r="RK286" s="120"/>
      <c r="RL286" s="120"/>
      <c r="RM286" s="120"/>
      <c r="RN286" s="120"/>
      <c r="RO286" s="120"/>
      <c r="RP286" s="120"/>
      <c r="RQ286" s="120"/>
      <c r="RR286" s="120"/>
      <c r="RS286" s="120"/>
      <c r="RT286" s="120"/>
      <c r="RU286" s="120"/>
      <c r="RV286" s="120"/>
      <c r="RW286" s="120"/>
      <c r="RX286" s="120"/>
      <c r="RY286" s="120"/>
      <c r="RZ286" s="120"/>
      <c r="SA286" s="120"/>
      <c r="SB286" s="120"/>
      <c r="SC286" s="120"/>
      <c r="SD286" s="120"/>
      <c r="SE286" s="120"/>
      <c r="SF286" s="120"/>
      <c r="SG286" s="120"/>
      <c r="SH286" s="120"/>
      <c r="SI286" s="120"/>
      <c r="SJ286" s="120"/>
      <c r="SK286" s="120"/>
      <c r="SL286" s="120"/>
      <c r="SM286" s="120"/>
      <c r="SN286" s="120"/>
      <c r="SO286" s="120"/>
      <c r="SP286" s="120"/>
      <c r="SQ286" s="120"/>
      <c r="SR286" s="120"/>
      <c r="SS286" s="120"/>
      <c r="ST286" s="120"/>
      <c r="SU286" s="120"/>
      <c r="SV286" s="120"/>
      <c r="SW286" s="120"/>
      <c r="SX286" s="120"/>
      <c r="SY286" s="120"/>
      <c r="SZ286" s="120"/>
      <c r="TA286" s="120"/>
      <c r="TB286" s="120"/>
      <c r="TC286" s="120"/>
      <c r="TD286" s="120"/>
      <c r="TE286" s="120"/>
    </row>
    <row r="287" spans="1:525" s="121" customFormat="1" ht="30" hidden="1" customHeight="1" x14ac:dyDescent="0.25">
      <c r="A287" s="117">
        <v>1217362</v>
      </c>
      <c r="B287" s="118">
        <f>'дод 6'!A210</f>
        <v>7362</v>
      </c>
      <c r="C287" s="118" t="str">
        <f>'дод 6'!B210</f>
        <v>0490</v>
      </c>
      <c r="D287" s="122" t="str">
        <f>'дод 6'!C210</f>
        <v>Виконання інвестиційних проектів в рамках підтримки розвитку об'єднаних територіальних громад</v>
      </c>
      <c r="E287" s="81">
        <f t="shared" si="125"/>
        <v>0</v>
      </c>
      <c r="F287" s="81"/>
      <c r="G287" s="81"/>
      <c r="H287" s="81"/>
      <c r="I287" s="81"/>
      <c r="J287" s="81">
        <f t="shared" si="132"/>
        <v>0</v>
      </c>
      <c r="K287" s="81"/>
      <c r="L287" s="81"/>
      <c r="M287" s="81"/>
      <c r="N287" s="81"/>
      <c r="O287" s="81"/>
      <c r="P287" s="81">
        <f t="shared" si="131"/>
        <v>0</v>
      </c>
      <c r="Q287" s="225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</row>
    <row r="288" spans="1:525" s="121" customFormat="1" ht="56.25" hidden="1" customHeight="1" x14ac:dyDescent="0.25">
      <c r="A288" s="117" t="s">
        <v>363</v>
      </c>
      <c r="B288" s="118">
        <v>7363</v>
      </c>
      <c r="C288" s="147" t="s">
        <v>81</v>
      </c>
      <c r="D288" s="119" t="s">
        <v>575</v>
      </c>
      <c r="E288" s="81">
        <f t="shared" si="125"/>
        <v>0</v>
      </c>
      <c r="F288" s="81"/>
      <c r="G288" s="81"/>
      <c r="H288" s="81"/>
      <c r="I288" s="81"/>
      <c r="J288" s="81">
        <f t="shared" si="132"/>
        <v>0</v>
      </c>
      <c r="K288" s="81"/>
      <c r="L288" s="81"/>
      <c r="M288" s="81"/>
      <c r="N288" s="81"/>
      <c r="O288" s="81"/>
      <c r="P288" s="81">
        <f t="shared" si="131"/>
        <v>0</v>
      </c>
      <c r="Q288" s="225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</row>
    <row r="289" spans="1:525" s="127" customFormat="1" ht="50.25" hidden="1" customHeight="1" x14ac:dyDescent="0.25">
      <c r="A289" s="123"/>
      <c r="B289" s="144"/>
      <c r="C289" s="144"/>
      <c r="D289" s="125" t="s">
        <v>383</v>
      </c>
      <c r="E289" s="81">
        <f t="shared" si="125"/>
        <v>0</v>
      </c>
      <c r="F289" s="82"/>
      <c r="G289" s="82"/>
      <c r="H289" s="82"/>
      <c r="I289" s="82"/>
      <c r="J289" s="81">
        <f t="shared" si="132"/>
        <v>0</v>
      </c>
      <c r="K289" s="82"/>
      <c r="L289" s="82"/>
      <c r="M289" s="82"/>
      <c r="N289" s="82"/>
      <c r="O289" s="82"/>
      <c r="P289" s="81">
        <f t="shared" si="131"/>
        <v>0</v>
      </c>
      <c r="Q289" s="225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  <c r="IS289" s="126"/>
      <c r="IT289" s="126"/>
      <c r="IU289" s="126"/>
      <c r="IV289" s="126"/>
      <c r="IW289" s="126"/>
      <c r="IX289" s="126"/>
      <c r="IY289" s="126"/>
      <c r="IZ289" s="126"/>
      <c r="JA289" s="126"/>
      <c r="JB289" s="126"/>
      <c r="JC289" s="126"/>
      <c r="JD289" s="126"/>
      <c r="JE289" s="126"/>
      <c r="JF289" s="126"/>
      <c r="JG289" s="126"/>
      <c r="JH289" s="126"/>
      <c r="JI289" s="126"/>
      <c r="JJ289" s="126"/>
      <c r="JK289" s="126"/>
      <c r="JL289" s="126"/>
      <c r="JM289" s="126"/>
      <c r="JN289" s="126"/>
      <c r="JO289" s="126"/>
      <c r="JP289" s="126"/>
      <c r="JQ289" s="126"/>
      <c r="JR289" s="126"/>
      <c r="JS289" s="126"/>
      <c r="JT289" s="126"/>
      <c r="JU289" s="126"/>
      <c r="JV289" s="126"/>
      <c r="JW289" s="126"/>
      <c r="JX289" s="126"/>
      <c r="JY289" s="126"/>
      <c r="JZ289" s="126"/>
      <c r="KA289" s="126"/>
      <c r="KB289" s="126"/>
      <c r="KC289" s="126"/>
      <c r="KD289" s="126"/>
      <c r="KE289" s="126"/>
      <c r="KF289" s="126"/>
      <c r="KG289" s="126"/>
      <c r="KH289" s="126"/>
      <c r="KI289" s="126"/>
      <c r="KJ289" s="126"/>
      <c r="KK289" s="126"/>
      <c r="KL289" s="126"/>
      <c r="KM289" s="126"/>
      <c r="KN289" s="126"/>
      <c r="KO289" s="126"/>
      <c r="KP289" s="126"/>
      <c r="KQ289" s="126"/>
      <c r="KR289" s="126"/>
      <c r="KS289" s="126"/>
      <c r="KT289" s="126"/>
      <c r="KU289" s="126"/>
      <c r="KV289" s="126"/>
      <c r="KW289" s="126"/>
      <c r="KX289" s="126"/>
      <c r="KY289" s="126"/>
      <c r="KZ289" s="126"/>
      <c r="LA289" s="126"/>
      <c r="LB289" s="126"/>
      <c r="LC289" s="126"/>
      <c r="LD289" s="126"/>
      <c r="LE289" s="126"/>
      <c r="LF289" s="126"/>
      <c r="LG289" s="126"/>
      <c r="LH289" s="126"/>
      <c r="LI289" s="126"/>
      <c r="LJ289" s="126"/>
      <c r="LK289" s="126"/>
      <c r="LL289" s="126"/>
      <c r="LM289" s="126"/>
      <c r="LN289" s="126"/>
      <c r="LO289" s="126"/>
      <c r="LP289" s="126"/>
      <c r="LQ289" s="126"/>
      <c r="LR289" s="126"/>
      <c r="LS289" s="126"/>
      <c r="LT289" s="126"/>
      <c r="LU289" s="126"/>
      <c r="LV289" s="126"/>
      <c r="LW289" s="126"/>
      <c r="LX289" s="126"/>
      <c r="LY289" s="126"/>
      <c r="LZ289" s="126"/>
      <c r="MA289" s="126"/>
      <c r="MB289" s="126"/>
      <c r="MC289" s="126"/>
      <c r="MD289" s="126"/>
      <c r="ME289" s="126"/>
      <c r="MF289" s="126"/>
      <c r="MG289" s="126"/>
      <c r="MH289" s="126"/>
      <c r="MI289" s="126"/>
      <c r="MJ289" s="126"/>
      <c r="MK289" s="126"/>
      <c r="ML289" s="126"/>
      <c r="MM289" s="126"/>
      <c r="MN289" s="126"/>
      <c r="MO289" s="126"/>
      <c r="MP289" s="126"/>
      <c r="MQ289" s="126"/>
      <c r="MR289" s="126"/>
      <c r="MS289" s="126"/>
      <c r="MT289" s="126"/>
      <c r="MU289" s="126"/>
      <c r="MV289" s="126"/>
      <c r="MW289" s="126"/>
      <c r="MX289" s="126"/>
      <c r="MY289" s="126"/>
      <c r="MZ289" s="126"/>
      <c r="NA289" s="126"/>
      <c r="NB289" s="126"/>
      <c r="NC289" s="126"/>
      <c r="ND289" s="126"/>
      <c r="NE289" s="126"/>
      <c r="NF289" s="126"/>
      <c r="NG289" s="126"/>
      <c r="NH289" s="126"/>
      <c r="NI289" s="126"/>
      <c r="NJ289" s="126"/>
      <c r="NK289" s="126"/>
      <c r="NL289" s="126"/>
      <c r="NM289" s="126"/>
      <c r="NN289" s="126"/>
      <c r="NO289" s="126"/>
      <c r="NP289" s="126"/>
      <c r="NQ289" s="126"/>
      <c r="NR289" s="126"/>
      <c r="NS289" s="126"/>
      <c r="NT289" s="126"/>
      <c r="NU289" s="126"/>
      <c r="NV289" s="126"/>
      <c r="NW289" s="126"/>
      <c r="NX289" s="126"/>
      <c r="NY289" s="126"/>
      <c r="NZ289" s="126"/>
      <c r="OA289" s="126"/>
      <c r="OB289" s="126"/>
      <c r="OC289" s="126"/>
      <c r="OD289" s="126"/>
      <c r="OE289" s="126"/>
      <c r="OF289" s="126"/>
      <c r="OG289" s="126"/>
      <c r="OH289" s="126"/>
      <c r="OI289" s="126"/>
      <c r="OJ289" s="126"/>
      <c r="OK289" s="126"/>
      <c r="OL289" s="126"/>
      <c r="OM289" s="126"/>
      <c r="ON289" s="126"/>
      <c r="OO289" s="126"/>
      <c r="OP289" s="126"/>
      <c r="OQ289" s="126"/>
      <c r="OR289" s="126"/>
      <c r="OS289" s="126"/>
      <c r="OT289" s="126"/>
      <c r="OU289" s="126"/>
      <c r="OV289" s="126"/>
      <c r="OW289" s="126"/>
      <c r="OX289" s="126"/>
      <c r="OY289" s="126"/>
      <c r="OZ289" s="126"/>
      <c r="PA289" s="126"/>
      <c r="PB289" s="126"/>
      <c r="PC289" s="126"/>
      <c r="PD289" s="126"/>
      <c r="PE289" s="126"/>
      <c r="PF289" s="126"/>
      <c r="PG289" s="126"/>
      <c r="PH289" s="126"/>
      <c r="PI289" s="126"/>
      <c r="PJ289" s="126"/>
      <c r="PK289" s="126"/>
      <c r="PL289" s="126"/>
      <c r="PM289" s="126"/>
      <c r="PN289" s="126"/>
      <c r="PO289" s="126"/>
      <c r="PP289" s="126"/>
      <c r="PQ289" s="126"/>
      <c r="PR289" s="126"/>
      <c r="PS289" s="126"/>
      <c r="PT289" s="126"/>
      <c r="PU289" s="126"/>
      <c r="PV289" s="126"/>
      <c r="PW289" s="126"/>
      <c r="PX289" s="126"/>
      <c r="PY289" s="126"/>
      <c r="PZ289" s="126"/>
      <c r="QA289" s="126"/>
      <c r="QB289" s="126"/>
      <c r="QC289" s="126"/>
      <c r="QD289" s="126"/>
      <c r="QE289" s="126"/>
      <c r="QF289" s="126"/>
      <c r="QG289" s="126"/>
      <c r="QH289" s="126"/>
      <c r="QI289" s="126"/>
      <c r="QJ289" s="126"/>
      <c r="QK289" s="126"/>
      <c r="QL289" s="126"/>
      <c r="QM289" s="126"/>
      <c r="QN289" s="126"/>
      <c r="QO289" s="126"/>
      <c r="QP289" s="126"/>
      <c r="QQ289" s="126"/>
      <c r="QR289" s="126"/>
      <c r="QS289" s="126"/>
      <c r="QT289" s="126"/>
      <c r="QU289" s="126"/>
      <c r="QV289" s="126"/>
      <c r="QW289" s="126"/>
      <c r="QX289" s="126"/>
      <c r="QY289" s="126"/>
      <c r="QZ289" s="126"/>
      <c r="RA289" s="126"/>
      <c r="RB289" s="126"/>
      <c r="RC289" s="126"/>
      <c r="RD289" s="126"/>
      <c r="RE289" s="126"/>
      <c r="RF289" s="126"/>
      <c r="RG289" s="126"/>
      <c r="RH289" s="126"/>
      <c r="RI289" s="126"/>
      <c r="RJ289" s="126"/>
      <c r="RK289" s="126"/>
      <c r="RL289" s="126"/>
      <c r="RM289" s="126"/>
      <c r="RN289" s="126"/>
      <c r="RO289" s="126"/>
      <c r="RP289" s="126"/>
      <c r="RQ289" s="126"/>
      <c r="RR289" s="126"/>
      <c r="RS289" s="126"/>
      <c r="RT289" s="126"/>
      <c r="RU289" s="126"/>
      <c r="RV289" s="126"/>
      <c r="RW289" s="126"/>
      <c r="RX289" s="126"/>
      <c r="RY289" s="126"/>
      <c r="RZ289" s="126"/>
      <c r="SA289" s="126"/>
      <c r="SB289" s="126"/>
      <c r="SC289" s="126"/>
      <c r="SD289" s="126"/>
      <c r="SE289" s="126"/>
      <c r="SF289" s="126"/>
      <c r="SG289" s="126"/>
      <c r="SH289" s="126"/>
      <c r="SI289" s="126"/>
      <c r="SJ289" s="126"/>
      <c r="SK289" s="126"/>
      <c r="SL289" s="126"/>
      <c r="SM289" s="126"/>
      <c r="SN289" s="126"/>
      <c r="SO289" s="126"/>
      <c r="SP289" s="126"/>
      <c r="SQ289" s="126"/>
      <c r="SR289" s="126"/>
      <c r="SS289" s="126"/>
      <c r="ST289" s="126"/>
      <c r="SU289" s="126"/>
      <c r="SV289" s="126"/>
      <c r="SW289" s="126"/>
      <c r="SX289" s="126"/>
      <c r="SY289" s="126"/>
      <c r="SZ289" s="126"/>
      <c r="TA289" s="126"/>
      <c r="TB289" s="126"/>
      <c r="TC289" s="126"/>
      <c r="TD289" s="126"/>
      <c r="TE289" s="126"/>
    </row>
    <row r="290" spans="1:525" s="127" customFormat="1" ht="31.5" hidden="1" customHeight="1" x14ac:dyDescent="0.25">
      <c r="A290" s="117" t="s">
        <v>537</v>
      </c>
      <c r="B290" s="118">
        <v>7368</v>
      </c>
      <c r="C290" s="147" t="s">
        <v>81</v>
      </c>
      <c r="D290" s="119" t="s">
        <v>538</v>
      </c>
      <c r="E290" s="81">
        <f t="shared" si="125"/>
        <v>0</v>
      </c>
      <c r="F290" s="82"/>
      <c r="G290" s="82"/>
      <c r="H290" s="82"/>
      <c r="I290" s="82"/>
      <c r="J290" s="81">
        <f t="shared" si="132"/>
        <v>0</v>
      </c>
      <c r="K290" s="81"/>
      <c r="L290" s="81"/>
      <c r="M290" s="81"/>
      <c r="N290" s="81"/>
      <c r="O290" s="81"/>
      <c r="P290" s="81">
        <f t="shared" si="131"/>
        <v>0</v>
      </c>
      <c r="Q290" s="225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126"/>
      <c r="NB290" s="126"/>
      <c r="NC290" s="126"/>
      <c r="ND290" s="126"/>
      <c r="NE290" s="126"/>
      <c r="NF290" s="126"/>
      <c r="NG290" s="126"/>
      <c r="NH290" s="126"/>
      <c r="NI290" s="126"/>
      <c r="NJ290" s="126"/>
      <c r="NK290" s="126"/>
      <c r="NL290" s="126"/>
      <c r="NM290" s="126"/>
      <c r="NN290" s="126"/>
      <c r="NO290" s="126"/>
      <c r="NP290" s="126"/>
      <c r="NQ290" s="126"/>
      <c r="NR290" s="126"/>
      <c r="NS290" s="126"/>
      <c r="NT290" s="126"/>
      <c r="NU290" s="126"/>
      <c r="NV290" s="126"/>
      <c r="NW290" s="126"/>
      <c r="NX290" s="126"/>
      <c r="NY290" s="126"/>
      <c r="NZ290" s="126"/>
      <c r="OA290" s="126"/>
      <c r="OB290" s="126"/>
      <c r="OC290" s="126"/>
      <c r="OD290" s="126"/>
      <c r="OE290" s="126"/>
      <c r="OF290" s="126"/>
      <c r="OG290" s="126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</row>
    <row r="291" spans="1:525" s="127" customFormat="1" ht="15.75" hidden="1" customHeight="1" x14ac:dyDescent="0.25">
      <c r="A291" s="123"/>
      <c r="B291" s="144"/>
      <c r="C291" s="144"/>
      <c r="D291" s="143" t="s">
        <v>388</v>
      </c>
      <c r="E291" s="81">
        <f t="shared" si="125"/>
        <v>0</v>
      </c>
      <c r="F291" s="82"/>
      <c r="G291" s="82"/>
      <c r="H291" s="82"/>
      <c r="I291" s="82"/>
      <c r="J291" s="81">
        <f t="shared" si="132"/>
        <v>0</v>
      </c>
      <c r="K291" s="82"/>
      <c r="L291" s="82"/>
      <c r="M291" s="82"/>
      <c r="N291" s="82"/>
      <c r="O291" s="82"/>
      <c r="P291" s="81">
        <f t="shared" si="131"/>
        <v>0</v>
      </c>
      <c r="Q291" s="225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126"/>
      <c r="NB291" s="126"/>
      <c r="NC291" s="126"/>
      <c r="ND291" s="126"/>
      <c r="NE291" s="126"/>
      <c r="NF291" s="126"/>
      <c r="NG291" s="126"/>
      <c r="NH291" s="126"/>
      <c r="NI291" s="126"/>
      <c r="NJ291" s="126"/>
      <c r="NK291" s="126"/>
      <c r="NL291" s="126"/>
      <c r="NM291" s="126"/>
      <c r="NN291" s="126"/>
      <c r="NO291" s="126"/>
      <c r="NP291" s="126"/>
      <c r="NQ291" s="126"/>
      <c r="NR291" s="126"/>
      <c r="NS291" s="126"/>
      <c r="NT291" s="126"/>
      <c r="NU291" s="126"/>
      <c r="NV291" s="126"/>
      <c r="NW291" s="126"/>
      <c r="NX291" s="126"/>
      <c r="NY291" s="126"/>
      <c r="NZ291" s="126"/>
      <c r="OA291" s="126"/>
      <c r="OB291" s="126"/>
      <c r="OC291" s="126"/>
      <c r="OD291" s="126"/>
      <c r="OE291" s="126"/>
      <c r="OF291" s="126"/>
      <c r="OG291" s="126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</row>
    <row r="292" spans="1:525" s="127" customFormat="1" ht="110.25" hidden="1" customHeight="1" x14ac:dyDescent="0.25">
      <c r="A292" s="123"/>
      <c r="B292" s="144"/>
      <c r="C292" s="144"/>
      <c r="D292" s="125" t="s">
        <v>390</v>
      </c>
      <c r="E292" s="81">
        <f t="shared" si="125"/>
        <v>0</v>
      </c>
      <c r="F292" s="82"/>
      <c r="G292" s="82"/>
      <c r="H292" s="82"/>
      <c r="I292" s="82"/>
      <c r="J292" s="81">
        <f t="shared" si="132"/>
        <v>0</v>
      </c>
      <c r="K292" s="82"/>
      <c r="L292" s="82"/>
      <c r="M292" s="82"/>
      <c r="N292" s="82"/>
      <c r="O292" s="82"/>
      <c r="P292" s="81">
        <f t="shared" si="131"/>
        <v>0</v>
      </c>
      <c r="Q292" s="225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126"/>
      <c r="NB292" s="126"/>
      <c r="NC292" s="126"/>
      <c r="ND292" s="126"/>
      <c r="NE292" s="126"/>
      <c r="NF292" s="126"/>
      <c r="NG292" s="126"/>
      <c r="NH292" s="126"/>
      <c r="NI292" s="126"/>
      <c r="NJ292" s="126"/>
      <c r="NK292" s="126"/>
      <c r="NL292" s="126"/>
      <c r="NM292" s="126"/>
      <c r="NN292" s="126"/>
      <c r="NO292" s="126"/>
      <c r="NP292" s="126"/>
      <c r="NQ292" s="126"/>
      <c r="NR292" s="126"/>
      <c r="NS292" s="126"/>
      <c r="NT292" s="126"/>
      <c r="NU292" s="126"/>
      <c r="NV292" s="126"/>
      <c r="NW292" s="126"/>
      <c r="NX292" s="126"/>
      <c r="NY292" s="126"/>
      <c r="NZ292" s="126"/>
      <c r="OA292" s="126"/>
      <c r="OB292" s="126"/>
      <c r="OC292" s="126"/>
      <c r="OD292" s="126"/>
      <c r="OE292" s="126"/>
      <c r="OF292" s="126"/>
      <c r="OG292" s="126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</row>
    <row r="293" spans="1:525" s="127" customFormat="1" ht="87" hidden="1" customHeight="1" x14ac:dyDescent="0.25">
      <c r="A293" s="123"/>
      <c r="B293" s="144"/>
      <c r="C293" s="123"/>
      <c r="D293" s="125" t="s">
        <v>504</v>
      </c>
      <c r="E293" s="81">
        <f t="shared" si="125"/>
        <v>0</v>
      </c>
      <c r="F293" s="82"/>
      <c r="G293" s="82"/>
      <c r="H293" s="82"/>
      <c r="I293" s="82"/>
      <c r="J293" s="81">
        <f t="shared" si="132"/>
        <v>0</v>
      </c>
      <c r="K293" s="82"/>
      <c r="L293" s="82"/>
      <c r="M293" s="82"/>
      <c r="N293" s="82"/>
      <c r="O293" s="82"/>
      <c r="P293" s="81">
        <f t="shared" si="131"/>
        <v>0</v>
      </c>
      <c r="Q293" s="225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  <c r="HN293" s="126"/>
      <c r="HO293" s="126"/>
      <c r="HP293" s="126"/>
      <c r="HQ293" s="126"/>
      <c r="HR293" s="126"/>
      <c r="HS293" s="126"/>
      <c r="HT293" s="126"/>
      <c r="HU293" s="126"/>
      <c r="HV293" s="126"/>
      <c r="HW293" s="126"/>
      <c r="HX293" s="126"/>
      <c r="HY293" s="126"/>
      <c r="HZ293" s="126"/>
      <c r="IA293" s="126"/>
      <c r="IB293" s="126"/>
      <c r="IC293" s="126"/>
      <c r="ID293" s="126"/>
      <c r="IE293" s="126"/>
      <c r="IF293" s="126"/>
      <c r="IG293" s="126"/>
      <c r="IH293" s="126"/>
      <c r="II293" s="126"/>
      <c r="IJ293" s="126"/>
      <c r="IK293" s="126"/>
      <c r="IL293" s="126"/>
      <c r="IM293" s="126"/>
      <c r="IN293" s="126"/>
      <c r="IO293" s="126"/>
      <c r="IP293" s="126"/>
      <c r="IQ293" s="126"/>
      <c r="IR293" s="126"/>
      <c r="IS293" s="126"/>
      <c r="IT293" s="126"/>
      <c r="IU293" s="126"/>
      <c r="IV293" s="126"/>
      <c r="IW293" s="126"/>
      <c r="IX293" s="126"/>
      <c r="IY293" s="126"/>
      <c r="IZ293" s="126"/>
      <c r="JA293" s="126"/>
      <c r="JB293" s="126"/>
      <c r="JC293" s="126"/>
      <c r="JD293" s="126"/>
      <c r="JE293" s="126"/>
      <c r="JF293" s="126"/>
      <c r="JG293" s="126"/>
      <c r="JH293" s="126"/>
      <c r="JI293" s="126"/>
      <c r="JJ293" s="126"/>
      <c r="JK293" s="126"/>
      <c r="JL293" s="126"/>
      <c r="JM293" s="126"/>
      <c r="JN293" s="126"/>
      <c r="JO293" s="126"/>
      <c r="JP293" s="126"/>
      <c r="JQ293" s="126"/>
      <c r="JR293" s="126"/>
      <c r="JS293" s="126"/>
      <c r="JT293" s="126"/>
      <c r="JU293" s="126"/>
      <c r="JV293" s="126"/>
      <c r="JW293" s="126"/>
      <c r="JX293" s="126"/>
      <c r="JY293" s="126"/>
      <c r="JZ293" s="126"/>
      <c r="KA293" s="126"/>
      <c r="KB293" s="126"/>
      <c r="KC293" s="126"/>
      <c r="KD293" s="126"/>
      <c r="KE293" s="126"/>
      <c r="KF293" s="126"/>
      <c r="KG293" s="126"/>
      <c r="KH293" s="126"/>
      <c r="KI293" s="126"/>
      <c r="KJ293" s="126"/>
      <c r="KK293" s="126"/>
      <c r="KL293" s="126"/>
      <c r="KM293" s="126"/>
      <c r="KN293" s="126"/>
      <c r="KO293" s="126"/>
      <c r="KP293" s="126"/>
      <c r="KQ293" s="126"/>
      <c r="KR293" s="126"/>
      <c r="KS293" s="126"/>
      <c r="KT293" s="126"/>
      <c r="KU293" s="126"/>
      <c r="KV293" s="126"/>
      <c r="KW293" s="126"/>
      <c r="KX293" s="126"/>
      <c r="KY293" s="126"/>
      <c r="KZ293" s="126"/>
      <c r="LA293" s="126"/>
      <c r="LB293" s="126"/>
      <c r="LC293" s="126"/>
      <c r="LD293" s="126"/>
      <c r="LE293" s="126"/>
      <c r="LF293" s="126"/>
      <c r="LG293" s="126"/>
      <c r="LH293" s="126"/>
      <c r="LI293" s="126"/>
      <c r="LJ293" s="126"/>
      <c r="LK293" s="126"/>
      <c r="LL293" s="126"/>
      <c r="LM293" s="126"/>
      <c r="LN293" s="126"/>
      <c r="LO293" s="126"/>
      <c r="LP293" s="126"/>
      <c r="LQ293" s="126"/>
      <c r="LR293" s="126"/>
      <c r="LS293" s="126"/>
      <c r="LT293" s="126"/>
      <c r="LU293" s="126"/>
      <c r="LV293" s="126"/>
      <c r="LW293" s="126"/>
      <c r="LX293" s="126"/>
      <c r="LY293" s="126"/>
      <c r="LZ293" s="126"/>
      <c r="MA293" s="126"/>
      <c r="MB293" s="126"/>
      <c r="MC293" s="126"/>
      <c r="MD293" s="126"/>
      <c r="ME293" s="126"/>
      <c r="MF293" s="126"/>
      <c r="MG293" s="126"/>
      <c r="MH293" s="126"/>
      <c r="MI293" s="126"/>
      <c r="MJ293" s="126"/>
      <c r="MK293" s="126"/>
      <c r="ML293" s="126"/>
      <c r="MM293" s="126"/>
      <c r="MN293" s="126"/>
      <c r="MO293" s="126"/>
      <c r="MP293" s="126"/>
      <c r="MQ293" s="126"/>
      <c r="MR293" s="126"/>
      <c r="MS293" s="126"/>
      <c r="MT293" s="126"/>
      <c r="MU293" s="126"/>
      <c r="MV293" s="126"/>
      <c r="MW293" s="126"/>
      <c r="MX293" s="126"/>
      <c r="MY293" s="126"/>
      <c r="MZ293" s="126"/>
      <c r="NA293" s="126"/>
      <c r="NB293" s="126"/>
      <c r="NC293" s="126"/>
      <c r="ND293" s="126"/>
      <c r="NE293" s="126"/>
      <c r="NF293" s="126"/>
      <c r="NG293" s="126"/>
      <c r="NH293" s="126"/>
      <c r="NI293" s="126"/>
      <c r="NJ293" s="126"/>
      <c r="NK293" s="126"/>
      <c r="NL293" s="126"/>
      <c r="NM293" s="126"/>
      <c r="NN293" s="126"/>
      <c r="NO293" s="126"/>
      <c r="NP293" s="126"/>
      <c r="NQ293" s="126"/>
      <c r="NR293" s="126"/>
      <c r="NS293" s="126"/>
      <c r="NT293" s="126"/>
      <c r="NU293" s="126"/>
      <c r="NV293" s="126"/>
      <c r="NW293" s="126"/>
      <c r="NX293" s="126"/>
      <c r="NY293" s="126"/>
      <c r="NZ293" s="126"/>
      <c r="OA293" s="126"/>
      <c r="OB293" s="126"/>
      <c r="OC293" s="126"/>
      <c r="OD293" s="126"/>
      <c r="OE293" s="126"/>
      <c r="OF293" s="126"/>
      <c r="OG293" s="126"/>
      <c r="OH293" s="126"/>
      <c r="OI293" s="126"/>
      <c r="OJ293" s="126"/>
      <c r="OK293" s="126"/>
      <c r="OL293" s="126"/>
      <c r="OM293" s="126"/>
      <c r="ON293" s="126"/>
      <c r="OO293" s="126"/>
      <c r="OP293" s="126"/>
      <c r="OQ293" s="126"/>
      <c r="OR293" s="126"/>
      <c r="OS293" s="126"/>
      <c r="OT293" s="126"/>
      <c r="OU293" s="126"/>
      <c r="OV293" s="126"/>
      <c r="OW293" s="126"/>
      <c r="OX293" s="126"/>
      <c r="OY293" s="126"/>
      <c r="OZ293" s="126"/>
      <c r="PA293" s="126"/>
      <c r="PB293" s="126"/>
      <c r="PC293" s="126"/>
      <c r="PD293" s="126"/>
      <c r="PE293" s="126"/>
      <c r="PF293" s="126"/>
      <c r="PG293" s="126"/>
      <c r="PH293" s="126"/>
      <c r="PI293" s="126"/>
      <c r="PJ293" s="126"/>
      <c r="PK293" s="126"/>
      <c r="PL293" s="126"/>
      <c r="PM293" s="126"/>
      <c r="PN293" s="126"/>
      <c r="PO293" s="126"/>
      <c r="PP293" s="126"/>
      <c r="PQ293" s="126"/>
      <c r="PR293" s="126"/>
      <c r="PS293" s="126"/>
      <c r="PT293" s="126"/>
      <c r="PU293" s="126"/>
      <c r="PV293" s="126"/>
      <c r="PW293" s="126"/>
      <c r="PX293" s="126"/>
      <c r="PY293" s="126"/>
      <c r="PZ293" s="126"/>
      <c r="QA293" s="126"/>
      <c r="QB293" s="126"/>
      <c r="QC293" s="126"/>
      <c r="QD293" s="126"/>
      <c r="QE293" s="126"/>
      <c r="QF293" s="126"/>
      <c r="QG293" s="126"/>
      <c r="QH293" s="126"/>
      <c r="QI293" s="126"/>
      <c r="QJ293" s="126"/>
      <c r="QK293" s="126"/>
      <c r="QL293" s="126"/>
      <c r="QM293" s="126"/>
      <c r="QN293" s="126"/>
      <c r="QO293" s="126"/>
      <c r="QP293" s="126"/>
      <c r="QQ293" s="126"/>
      <c r="QR293" s="126"/>
      <c r="QS293" s="126"/>
      <c r="QT293" s="126"/>
      <c r="QU293" s="126"/>
      <c r="QV293" s="126"/>
      <c r="QW293" s="126"/>
      <c r="QX293" s="126"/>
      <c r="QY293" s="126"/>
      <c r="QZ293" s="126"/>
      <c r="RA293" s="126"/>
      <c r="RB293" s="126"/>
      <c r="RC293" s="126"/>
      <c r="RD293" s="126"/>
      <c r="RE293" s="126"/>
      <c r="RF293" s="126"/>
      <c r="RG293" s="126"/>
      <c r="RH293" s="126"/>
      <c r="RI293" s="126"/>
      <c r="RJ293" s="126"/>
      <c r="RK293" s="126"/>
      <c r="RL293" s="126"/>
      <c r="RM293" s="126"/>
      <c r="RN293" s="126"/>
      <c r="RO293" s="126"/>
      <c r="RP293" s="126"/>
      <c r="RQ293" s="126"/>
      <c r="RR293" s="126"/>
      <c r="RS293" s="126"/>
      <c r="RT293" s="126"/>
      <c r="RU293" s="126"/>
      <c r="RV293" s="126"/>
      <c r="RW293" s="126"/>
      <c r="RX293" s="126"/>
      <c r="RY293" s="126"/>
      <c r="RZ293" s="126"/>
      <c r="SA293" s="126"/>
      <c r="SB293" s="126"/>
      <c r="SC293" s="126"/>
      <c r="SD293" s="126"/>
      <c r="SE293" s="126"/>
      <c r="SF293" s="126"/>
      <c r="SG293" s="126"/>
      <c r="SH293" s="126"/>
      <c r="SI293" s="126"/>
      <c r="SJ293" s="126"/>
      <c r="SK293" s="126"/>
      <c r="SL293" s="126"/>
      <c r="SM293" s="126"/>
      <c r="SN293" s="126"/>
      <c r="SO293" s="126"/>
      <c r="SP293" s="126"/>
      <c r="SQ293" s="126"/>
      <c r="SR293" s="126"/>
      <c r="SS293" s="126"/>
      <c r="ST293" s="126"/>
      <c r="SU293" s="126"/>
      <c r="SV293" s="126"/>
      <c r="SW293" s="126"/>
      <c r="SX293" s="126"/>
      <c r="SY293" s="126"/>
      <c r="SZ293" s="126"/>
      <c r="TA293" s="126"/>
      <c r="TB293" s="126"/>
      <c r="TC293" s="126"/>
      <c r="TD293" s="126"/>
      <c r="TE293" s="126"/>
    </row>
    <row r="294" spans="1:525" s="127" customFormat="1" ht="63.75" hidden="1" customHeight="1" x14ac:dyDescent="0.25">
      <c r="A294" s="117" t="s">
        <v>535</v>
      </c>
      <c r="B294" s="118">
        <v>7463</v>
      </c>
      <c r="C294" s="117" t="s">
        <v>393</v>
      </c>
      <c r="D294" s="153" t="s">
        <v>536</v>
      </c>
      <c r="E294" s="81">
        <f t="shared" si="125"/>
        <v>0</v>
      </c>
      <c r="F294" s="81"/>
      <c r="G294" s="82"/>
      <c r="H294" s="82"/>
      <c r="I294" s="82"/>
      <c r="J294" s="81">
        <f t="shared" si="132"/>
        <v>0</v>
      </c>
      <c r="K294" s="82"/>
      <c r="L294" s="82"/>
      <c r="M294" s="82"/>
      <c r="N294" s="82"/>
      <c r="O294" s="82"/>
      <c r="P294" s="81">
        <f t="shared" si="131"/>
        <v>0</v>
      </c>
      <c r="Q294" s="225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  <c r="HN294" s="126"/>
      <c r="HO294" s="126"/>
      <c r="HP294" s="126"/>
      <c r="HQ294" s="126"/>
      <c r="HR294" s="126"/>
      <c r="HS294" s="126"/>
      <c r="HT294" s="126"/>
      <c r="HU294" s="126"/>
      <c r="HV294" s="126"/>
      <c r="HW294" s="126"/>
      <c r="HX294" s="126"/>
      <c r="HY294" s="126"/>
      <c r="HZ294" s="126"/>
      <c r="IA294" s="126"/>
      <c r="IB294" s="126"/>
      <c r="IC294" s="126"/>
      <c r="ID294" s="126"/>
      <c r="IE294" s="126"/>
      <c r="IF294" s="126"/>
      <c r="IG294" s="126"/>
      <c r="IH294" s="126"/>
      <c r="II294" s="126"/>
      <c r="IJ294" s="126"/>
      <c r="IK294" s="126"/>
      <c r="IL294" s="126"/>
      <c r="IM294" s="126"/>
      <c r="IN294" s="126"/>
      <c r="IO294" s="126"/>
      <c r="IP294" s="126"/>
      <c r="IQ294" s="126"/>
      <c r="IR294" s="126"/>
      <c r="IS294" s="126"/>
      <c r="IT294" s="126"/>
      <c r="IU294" s="126"/>
      <c r="IV294" s="126"/>
      <c r="IW294" s="126"/>
      <c r="IX294" s="126"/>
      <c r="IY294" s="126"/>
      <c r="IZ294" s="126"/>
      <c r="JA294" s="126"/>
      <c r="JB294" s="126"/>
      <c r="JC294" s="126"/>
      <c r="JD294" s="126"/>
      <c r="JE294" s="126"/>
      <c r="JF294" s="126"/>
      <c r="JG294" s="126"/>
      <c r="JH294" s="126"/>
      <c r="JI294" s="126"/>
      <c r="JJ294" s="126"/>
      <c r="JK294" s="126"/>
      <c r="JL294" s="126"/>
      <c r="JM294" s="126"/>
      <c r="JN294" s="126"/>
      <c r="JO294" s="126"/>
      <c r="JP294" s="126"/>
      <c r="JQ294" s="126"/>
      <c r="JR294" s="126"/>
      <c r="JS294" s="126"/>
      <c r="JT294" s="126"/>
      <c r="JU294" s="126"/>
      <c r="JV294" s="126"/>
      <c r="JW294" s="126"/>
      <c r="JX294" s="126"/>
      <c r="JY294" s="126"/>
      <c r="JZ294" s="126"/>
      <c r="KA294" s="126"/>
      <c r="KB294" s="126"/>
      <c r="KC294" s="126"/>
      <c r="KD294" s="126"/>
      <c r="KE294" s="126"/>
      <c r="KF294" s="126"/>
      <c r="KG294" s="126"/>
      <c r="KH294" s="126"/>
      <c r="KI294" s="126"/>
      <c r="KJ294" s="126"/>
      <c r="KK294" s="126"/>
      <c r="KL294" s="126"/>
      <c r="KM294" s="126"/>
      <c r="KN294" s="126"/>
      <c r="KO294" s="126"/>
      <c r="KP294" s="126"/>
      <c r="KQ294" s="126"/>
      <c r="KR294" s="126"/>
      <c r="KS294" s="126"/>
      <c r="KT294" s="126"/>
      <c r="KU294" s="126"/>
      <c r="KV294" s="126"/>
      <c r="KW294" s="126"/>
      <c r="KX294" s="126"/>
      <c r="KY294" s="126"/>
      <c r="KZ294" s="126"/>
      <c r="LA294" s="126"/>
      <c r="LB294" s="126"/>
      <c r="LC294" s="126"/>
      <c r="LD294" s="126"/>
      <c r="LE294" s="126"/>
      <c r="LF294" s="126"/>
      <c r="LG294" s="126"/>
      <c r="LH294" s="126"/>
      <c r="LI294" s="126"/>
      <c r="LJ294" s="126"/>
      <c r="LK294" s="126"/>
      <c r="LL294" s="126"/>
      <c r="LM294" s="126"/>
      <c r="LN294" s="126"/>
      <c r="LO294" s="126"/>
      <c r="LP294" s="126"/>
      <c r="LQ294" s="126"/>
      <c r="LR294" s="126"/>
      <c r="LS294" s="126"/>
      <c r="LT294" s="126"/>
      <c r="LU294" s="126"/>
      <c r="LV294" s="126"/>
      <c r="LW294" s="126"/>
      <c r="LX294" s="126"/>
      <c r="LY294" s="126"/>
      <c r="LZ294" s="126"/>
      <c r="MA294" s="126"/>
      <c r="MB294" s="126"/>
      <c r="MC294" s="126"/>
      <c r="MD294" s="126"/>
      <c r="ME294" s="126"/>
      <c r="MF294" s="126"/>
      <c r="MG294" s="126"/>
      <c r="MH294" s="126"/>
      <c r="MI294" s="126"/>
      <c r="MJ294" s="126"/>
      <c r="MK294" s="126"/>
      <c r="ML294" s="126"/>
      <c r="MM294" s="126"/>
      <c r="MN294" s="126"/>
      <c r="MO294" s="126"/>
      <c r="MP294" s="126"/>
      <c r="MQ294" s="126"/>
      <c r="MR294" s="126"/>
      <c r="MS294" s="126"/>
      <c r="MT294" s="126"/>
      <c r="MU294" s="126"/>
      <c r="MV294" s="126"/>
      <c r="MW294" s="126"/>
      <c r="MX294" s="126"/>
      <c r="MY294" s="126"/>
      <c r="MZ294" s="126"/>
      <c r="NA294" s="126"/>
      <c r="NB294" s="126"/>
      <c r="NC294" s="126"/>
      <c r="ND294" s="126"/>
      <c r="NE294" s="126"/>
      <c r="NF294" s="126"/>
      <c r="NG294" s="126"/>
      <c r="NH294" s="126"/>
      <c r="NI294" s="126"/>
      <c r="NJ294" s="126"/>
      <c r="NK294" s="126"/>
      <c r="NL294" s="126"/>
      <c r="NM294" s="126"/>
      <c r="NN294" s="126"/>
      <c r="NO294" s="126"/>
      <c r="NP294" s="126"/>
      <c r="NQ294" s="126"/>
      <c r="NR294" s="126"/>
      <c r="NS294" s="126"/>
      <c r="NT294" s="126"/>
      <c r="NU294" s="126"/>
      <c r="NV294" s="126"/>
      <c r="NW294" s="126"/>
      <c r="NX294" s="126"/>
      <c r="NY294" s="126"/>
      <c r="NZ294" s="126"/>
      <c r="OA294" s="126"/>
      <c r="OB294" s="126"/>
      <c r="OC294" s="126"/>
      <c r="OD294" s="126"/>
      <c r="OE294" s="126"/>
      <c r="OF294" s="126"/>
      <c r="OG294" s="126"/>
      <c r="OH294" s="126"/>
      <c r="OI294" s="126"/>
      <c r="OJ294" s="126"/>
      <c r="OK294" s="126"/>
      <c r="OL294" s="126"/>
      <c r="OM294" s="126"/>
      <c r="ON294" s="126"/>
      <c r="OO294" s="126"/>
      <c r="OP294" s="126"/>
      <c r="OQ294" s="126"/>
      <c r="OR294" s="126"/>
      <c r="OS294" s="126"/>
      <c r="OT294" s="126"/>
      <c r="OU294" s="126"/>
      <c r="OV294" s="126"/>
      <c r="OW294" s="126"/>
      <c r="OX294" s="126"/>
      <c r="OY294" s="126"/>
      <c r="OZ294" s="126"/>
      <c r="PA294" s="126"/>
      <c r="PB294" s="126"/>
      <c r="PC294" s="126"/>
      <c r="PD294" s="126"/>
      <c r="PE294" s="126"/>
      <c r="PF294" s="126"/>
      <c r="PG294" s="126"/>
      <c r="PH294" s="126"/>
      <c r="PI294" s="126"/>
      <c r="PJ294" s="126"/>
      <c r="PK294" s="126"/>
      <c r="PL294" s="126"/>
      <c r="PM294" s="126"/>
      <c r="PN294" s="126"/>
      <c r="PO294" s="126"/>
      <c r="PP294" s="126"/>
      <c r="PQ294" s="126"/>
      <c r="PR294" s="126"/>
      <c r="PS294" s="126"/>
      <c r="PT294" s="126"/>
      <c r="PU294" s="126"/>
      <c r="PV294" s="126"/>
      <c r="PW294" s="126"/>
      <c r="PX294" s="126"/>
      <c r="PY294" s="126"/>
      <c r="PZ294" s="126"/>
      <c r="QA294" s="126"/>
      <c r="QB294" s="126"/>
      <c r="QC294" s="126"/>
      <c r="QD294" s="126"/>
      <c r="QE294" s="126"/>
      <c r="QF294" s="126"/>
      <c r="QG294" s="126"/>
      <c r="QH294" s="126"/>
      <c r="QI294" s="126"/>
      <c r="QJ294" s="126"/>
      <c r="QK294" s="126"/>
      <c r="QL294" s="126"/>
      <c r="QM294" s="126"/>
      <c r="QN294" s="126"/>
      <c r="QO294" s="126"/>
      <c r="QP294" s="126"/>
      <c r="QQ294" s="126"/>
      <c r="QR294" s="126"/>
      <c r="QS294" s="126"/>
      <c r="QT294" s="126"/>
      <c r="QU294" s="126"/>
      <c r="QV294" s="126"/>
      <c r="QW294" s="126"/>
      <c r="QX294" s="126"/>
      <c r="QY294" s="126"/>
      <c r="QZ294" s="126"/>
      <c r="RA294" s="126"/>
      <c r="RB294" s="126"/>
      <c r="RC294" s="126"/>
      <c r="RD294" s="126"/>
      <c r="RE294" s="126"/>
      <c r="RF294" s="126"/>
      <c r="RG294" s="126"/>
      <c r="RH294" s="126"/>
      <c r="RI294" s="126"/>
      <c r="RJ294" s="126"/>
      <c r="RK294" s="126"/>
      <c r="RL294" s="126"/>
      <c r="RM294" s="126"/>
      <c r="RN294" s="126"/>
      <c r="RO294" s="126"/>
      <c r="RP294" s="126"/>
      <c r="RQ294" s="126"/>
      <c r="RR294" s="126"/>
      <c r="RS294" s="126"/>
      <c r="RT294" s="126"/>
      <c r="RU294" s="126"/>
      <c r="RV294" s="126"/>
      <c r="RW294" s="126"/>
      <c r="RX294" s="126"/>
      <c r="RY294" s="126"/>
      <c r="RZ294" s="126"/>
      <c r="SA294" s="126"/>
      <c r="SB294" s="126"/>
      <c r="SC294" s="126"/>
      <c r="SD294" s="126"/>
      <c r="SE294" s="126"/>
      <c r="SF294" s="126"/>
      <c r="SG294" s="126"/>
      <c r="SH294" s="126"/>
      <c r="SI294" s="126"/>
      <c r="SJ294" s="126"/>
      <c r="SK294" s="126"/>
      <c r="SL294" s="126"/>
      <c r="SM294" s="126"/>
      <c r="SN294" s="126"/>
      <c r="SO294" s="126"/>
      <c r="SP294" s="126"/>
      <c r="SQ294" s="126"/>
      <c r="SR294" s="126"/>
      <c r="SS294" s="126"/>
      <c r="ST294" s="126"/>
      <c r="SU294" s="126"/>
      <c r="SV294" s="126"/>
      <c r="SW294" s="126"/>
      <c r="SX294" s="126"/>
      <c r="SY294" s="126"/>
      <c r="SZ294" s="126"/>
      <c r="TA294" s="126"/>
      <c r="TB294" s="126"/>
      <c r="TC294" s="126"/>
      <c r="TD294" s="126"/>
      <c r="TE294" s="126"/>
    </row>
    <row r="295" spans="1:525" s="127" customFormat="1" ht="15.75" hidden="1" customHeight="1" x14ac:dyDescent="0.25">
      <c r="A295" s="123"/>
      <c r="B295" s="144"/>
      <c r="C295" s="123"/>
      <c r="D295" s="143" t="s">
        <v>388</v>
      </c>
      <c r="E295" s="81">
        <f t="shared" si="125"/>
        <v>0</v>
      </c>
      <c r="F295" s="82"/>
      <c r="G295" s="82"/>
      <c r="H295" s="82"/>
      <c r="I295" s="82"/>
      <c r="J295" s="81">
        <f t="shared" si="132"/>
        <v>0</v>
      </c>
      <c r="K295" s="82"/>
      <c r="L295" s="82"/>
      <c r="M295" s="82"/>
      <c r="N295" s="82"/>
      <c r="O295" s="82"/>
      <c r="P295" s="81">
        <f t="shared" si="131"/>
        <v>0</v>
      </c>
      <c r="Q295" s="225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  <c r="HN295" s="126"/>
      <c r="HO295" s="126"/>
      <c r="HP295" s="126"/>
      <c r="HQ295" s="126"/>
      <c r="HR295" s="126"/>
      <c r="HS295" s="126"/>
      <c r="HT295" s="126"/>
      <c r="HU295" s="126"/>
      <c r="HV295" s="126"/>
      <c r="HW295" s="126"/>
      <c r="HX295" s="126"/>
      <c r="HY295" s="126"/>
      <c r="HZ295" s="126"/>
      <c r="IA295" s="126"/>
      <c r="IB295" s="126"/>
      <c r="IC295" s="126"/>
      <c r="ID295" s="126"/>
      <c r="IE295" s="126"/>
      <c r="IF295" s="126"/>
      <c r="IG295" s="126"/>
      <c r="IH295" s="126"/>
      <c r="II295" s="126"/>
      <c r="IJ295" s="126"/>
      <c r="IK295" s="126"/>
      <c r="IL295" s="126"/>
      <c r="IM295" s="126"/>
      <c r="IN295" s="126"/>
      <c r="IO295" s="126"/>
      <c r="IP295" s="126"/>
      <c r="IQ295" s="126"/>
      <c r="IR295" s="126"/>
      <c r="IS295" s="126"/>
      <c r="IT295" s="126"/>
      <c r="IU295" s="126"/>
      <c r="IV295" s="126"/>
      <c r="IW295" s="126"/>
      <c r="IX295" s="126"/>
      <c r="IY295" s="126"/>
      <c r="IZ295" s="126"/>
      <c r="JA295" s="126"/>
      <c r="JB295" s="126"/>
      <c r="JC295" s="126"/>
      <c r="JD295" s="126"/>
      <c r="JE295" s="126"/>
      <c r="JF295" s="126"/>
      <c r="JG295" s="126"/>
      <c r="JH295" s="126"/>
      <c r="JI295" s="126"/>
      <c r="JJ295" s="126"/>
      <c r="JK295" s="126"/>
      <c r="JL295" s="126"/>
      <c r="JM295" s="126"/>
      <c r="JN295" s="126"/>
      <c r="JO295" s="126"/>
      <c r="JP295" s="126"/>
      <c r="JQ295" s="126"/>
      <c r="JR295" s="126"/>
      <c r="JS295" s="126"/>
      <c r="JT295" s="126"/>
      <c r="JU295" s="126"/>
      <c r="JV295" s="126"/>
      <c r="JW295" s="126"/>
      <c r="JX295" s="126"/>
      <c r="JY295" s="126"/>
      <c r="JZ295" s="126"/>
      <c r="KA295" s="126"/>
      <c r="KB295" s="126"/>
      <c r="KC295" s="126"/>
      <c r="KD295" s="126"/>
      <c r="KE295" s="126"/>
      <c r="KF295" s="126"/>
      <c r="KG295" s="126"/>
      <c r="KH295" s="126"/>
      <c r="KI295" s="126"/>
      <c r="KJ295" s="126"/>
      <c r="KK295" s="126"/>
      <c r="KL295" s="126"/>
      <c r="KM295" s="126"/>
      <c r="KN295" s="126"/>
      <c r="KO295" s="126"/>
      <c r="KP295" s="126"/>
      <c r="KQ295" s="126"/>
      <c r="KR295" s="126"/>
      <c r="KS295" s="126"/>
      <c r="KT295" s="126"/>
      <c r="KU295" s="126"/>
      <c r="KV295" s="126"/>
      <c r="KW295" s="126"/>
      <c r="KX295" s="126"/>
      <c r="KY295" s="126"/>
      <c r="KZ295" s="126"/>
      <c r="LA295" s="126"/>
      <c r="LB295" s="126"/>
      <c r="LC295" s="126"/>
      <c r="LD295" s="126"/>
      <c r="LE295" s="126"/>
      <c r="LF295" s="126"/>
      <c r="LG295" s="126"/>
      <c r="LH295" s="126"/>
      <c r="LI295" s="126"/>
      <c r="LJ295" s="126"/>
      <c r="LK295" s="126"/>
      <c r="LL295" s="126"/>
      <c r="LM295" s="126"/>
      <c r="LN295" s="126"/>
      <c r="LO295" s="126"/>
      <c r="LP295" s="126"/>
      <c r="LQ295" s="126"/>
      <c r="LR295" s="126"/>
      <c r="LS295" s="126"/>
      <c r="LT295" s="126"/>
      <c r="LU295" s="126"/>
      <c r="LV295" s="126"/>
      <c r="LW295" s="126"/>
      <c r="LX295" s="126"/>
      <c r="LY295" s="126"/>
      <c r="LZ295" s="126"/>
      <c r="MA295" s="126"/>
      <c r="MB295" s="126"/>
      <c r="MC295" s="126"/>
      <c r="MD295" s="126"/>
      <c r="ME295" s="126"/>
      <c r="MF295" s="126"/>
      <c r="MG295" s="126"/>
      <c r="MH295" s="126"/>
      <c r="MI295" s="126"/>
      <c r="MJ295" s="126"/>
      <c r="MK295" s="126"/>
      <c r="ML295" s="126"/>
      <c r="MM295" s="126"/>
      <c r="MN295" s="126"/>
      <c r="MO295" s="126"/>
      <c r="MP295" s="126"/>
      <c r="MQ295" s="126"/>
      <c r="MR295" s="126"/>
      <c r="MS295" s="126"/>
      <c r="MT295" s="126"/>
      <c r="MU295" s="126"/>
      <c r="MV295" s="126"/>
      <c r="MW295" s="126"/>
      <c r="MX295" s="126"/>
      <c r="MY295" s="126"/>
      <c r="MZ295" s="126"/>
      <c r="NA295" s="126"/>
      <c r="NB295" s="126"/>
      <c r="NC295" s="126"/>
      <c r="ND295" s="126"/>
      <c r="NE295" s="126"/>
      <c r="NF295" s="126"/>
      <c r="NG295" s="126"/>
      <c r="NH295" s="126"/>
      <c r="NI295" s="126"/>
      <c r="NJ295" s="126"/>
      <c r="NK295" s="126"/>
      <c r="NL295" s="126"/>
      <c r="NM295" s="126"/>
      <c r="NN295" s="126"/>
      <c r="NO295" s="126"/>
      <c r="NP295" s="126"/>
      <c r="NQ295" s="126"/>
      <c r="NR295" s="126"/>
      <c r="NS295" s="126"/>
      <c r="NT295" s="126"/>
      <c r="NU295" s="126"/>
      <c r="NV295" s="126"/>
      <c r="NW295" s="126"/>
      <c r="NX295" s="126"/>
      <c r="NY295" s="126"/>
      <c r="NZ295" s="126"/>
      <c r="OA295" s="126"/>
      <c r="OB295" s="126"/>
      <c r="OC295" s="126"/>
      <c r="OD295" s="126"/>
      <c r="OE295" s="126"/>
      <c r="OF295" s="126"/>
      <c r="OG295" s="126"/>
      <c r="OH295" s="126"/>
      <c r="OI295" s="126"/>
      <c r="OJ295" s="126"/>
      <c r="OK295" s="126"/>
      <c r="OL295" s="126"/>
      <c r="OM295" s="126"/>
      <c r="ON295" s="126"/>
      <c r="OO295" s="126"/>
      <c r="OP295" s="126"/>
      <c r="OQ295" s="126"/>
      <c r="OR295" s="126"/>
      <c r="OS295" s="126"/>
      <c r="OT295" s="126"/>
      <c r="OU295" s="126"/>
      <c r="OV295" s="126"/>
      <c r="OW295" s="126"/>
      <c r="OX295" s="126"/>
      <c r="OY295" s="126"/>
      <c r="OZ295" s="126"/>
      <c r="PA295" s="126"/>
      <c r="PB295" s="126"/>
      <c r="PC295" s="126"/>
      <c r="PD295" s="126"/>
      <c r="PE295" s="126"/>
      <c r="PF295" s="126"/>
      <c r="PG295" s="126"/>
      <c r="PH295" s="126"/>
      <c r="PI295" s="126"/>
      <c r="PJ295" s="126"/>
      <c r="PK295" s="126"/>
      <c r="PL295" s="126"/>
      <c r="PM295" s="126"/>
      <c r="PN295" s="126"/>
      <c r="PO295" s="126"/>
      <c r="PP295" s="126"/>
      <c r="PQ295" s="126"/>
      <c r="PR295" s="126"/>
      <c r="PS295" s="126"/>
      <c r="PT295" s="126"/>
      <c r="PU295" s="126"/>
      <c r="PV295" s="126"/>
      <c r="PW295" s="126"/>
      <c r="PX295" s="126"/>
      <c r="PY295" s="126"/>
      <c r="PZ295" s="126"/>
      <c r="QA295" s="126"/>
      <c r="QB295" s="126"/>
      <c r="QC295" s="126"/>
      <c r="QD295" s="126"/>
      <c r="QE295" s="126"/>
      <c r="QF295" s="126"/>
      <c r="QG295" s="126"/>
      <c r="QH295" s="126"/>
      <c r="QI295" s="126"/>
      <c r="QJ295" s="126"/>
      <c r="QK295" s="126"/>
      <c r="QL295" s="126"/>
      <c r="QM295" s="126"/>
      <c r="QN295" s="126"/>
      <c r="QO295" s="126"/>
      <c r="QP295" s="126"/>
      <c r="QQ295" s="126"/>
      <c r="QR295" s="126"/>
      <c r="QS295" s="126"/>
      <c r="QT295" s="126"/>
      <c r="QU295" s="126"/>
      <c r="QV295" s="126"/>
      <c r="QW295" s="126"/>
      <c r="QX295" s="126"/>
      <c r="QY295" s="126"/>
      <c r="QZ295" s="126"/>
      <c r="RA295" s="126"/>
      <c r="RB295" s="126"/>
      <c r="RC295" s="126"/>
      <c r="RD295" s="126"/>
      <c r="RE295" s="126"/>
      <c r="RF295" s="126"/>
      <c r="RG295" s="126"/>
      <c r="RH295" s="126"/>
      <c r="RI295" s="126"/>
      <c r="RJ295" s="126"/>
      <c r="RK295" s="126"/>
      <c r="RL295" s="126"/>
      <c r="RM295" s="126"/>
      <c r="RN295" s="126"/>
      <c r="RO295" s="126"/>
      <c r="RP295" s="126"/>
      <c r="RQ295" s="126"/>
      <c r="RR295" s="126"/>
      <c r="RS295" s="126"/>
      <c r="RT295" s="126"/>
      <c r="RU295" s="126"/>
      <c r="RV295" s="126"/>
      <c r="RW295" s="126"/>
      <c r="RX295" s="126"/>
      <c r="RY295" s="126"/>
      <c r="RZ295" s="126"/>
      <c r="SA295" s="126"/>
      <c r="SB295" s="126"/>
      <c r="SC295" s="126"/>
      <c r="SD295" s="126"/>
      <c r="SE295" s="126"/>
      <c r="SF295" s="126"/>
      <c r="SG295" s="126"/>
      <c r="SH295" s="126"/>
      <c r="SI295" s="126"/>
      <c r="SJ295" s="126"/>
      <c r="SK295" s="126"/>
      <c r="SL295" s="126"/>
      <c r="SM295" s="126"/>
      <c r="SN295" s="126"/>
      <c r="SO295" s="126"/>
      <c r="SP295" s="126"/>
      <c r="SQ295" s="126"/>
      <c r="SR295" s="126"/>
      <c r="SS295" s="126"/>
      <c r="ST295" s="126"/>
      <c r="SU295" s="126"/>
      <c r="SV295" s="126"/>
      <c r="SW295" s="126"/>
      <c r="SX295" s="126"/>
      <c r="SY295" s="126"/>
      <c r="SZ295" s="126"/>
      <c r="TA295" s="126"/>
      <c r="TB295" s="126"/>
      <c r="TC295" s="126"/>
      <c r="TD295" s="126"/>
      <c r="TE295" s="126"/>
    </row>
    <row r="296" spans="1:525" s="127" customFormat="1" ht="31.5" hidden="1" customHeight="1" x14ac:dyDescent="0.25">
      <c r="A296" s="117" t="s">
        <v>416</v>
      </c>
      <c r="B296" s="118">
        <v>7530</v>
      </c>
      <c r="C296" s="117" t="s">
        <v>233</v>
      </c>
      <c r="D296" s="145" t="s">
        <v>231</v>
      </c>
      <c r="E296" s="81">
        <f t="shared" si="125"/>
        <v>0</v>
      </c>
      <c r="F296" s="81"/>
      <c r="G296" s="82"/>
      <c r="H296" s="82"/>
      <c r="I296" s="82"/>
      <c r="J296" s="81">
        <f t="shared" si="132"/>
        <v>0</v>
      </c>
      <c r="K296" s="81"/>
      <c r="L296" s="81"/>
      <c r="M296" s="81"/>
      <c r="N296" s="81"/>
      <c r="O296" s="81"/>
      <c r="P296" s="81">
        <f t="shared" si="131"/>
        <v>0</v>
      </c>
      <c r="Q296" s="225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</row>
    <row r="297" spans="1:525" s="127" customFormat="1" ht="60" customHeight="1" x14ac:dyDescent="0.25">
      <c r="A297" s="117" t="s">
        <v>731</v>
      </c>
      <c r="B297" s="118">
        <f>'дод 6'!A216</f>
        <v>7375</v>
      </c>
      <c r="C297" s="118" t="str">
        <f>'дод 6'!B216</f>
        <v>0490</v>
      </c>
      <c r="D297" s="153" t="str">
        <f>'дод 6'!C216</f>
        <v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v>
      </c>
      <c r="E297" s="81">
        <f>F297+I297</f>
        <v>5500000</v>
      </c>
      <c r="F297" s="81">
        <v>5500000</v>
      </c>
      <c r="G297" s="82"/>
      <c r="H297" s="82"/>
      <c r="I297" s="82"/>
      <c r="J297" s="81">
        <f>L297+O297</f>
        <v>23850000</v>
      </c>
      <c r="K297" s="81">
        <f>26500000-1050000-1600000</f>
        <v>23850000</v>
      </c>
      <c r="L297" s="81"/>
      <c r="M297" s="81"/>
      <c r="N297" s="81"/>
      <c r="O297" s="81">
        <f>26500000-1050000-1600000</f>
        <v>23850000</v>
      </c>
      <c r="P297" s="81">
        <f>E297+J297</f>
        <v>29350000</v>
      </c>
      <c r="Q297" s="229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  <c r="IW297" s="126"/>
      <c r="IX297" s="126"/>
      <c r="IY297" s="126"/>
      <c r="IZ297" s="126"/>
      <c r="JA297" s="126"/>
      <c r="JB297" s="126"/>
      <c r="JC297" s="126"/>
      <c r="JD297" s="126"/>
      <c r="JE297" s="126"/>
      <c r="JF297" s="126"/>
      <c r="JG297" s="126"/>
      <c r="JH297" s="126"/>
      <c r="JI297" s="126"/>
      <c r="JJ297" s="126"/>
      <c r="JK297" s="126"/>
      <c r="JL297" s="126"/>
      <c r="JM297" s="126"/>
      <c r="JN297" s="126"/>
      <c r="JO297" s="126"/>
      <c r="JP297" s="126"/>
      <c r="JQ297" s="126"/>
      <c r="JR297" s="126"/>
      <c r="JS297" s="126"/>
      <c r="JT297" s="126"/>
      <c r="JU297" s="126"/>
      <c r="JV297" s="126"/>
      <c r="JW297" s="126"/>
      <c r="JX297" s="126"/>
      <c r="JY297" s="126"/>
      <c r="JZ297" s="126"/>
      <c r="KA297" s="126"/>
      <c r="KB297" s="126"/>
      <c r="KC297" s="126"/>
      <c r="KD297" s="126"/>
      <c r="KE297" s="126"/>
      <c r="KF297" s="126"/>
      <c r="KG297" s="126"/>
      <c r="KH297" s="126"/>
      <c r="KI297" s="126"/>
      <c r="KJ297" s="126"/>
      <c r="KK297" s="126"/>
      <c r="KL297" s="126"/>
      <c r="KM297" s="126"/>
      <c r="KN297" s="126"/>
      <c r="KO297" s="126"/>
      <c r="KP297" s="126"/>
      <c r="KQ297" s="126"/>
      <c r="KR297" s="126"/>
      <c r="KS297" s="126"/>
      <c r="KT297" s="126"/>
      <c r="KU297" s="126"/>
      <c r="KV297" s="126"/>
      <c r="KW297" s="126"/>
      <c r="KX297" s="126"/>
      <c r="KY297" s="126"/>
      <c r="KZ297" s="126"/>
      <c r="LA297" s="126"/>
      <c r="LB297" s="126"/>
      <c r="LC297" s="126"/>
      <c r="LD297" s="126"/>
      <c r="LE297" s="126"/>
      <c r="LF297" s="126"/>
      <c r="LG297" s="126"/>
      <c r="LH297" s="126"/>
      <c r="LI297" s="126"/>
      <c r="LJ297" s="126"/>
      <c r="LK297" s="126"/>
      <c r="LL297" s="126"/>
      <c r="LM297" s="126"/>
      <c r="LN297" s="126"/>
      <c r="LO297" s="126"/>
      <c r="LP297" s="126"/>
      <c r="LQ297" s="126"/>
      <c r="LR297" s="126"/>
      <c r="LS297" s="126"/>
      <c r="LT297" s="126"/>
      <c r="LU297" s="126"/>
      <c r="LV297" s="126"/>
      <c r="LW297" s="126"/>
      <c r="LX297" s="126"/>
      <c r="LY297" s="126"/>
      <c r="LZ297" s="126"/>
      <c r="MA297" s="126"/>
      <c r="MB297" s="126"/>
      <c r="MC297" s="126"/>
      <c r="MD297" s="126"/>
      <c r="ME297" s="126"/>
      <c r="MF297" s="126"/>
      <c r="MG297" s="126"/>
      <c r="MH297" s="126"/>
      <c r="MI297" s="126"/>
      <c r="MJ297" s="126"/>
      <c r="MK297" s="126"/>
      <c r="ML297" s="126"/>
      <c r="MM297" s="126"/>
      <c r="MN297" s="126"/>
      <c r="MO297" s="126"/>
      <c r="MP297" s="126"/>
      <c r="MQ297" s="126"/>
      <c r="MR297" s="126"/>
      <c r="MS297" s="126"/>
      <c r="MT297" s="126"/>
      <c r="MU297" s="126"/>
      <c r="MV297" s="126"/>
      <c r="MW297" s="126"/>
      <c r="MX297" s="126"/>
      <c r="MY297" s="126"/>
      <c r="MZ297" s="126"/>
      <c r="NA297" s="126"/>
      <c r="NB297" s="126"/>
      <c r="NC297" s="126"/>
      <c r="ND297" s="126"/>
      <c r="NE297" s="126"/>
      <c r="NF297" s="126"/>
      <c r="NG297" s="126"/>
      <c r="NH297" s="126"/>
      <c r="NI297" s="126"/>
      <c r="NJ297" s="126"/>
      <c r="NK297" s="126"/>
      <c r="NL297" s="126"/>
      <c r="NM297" s="126"/>
      <c r="NN297" s="126"/>
      <c r="NO297" s="126"/>
      <c r="NP297" s="126"/>
      <c r="NQ297" s="126"/>
      <c r="NR297" s="126"/>
      <c r="NS297" s="126"/>
      <c r="NT297" s="126"/>
      <c r="NU297" s="126"/>
      <c r="NV297" s="126"/>
      <c r="NW297" s="126"/>
      <c r="NX297" s="126"/>
      <c r="NY297" s="126"/>
      <c r="NZ297" s="126"/>
      <c r="OA297" s="126"/>
      <c r="OB297" s="126"/>
      <c r="OC297" s="126"/>
      <c r="OD297" s="126"/>
      <c r="OE297" s="126"/>
      <c r="OF297" s="126"/>
      <c r="OG297" s="126"/>
      <c r="OH297" s="126"/>
      <c r="OI297" s="126"/>
      <c r="OJ297" s="126"/>
      <c r="OK297" s="126"/>
      <c r="OL297" s="126"/>
      <c r="OM297" s="126"/>
      <c r="ON297" s="126"/>
      <c r="OO297" s="126"/>
      <c r="OP297" s="126"/>
      <c r="OQ297" s="126"/>
      <c r="OR297" s="126"/>
      <c r="OS297" s="126"/>
      <c r="OT297" s="126"/>
      <c r="OU297" s="126"/>
      <c r="OV297" s="126"/>
      <c r="OW297" s="126"/>
      <c r="OX297" s="126"/>
      <c r="OY297" s="126"/>
      <c r="OZ297" s="126"/>
      <c r="PA297" s="126"/>
      <c r="PB297" s="126"/>
      <c r="PC297" s="126"/>
      <c r="PD297" s="126"/>
      <c r="PE297" s="126"/>
      <c r="PF297" s="126"/>
      <c r="PG297" s="126"/>
      <c r="PH297" s="126"/>
      <c r="PI297" s="126"/>
      <c r="PJ297" s="126"/>
      <c r="PK297" s="126"/>
      <c r="PL297" s="126"/>
      <c r="PM297" s="126"/>
      <c r="PN297" s="126"/>
      <c r="PO297" s="126"/>
      <c r="PP297" s="126"/>
      <c r="PQ297" s="126"/>
      <c r="PR297" s="126"/>
      <c r="PS297" s="126"/>
      <c r="PT297" s="126"/>
      <c r="PU297" s="126"/>
      <c r="PV297" s="126"/>
      <c r="PW297" s="126"/>
      <c r="PX297" s="126"/>
      <c r="PY297" s="126"/>
      <c r="PZ297" s="126"/>
      <c r="QA297" s="126"/>
      <c r="QB297" s="126"/>
      <c r="QC297" s="126"/>
      <c r="QD297" s="126"/>
      <c r="QE297" s="126"/>
      <c r="QF297" s="126"/>
      <c r="QG297" s="126"/>
      <c r="QH297" s="126"/>
      <c r="QI297" s="126"/>
      <c r="QJ297" s="126"/>
      <c r="QK297" s="126"/>
      <c r="QL297" s="126"/>
      <c r="QM297" s="126"/>
      <c r="QN297" s="126"/>
      <c r="QO297" s="126"/>
      <c r="QP297" s="126"/>
      <c r="QQ297" s="126"/>
      <c r="QR297" s="126"/>
      <c r="QS297" s="126"/>
      <c r="QT297" s="126"/>
      <c r="QU297" s="126"/>
      <c r="QV297" s="126"/>
      <c r="QW297" s="126"/>
      <c r="QX297" s="126"/>
      <c r="QY297" s="126"/>
      <c r="QZ297" s="126"/>
      <c r="RA297" s="126"/>
      <c r="RB297" s="126"/>
      <c r="RC297" s="126"/>
      <c r="RD297" s="126"/>
      <c r="RE297" s="126"/>
      <c r="RF297" s="126"/>
      <c r="RG297" s="126"/>
      <c r="RH297" s="126"/>
      <c r="RI297" s="126"/>
      <c r="RJ297" s="126"/>
      <c r="RK297" s="126"/>
      <c r="RL297" s="126"/>
      <c r="RM297" s="126"/>
      <c r="RN297" s="126"/>
      <c r="RO297" s="126"/>
      <c r="RP297" s="126"/>
      <c r="RQ297" s="126"/>
      <c r="RR297" s="126"/>
      <c r="RS297" s="126"/>
      <c r="RT297" s="126"/>
      <c r="RU297" s="126"/>
      <c r="RV297" s="126"/>
      <c r="RW297" s="126"/>
      <c r="RX297" s="126"/>
      <c r="RY297" s="126"/>
      <c r="RZ297" s="126"/>
      <c r="SA297" s="126"/>
      <c r="SB297" s="126"/>
      <c r="SC297" s="126"/>
      <c r="SD297" s="126"/>
      <c r="SE297" s="126"/>
      <c r="SF297" s="126"/>
      <c r="SG297" s="126"/>
      <c r="SH297" s="126"/>
      <c r="SI297" s="126"/>
      <c r="SJ297" s="126"/>
      <c r="SK297" s="126"/>
      <c r="SL297" s="126"/>
      <c r="SM297" s="126"/>
      <c r="SN297" s="126"/>
      <c r="SO297" s="126"/>
      <c r="SP297" s="126"/>
      <c r="SQ297" s="126"/>
      <c r="SR297" s="126"/>
      <c r="SS297" s="126"/>
      <c r="ST297" s="126"/>
      <c r="SU297" s="126"/>
      <c r="SV297" s="126"/>
      <c r="SW297" s="126"/>
      <c r="SX297" s="126"/>
      <c r="SY297" s="126"/>
      <c r="SZ297" s="126"/>
      <c r="TA297" s="126"/>
      <c r="TB297" s="126"/>
      <c r="TC297" s="126"/>
      <c r="TD297" s="126"/>
      <c r="TE297" s="126"/>
    </row>
    <row r="298" spans="1:525" s="127" customFormat="1" ht="49.5" customHeight="1" x14ac:dyDescent="0.25">
      <c r="A298" s="117" t="s">
        <v>696</v>
      </c>
      <c r="B298" s="118">
        <v>7383</v>
      </c>
      <c r="C298" s="117" t="s">
        <v>81</v>
      </c>
      <c r="D298" s="122" t="str">
        <f>'дод 6'!C217</f>
        <v>Реалізація проектів (об'єктів, заходів) за рахунок коштів фонду ліквідації наслідків збройної агресії, у т. ч. за рахунок:</v>
      </c>
      <c r="E298" s="81">
        <f t="shared" si="125"/>
        <v>0</v>
      </c>
      <c r="F298" s="81"/>
      <c r="G298" s="82"/>
      <c r="H298" s="82"/>
      <c r="I298" s="82"/>
      <c r="J298" s="81">
        <f t="shared" si="127"/>
        <v>400000000</v>
      </c>
      <c r="K298" s="81"/>
      <c r="L298" s="81"/>
      <c r="M298" s="81"/>
      <c r="N298" s="81"/>
      <c r="O298" s="81">
        <f>200000000+200000000</f>
        <v>400000000</v>
      </c>
      <c r="P298" s="81">
        <f t="shared" si="126"/>
        <v>400000000</v>
      </c>
      <c r="Q298" s="225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  <c r="HN298" s="126"/>
      <c r="HO298" s="126"/>
      <c r="HP298" s="126"/>
      <c r="HQ298" s="126"/>
      <c r="HR298" s="126"/>
      <c r="HS298" s="126"/>
      <c r="HT298" s="126"/>
      <c r="HU298" s="126"/>
      <c r="HV298" s="126"/>
      <c r="HW298" s="126"/>
      <c r="HX298" s="126"/>
      <c r="HY298" s="126"/>
      <c r="HZ298" s="126"/>
      <c r="IA298" s="126"/>
      <c r="IB298" s="126"/>
      <c r="IC298" s="126"/>
      <c r="ID298" s="126"/>
      <c r="IE298" s="126"/>
      <c r="IF298" s="126"/>
      <c r="IG298" s="126"/>
      <c r="IH298" s="126"/>
      <c r="II298" s="126"/>
      <c r="IJ298" s="126"/>
      <c r="IK298" s="126"/>
      <c r="IL298" s="126"/>
      <c r="IM298" s="126"/>
      <c r="IN298" s="126"/>
      <c r="IO298" s="126"/>
      <c r="IP298" s="126"/>
      <c r="IQ298" s="126"/>
      <c r="IR298" s="126"/>
      <c r="IS298" s="126"/>
      <c r="IT298" s="126"/>
      <c r="IU298" s="126"/>
      <c r="IV298" s="126"/>
      <c r="IW298" s="126"/>
      <c r="IX298" s="126"/>
      <c r="IY298" s="126"/>
      <c r="IZ298" s="126"/>
      <c r="JA298" s="126"/>
      <c r="JB298" s="126"/>
      <c r="JC298" s="126"/>
      <c r="JD298" s="126"/>
      <c r="JE298" s="126"/>
      <c r="JF298" s="126"/>
      <c r="JG298" s="126"/>
      <c r="JH298" s="126"/>
      <c r="JI298" s="126"/>
      <c r="JJ298" s="126"/>
      <c r="JK298" s="126"/>
      <c r="JL298" s="126"/>
      <c r="JM298" s="126"/>
      <c r="JN298" s="126"/>
      <c r="JO298" s="126"/>
      <c r="JP298" s="126"/>
      <c r="JQ298" s="126"/>
      <c r="JR298" s="126"/>
      <c r="JS298" s="126"/>
      <c r="JT298" s="126"/>
      <c r="JU298" s="126"/>
      <c r="JV298" s="126"/>
      <c r="JW298" s="126"/>
      <c r="JX298" s="126"/>
      <c r="JY298" s="126"/>
      <c r="JZ298" s="126"/>
      <c r="KA298" s="126"/>
      <c r="KB298" s="126"/>
      <c r="KC298" s="126"/>
      <c r="KD298" s="126"/>
      <c r="KE298" s="126"/>
      <c r="KF298" s="126"/>
      <c r="KG298" s="126"/>
      <c r="KH298" s="126"/>
      <c r="KI298" s="126"/>
      <c r="KJ298" s="126"/>
      <c r="KK298" s="126"/>
      <c r="KL298" s="126"/>
      <c r="KM298" s="126"/>
      <c r="KN298" s="126"/>
      <c r="KO298" s="126"/>
      <c r="KP298" s="126"/>
      <c r="KQ298" s="126"/>
      <c r="KR298" s="126"/>
      <c r="KS298" s="126"/>
      <c r="KT298" s="126"/>
      <c r="KU298" s="126"/>
      <c r="KV298" s="126"/>
      <c r="KW298" s="126"/>
      <c r="KX298" s="126"/>
      <c r="KY298" s="126"/>
      <c r="KZ298" s="126"/>
      <c r="LA298" s="126"/>
      <c r="LB298" s="126"/>
      <c r="LC298" s="126"/>
      <c r="LD298" s="126"/>
      <c r="LE298" s="126"/>
      <c r="LF298" s="126"/>
      <c r="LG298" s="126"/>
      <c r="LH298" s="126"/>
      <c r="LI298" s="126"/>
      <c r="LJ298" s="126"/>
      <c r="LK298" s="126"/>
      <c r="LL298" s="126"/>
      <c r="LM298" s="126"/>
      <c r="LN298" s="126"/>
      <c r="LO298" s="126"/>
      <c r="LP298" s="126"/>
      <c r="LQ298" s="126"/>
      <c r="LR298" s="126"/>
      <c r="LS298" s="126"/>
      <c r="LT298" s="126"/>
      <c r="LU298" s="126"/>
      <c r="LV298" s="126"/>
      <c r="LW298" s="126"/>
      <c r="LX298" s="126"/>
      <c r="LY298" s="126"/>
      <c r="LZ298" s="126"/>
      <c r="MA298" s="126"/>
      <c r="MB298" s="126"/>
      <c r="MC298" s="126"/>
      <c r="MD298" s="126"/>
      <c r="ME298" s="126"/>
      <c r="MF298" s="126"/>
      <c r="MG298" s="126"/>
      <c r="MH298" s="126"/>
      <c r="MI298" s="126"/>
      <c r="MJ298" s="126"/>
      <c r="MK298" s="126"/>
      <c r="ML298" s="126"/>
      <c r="MM298" s="126"/>
      <c r="MN298" s="126"/>
      <c r="MO298" s="126"/>
      <c r="MP298" s="126"/>
      <c r="MQ298" s="126"/>
      <c r="MR298" s="126"/>
      <c r="MS298" s="126"/>
      <c r="MT298" s="126"/>
      <c r="MU298" s="126"/>
      <c r="MV298" s="126"/>
      <c r="MW298" s="126"/>
      <c r="MX298" s="126"/>
      <c r="MY298" s="126"/>
      <c r="MZ298" s="126"/>
      <c r="NA298" s="126"/>
      <c r="NB298" s="126"/>
      <c r="NC298" s="126"/>
      <c r="ND298" s="126"/>
      <c r="NE298" s="126"/>
      <c r="NF298" s="126"/>
      <c r="NG298" s="126"/>
      <c r="NH298" s="126"/>
      <c r="NI298" s="126"/>
      <c r="NJ298" s="126"/>
      <c r="NK298" s="126"/>
      <c r="NL298" s="126"/>
      <c r="NM298" s="126"/>
      <c r="NN298" s="126"/>
      <c r="NO298" s="126"/>
      <c r="NP298" s="126"/>
      <c r="NQ298" s="126"/>
      <c r="NR298" s="126"/>
      <c r="NS298" s="126"/>
      <c r="NT298" s="126"/>
      <c r="NU298" s="126"/>
      <c r="NV298" s="126"/>
      <c r="NW298" s="126"/>
      <c r="NX298" s="126"/>
      <c r="NY298" s="126"/>
      <c r="NZ298" s="126"/>
      <c r="OA298" s="126"/>
      <c r="OB298" s="126"/>
      <c r="OC298" s="126"/>
      <c r="OD298" s="126"/>
      <c r="OE298" s="126"/>
      <c r="OF298" s="126"/>
      <c r="OG298" s="126"/>
      <c r="OH298" s="126"/>
      <c r="OI298" s="126"/>
      <c r="OJ298" s="126"/>
      <c r="OK298" s="126"/>
      <c r="OL298" s="126"/>
      <c r="OM298" s="126"/>
      <c r="ON298" s="126"/>
      <c r="OO298" s="126"/>
      <c r="OP298" s="126"/>
      <c r="OQ298" s="126"/>
      <c r="OR298" s="126"/>
      <c r="OS298" s="126"/>
      <c r="OT298" s="126"/>
      <c r="OU298" s="126"/>
      <c r="OV298" s="126"/>
      <c r="OW298" s="126"/>
      <c r="OX298" s="126"/>
      <c r="OY298" s="126"/>
      <c r="OZ298" s="126"/>
      <c r="PA298" s="126"/>
      <c r="PB298" s="126"/>
      <c r="PC298" s="126"/>
      <c r="PD298" s="126"/>
      <c r="PE298" s="126"/>
      <c r="PF298" s="126"/>
      <c r="PG298" s="126"/>
      <c r="PH298" s="126"/>
      <c r="PI298" s="126"/>
      <c r="PJ298" s="126"/>
      <c r="PK298" s="126"/>
      <c r="PL298" s="126"/>
      <c r="PM298" s="126"/>
      <c r="PN298" s="126"/>
      <c r="PO298" s="126"/>
      <c r="PP298" s="126"/>
      <c r="PQ298" s="126"/>
      <c r="PR298" s="126"/>
      <c r="PS298" s="126"/>
      <c r="PT298" s="126"/>
      <c r="PU298" s="126"/>
      <c r="PV298" s="126"/>
      <c r="PW298" s="126"/>
      <c r="PX298" s="126"/>
      <c r="PY298" s="126"/>
      <c r="PZ298" s="126"/>
      <c r="QA298" s="126"/>
      <c r="QB298" s="126"/>
      <c r="QC298" s="126"/>
      <c r="QD298" s="126"/>
      <c r="QE298" s="126"/>
      <c r="QF298" s="126"/>
      <c r="QG298" s="126"/>
      <c r="QH298" s="126"/>
      <c r="QI298" s="126"/>
      <c r="QJ298" s="126"/>
      <c r="QK298" s="126"/>
      <c r="QL298" s="126"/>
      <c r="QM298" s="126"/>
      <c r="QN298" s="126"/>
      <c r="QO298" s="126"/>
      <c r="QP298" s="126"/>
      <c r="QQ298" s="126"/>
      <c r="QR298" s="126"/>
      <c r="QS298" s="126"/>
      <c r="QT298" s="126"/>
      <c r="QU298" s="126"/>
      <c r="QV298" s="126"/>
      <c r="QW298" s="126"/>
      <c r="QX298" s="126"/>
      <c r="QY298" s="126"/>
      <c r="QZ298" s="126"/>
      <c r="RA298" s="126"/>
      <c r="RB298" s="126"/>
      <c r="RC298" s="126"/>
      <c r="RD298" s="126"/>
      <c r="RE298" s="126"/>
      <c r="RF298" s="126"/>
      <c r="RG298" s="126"/>
      <c r="RH298" s="126"/>
      <c r="RI298" s="126"/>
      <c r="RJ298" s="126"/>
      <c r="RK298" s="126"/>
      <c r="RL298" s="126"/>
      <c r="RM298" s="126"/>
      <c r="RN298" s="126"/>
      <c r="RO298" s="126"/>
      <c r="RP298" s="126"/>
      <c r="RQ298" s="126"/>
      <c r="RR298" s="126"/>
      <c r="RS298" s="126"/>
      <c r="RT298" s="126"/>
      <c r="RU298" s="126"/>
      <c r="RV298" s="126"/>
      <c r="RW298" s="126"/>
      <c r="RX298" s="126"/>
      <c r="RY298" s="126"/>
      <c r="RZ298" s="126"/>
      <c r="SA298" s="126"/>
      <c r="SB298" s="126"/>
      <c r="SC298" s="126"/>
      <c r="SD298" s="126"/>
      <c r="SE298" s="126"/>
      <c r="SF298" s="126"/>
      <c r="SG298" s="126"/>
      <c r="SH298" s="126"/>
      <c r="SI298" s="126"/>
      <c r="SJ298" s="126"/>
      <c r="SK298" s="126"/>
      <c r="SL298" s="126"/>
      <c r="SM298" s="126"/>
      <c r="SN298" s="126"/>
      <c r="SO298" s="126"/>
      <c r="SP298" s="126"/>
      <c r="SQ298" s="126"/>
      <c r="SR298" s="126"/>
      <c r="SS298" s="126"/>
      <c r="ST298" s="126"/>
      <c r="SU298" s="126"/>
      <c r="SV298" s="126"/>
      <c r="SW298" s="126"/>
      <c r="SX298" s="126"/>
      <c r="SY298" s="126"/>
      <c r="SZ298" s="126"/>
      <c r="TA298" s="126"/>
      <c r="TB298" s="126"/>
      <c r="TC298" s="126"/>
      <c r="TD298" s="126"/>
      <c r="TE298" s="126"/>
    </row>
    <row r="299" spans="1:525" s="127" customFormat="1" ht="65.25" customHeight="1" x14ac:dyDescent="0.25">
      <c r="A299" s="117"/>
      <c r="B299" s="118"/>
      <c r="C299" s="117"/>
      <c r="D299" s="143" t="str">
        <f>'дод 6'!C218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9" s="81">
        <f t="shared" si="125"/>
        <v>0</v>
      </c>
      <c r="F299" s="81"/>
      <c r="G299" s="82"/>
      <c r="H299" s="82"/>
      <c r="I299" s="82"/>
      <c r="J299" s="82">
        <f t="shared" si="127"/>
        <v>400000000</v>
      </c>
      <c r="K299" s="81"/>
      <c r="L299" s="81"/>
      <c r="M299" s="81"/>
      <c r="N299" s="81"/>
      <c r="O299" s="81">
        <f>200000000+200000000</f>
        <v>400000000</v>
      </c>
      <c r="P299" s="82">
        <f t="shared" ref="P299:P304" si="133">E299+J299</f>
        <v>400000000</v>
      </c>
      <c r="Q299" s="225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  <c r="HN299" s="126"/>
      <c r="HO299" s="126"/>
      <c r="HP299" s="126"/>
      <c r="HQ299" s="126"/>
      <c r="HR299" s="126"/>
      <c r="HS299" s="126"/>
      <c r="HT299" s="126"/>
      <c r="HU299" s="126"/>
      <c r="HV299" s="126"/>
      <c r="HW299" s="126"/>
      <c r="HX299" s="126"/>
      <c r="HY299" s="126"/>
      <c r="HZ299" s="126"/>
      <c r="IA299" s="126"/>
      <c r="IB299" s="126"/>
      <c r="IC299" s="126"/>
      <c r="ID299" s="126"/>
      <c r="IE299" s="126"/>
      <c r="IF299" s="126"/>
      <c r="IG299" s="126"/>
      <c r="IH299" s="126"/>
      <c r="II299" s="126"/>
      <c r="IJ299" s="126"/>
      <c r="IK299" s="126"/>
      <c r="IL299" s="126"/>
      <c r="IM299" s="126"/>
      <c r="IN299" s="126"/>
      <c r="IO299" s="126"/>
      <c r="IP299" s="126"/>
      <c r="IQ299" s="126"/>
      <c r="IR299" s="126"/>
      <c r="IS299" s="126"/>
      <c r="IT299" s="126"/>
      <c r="IU299" s="126"/>
      <c r="IV299" s="126"/>
      <c r="IW299" s="126"/>
      <c r="IX299" s="126"/>
      <c r="IY299" s="126"/>
      <c r="IZ299" s="126"/>
      <c r="JA299" s="126"/>
      <c r="JB299" s="126"/>
      <c r="JC299" s="126"/>
      <c r="JD299" s="126"/>
      <c r="JE299" s="126"/>
      <c r="JF299" s="126"/>
      <c r="JG299" s="126"/>
      <c r="JH299" s="126"/>
      <c r="JI299" s="126"/>
      <c r="JJ299" s="126"/>
      <c r="JK299" s="126"/>
      <c r="JL299" s="126"/>
      <c r="JM299" s="126"/>
      <c r="JN299" s="126"/>
      <c r="JO299" s="126"/>
      <c r="JP299" s="126"/>
      <c r="JQ299" s="126"/>
      <c r="JR299" s="126"/>
      <c r="JS299" s="126"/>
      <c r="JT299" s="126"/>
      <c r="JU299" s="126"/>
      <c r="JV299" s="126"/>
      <c r="JW299" s="126"/>
      <c r="JX299" s="126"/>
      <c r="JY299" s="126"/>
      <c r="JZ299" s="126"/>
      <c r="KA299" s="126"/>
      <c r="KB299" s="126"/>
      <c r="KC299" s="126"/>
      <c r="KD299" s="126"/>
      <c r="KE299" s="126"/>
      <c r="KF299" s="126"/>
      <c r="KG299" s="126"/>
      <c r="KH299" s="126"/>
      <c r="KI299" s="126"/>
      <c r="KJ299" s="126"/>
      <c r="KK299" s="126"/>
      <c r="KL299" s="126"/>
      <c r="KM299" s="126"/>
      <c r="KN299" s="126"/>
      <c r="KO299" s="126"/>
      <c r="KP299" s="126"/>
      <c r="KQ299" s="126"/>
      <c r="KR299" s="126"/>
      <c r="KS299" s="126"/>
      <c r="KT299" s="126"/>
      <c r="KU299" s="126"/>
      <c r="KV299" s="126"/>
      <c r="KW299" s="126"/>
      <c r="KX299" s="126"/>
      <c r="KY299" s="126"/>
      <c r="KZ299" s="126"/>
      <c r="LA299" s="126"/>
      <c r="LB299" s="126"/>
      <c r="LC299" s="126"/>
      <c r="LD299" s="126"/>
      <c r="LE299" s="126"/>
      <c r="LF299" s="126"/>
      <c r="LG299" s="126"/>
      <c r="LH299" s="126"/>
      <c r="LI299" s="126"/>
      <c r="LJ299" s="126"/>
      <c r="LK299" s="126"/>
      <c r="LL299" s="126"/>
      <c r="LM299" s="126"/>
      <c r="LN299" s="126"/>
      <c r="LO299" s="126"/>
      <c r="LP299" s="126"/>
      <c r="LQ299" s="126"/>
      <c r="LR299" s="126"/>
      <c r="LS299" s="126"/>
      <c r="LT299" s="126"/>
      <c r="LU299" s="126"/>
      <c r="LV299" s="126"/>
      <c r="LW299" s="126"/>
      <c r="LX299" s="126"/>
      <c r="LY299" s="126"/>
      <c r="LZ299" s="126"/>
      <c r="MA299" s="126"/>
      <c r="MB299" s="126"/>
      <c r="MC299" s="126"/>
      <c r="MD299" s="126"/>
      <c r="ME299" s="126"/>
      <c r="MF299" s="126"/>
      <c r="MG299" s="126"/>
      <c r="MH299" s="126"/>
      <c r="MI299" s="126"/>
      <c r="MJ299" s="126"/>
      <c r="MK299" s="126"/>
      <c r="ML299" s="126"/>
      <c r="MM299" s="126"/>
      <c r="MN299" s="126"/>
      <c r="MO299" s="126"/>
      <c r="MP299" s="126"/>
      <c r="MQ299" s="126"/>
      <c r="MR299" s="126"/>
      <c r="MS299" s="126"/>
      <c r="MT299" s="126"/>
      <c r="MU299" s="126"/>
      <c r="MV299" s="126"/>
      <c r="MW299" s="126"/>
      <c r="MX299" s="126"/>
      <c r="MY299" s="126"/>
      <c r="MZ299" s="126"/>
      <c r="NA299" s="126"/>
      <c r="NB299" s="126"/>
      <c r="NC299" s="126"/>
      <c r="ND299" s="126"/>
      <c r="NE299" s="126"/>
      <c r="NF299" s="126"/>
      <c r="NG299" s="126"/>
      <c r="NH299" s="126"/>
      <c r="NI299" s="126"/>
      <c r="NJ299" s="126"/>
      <c r="NK299" s="126"/>
      <c r="NL299" s="126"/>
      <c r="NM299" s="126"/>
      <c r="NN299" s="126"/>
      <c r="NO299" s="126"/>
      <c r="NP299" s="126"/>
      <c r="NQ299" s="126"/>
      <c r="NR299" s="126"/>
      <c r="NS299" s="126"/>
      <c r="NT299" s="126"/>
      <c r="NU299" s="126"/>
      <c r="NV299" s="126"/>
      <c r="NW299" s="126"/>
      <c r="NX299" s="126"/>
      <c r="NY299" s="126"/>
      <c r="NZ299" s="126"/>
      <c r="OA299" s="126"/>
      <c r="OB299" s="126"/>
      <c r="OC299" s="126"/>
      <c r="OD299" s="126"/>
      <c r="OE299" s="126"/>
      <c r="OF299" s="126"/>
      <c r="OG299" s="126"/>
      <c r="OH299" s="126"/>
      <c r="OI299" s="126"/>
      <c r="OJ299" s="126"/>
      <c r="OK299" s="126"/>
      <c r="OL299" s="126"/>
      <c r="OM299" s="126"/>
      <c r="ON299" s="126"/>
      <c r="OO299" s="126"/>
      <c r="OP299" s="126"/>
      <c r="OQ299" s="126"/>
      <c r="OR299" s="126"/>
      <c r="OS299" s="126"/>
      <c r="OT299" s="126"/>
      <c r="OU299" s="126"/>
      <c r="OV299" s="126"/>
      <c r="OW299" s="126"/>
      <c r="OX299" s="126"/>
      <c r="OY299" s="126"/>
      <c r="OZ299" s="126"/>
      <c r="PA299" s="126"/>
      <c r="PB299" s="126"/>
      <c r="PC299" s="126"/>
      <c r="PD299" s="126"/>
      <c r="PE299" s="126"/>
      <c r="PF299" s="126"/>
      <c r="PG299" s="126"/>
      <c r="PH299" s="126"/>
      <c r="PI299" s="126"/>
      <c r="PJ299" s="126"/>
      <c r="PK299" s="126"/>
      <c r="PL299" s="126"/>
      <c r="PM299" s="126"/>
      <c r="PN299" s="126"/>
      <c r="PO299" s="126"/>
      <c r="PP299" s="126"/>
      <c r="PQ299" s="126"/>
      <c r="PR299" s="126"/>
      <c r="PS299" s="126"/>
      <c r="PT299" s="126"/>
      <c r="PU299" s="126"/>
      <c r="PV299" s="126"/>
      <c r="PW299" s="126"/>
      <c r="PX299" s="126"/>
      <c r="PY299" s="126"/>
      <c r="PZ299" s="126"/>
      <c r="QA299" s="126"/>
      <c r="QB299" s="126"/>
      <c r="QC299" s="126"/>
      <c r="QD299" s="126"/>
      <c r="QE299" s="126"/>
      <c r="QF299" s="126"/>
      <c r="QG299" s="126"/>
      <c r="QH299" s="126"/>
      <c r="QI299" s="126"/>
      <c r="QJ299" s="126"/>
      <c r="QK299" s="126"/>
      <c r="QL299" s="126"/>
      <c r="QM299" s="126"/>
      <c r="QN299" s="126"/>
      <c r="QO299" s="126"/>
      <c r="QP299" s="126"/>
      <c r="QQ299" s="126"/>
      <c r="QR299" s="126"/>
      <c r="QS299" s="126"/>
      <c r="QT299" s="126"/>
      <c r="QU299" s="126"/>
      <c r="QV299" s="126"/>
      <c r="QW299" s="126"/>
      <c r="QX299" s="126"/>
      <c r="QY299" s="126"/>
      <c r="QZ299" s="126"/>
      <c r="RA299" s="126"/>
      <c r="RB299" s="126"/>
      <c r="RC299" s="126"/>
      <c r="RD299" s="126"/>
      <c r="RE299" s="126"/>
      <c r="RF299" s="126"/>
      <c r="RG299" s="126"/>
      <c r="RH299" s="126"/>
      <c r="RI299" s="126"/>
      <c r="RJ299" s="126"/>
      <c r="RK299" s="126"/>
      <c r="RL299" s="126"/>
      <c r="RM299" s="126"/>
      <c r="RN299" s="126"/>
      <c r="RO299" s="126"/>
      <c r="RP299" s="126"/>
      <c r="RQ299" s="126"/>
      <c r="RR299" s="126"/>
      <c r="RS299" s="126"/>
      <c r="RT299" s="126"/>
      <c r="RU299" s="126"/>
      <c r="RV299" s="126"/>
      <c r="RW299" s="126"/>
      <c r="RX299" s="126"/>
      <c r="RY299" s="126"/>
      <c r="RZ299" s="126"/>
      <c r="SA299" s="126"/>
      <c r="SB299" s="126"/>
      <c r="SC299" s="126"/>
      <c r="SD299" s="126"/>
      <c r="SE299" s="126"/>
      <c r="SF299" s="126"/>
      <c r="SG299" s="126"/>
      <c r="SH299" s="126"/>
      <c r="SI299" s="126"/>
      <c r="SJ299" s="126"/>
      <c r="SK299" s="126"/>
      <c r="SL299" s="126"/>
      <c r="SM299" s="126"/>
      <c r="SN299" s="126"/>
      <c r="SO299" s="126"/>
      <c r="SP299" s="126"/>
      <c r="SQ299" s="126"/>
      <c r="SR299" s="126"/>
      <c r="SS299" s="126"/>
      <c r="ST299" s="126"/>
      <c r="SU299" s="126"/>
      <c r="SV299" s="126"/>
      <c r="SW299" s="126"/>
      <c r="SX299" s="126"/>
      <c r="SY299" s="126"/>
      <c r="SZ299" s="126"/>
      <c r="TA299" s="126"/>
      <c r="TB299" s="126"/>
      <c r="TC299" s="126"/>
      <c r="TD299" s="126"/>
      <c r="TE299" s="126"/>
    </row>
    <row r="300" spans="1:525" s="127" customFormat="1" ht="78.75" x14ac:dyDescent="0.25">
      <c r="A300" s="117" t="s">
        <v>724</v>
      </c>
      <c r="B300" s="118">
        <f>'дод 6'!A219</f>
        <v>7384</v>
      </c>
      <c r="C300" s="118" t="str">
        <f>'дод 6'!B219</f>
        <v>0490</v>
      </c>
      <c r="D300" s="153" t="str">
        <f>'дод 6'!C219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300" s="81">
        <f t="shared" si="125"/>
        <v>0</v>
      </c>
      <c r="F300" s="81"/>
      <c r="G300" s="82"/>
      <c r="H300" s="82"/>
      <c r="I300" s="82"/>
      <c r="J300" s="81">
        <f t="shared" si="127"/>
        <v>15622974</v>
      </c>
      <c r="K300" s="81"/>
      <c r="L300" s="81"/>
      <c r="M300" s="81"/>
      <c r="N300" s="81"/>
      <c r="O300" s="81">
        <v>15622974</v>
      </c>
      <c r="P300" s="81">
        <f t="shared" si="133"/>
        <v>15622974</v>
      </c>
      <c r="Q300" s="229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  <c r="HN300" s="126"/>
      <c r="HO300" s="126"/>
      <c r="HP300" s="126"/>
      <c r="HQ300" s="126"/>
      <c r="HR300" s="126"/>
      <c r="HS300" s="126"/>
      <c r="HT300" s="126"/>
      <c r="HU300" s="126"/>
      <c r="HV300" s="126"/>
      <c r="HW300" s="126"/>
      <c r="HX300" s="126"/>
      <c r="HY300" s="126"/>
      <c r="HZ300" s="126"/>
      <c r="IA300" s="126"/>
      <c r="IB300" s="126"/>
      <c r="IC300" s="126"/>
      <c r="ID300" s="126"/>
      <c r="IE300" s="126"/>
      <c r="IF300" s="126"/>
      <c r="IG300" s="126"/>
      <c r="IH300" s="126"/>
      <c r="II300" s="126"/>
      <c r="IJ300" s="126"/>
      <c r="IK300" s="126"/>
      <c r="IL300" s="126"/>
      <c r="IM300" s="126"/>
      <c r="IN300" s="126"/>
      <c r="IO300" s="126"/>
      <c r="IP300" s="126"/>
      <c r="IQ300" s="126"/>
      <c r="IR300" s="126"/>
      <c r="IS300" s="126"/>
      <c r="IT300" s="126"/>
      <c r="IU300" s="126"/>
      <c r="IV300" s="126"/>
      <c r="IW300" s="126"/>
      <c r="IX300" s="126"/>
      <c r="IY300" s="126"/>
      <c r="IZ300" s="126"/>
      <c r="JA300" s="126"/>
      <c r="JB300" s="126"/>
      <c r="JC300" s="126"/>
      <c r="JD300" s="126"/>
      <c r="JE300" s="126"/>
      <c r="JF300" s="126"/>
      <c r="JG300" s="126"/>
      <c r="JH300" s="126"/>
      <c r="JI300" s="126"/>
      <c r="JJ300" s="126"/>
      <c r="JK300" s="126"/>
      <c r="JL300" s="126"/>
      <c r="JM300" s="126"/>
      <c r="JN300" s="126"/>
      <c r="JO300" s="126"/>
      <c r="JP300" s="126"/>
      <c r="JQ300" s="126"/>
      <c r="JR300" s="126"/>
      <c r="JS300" s="126"/>
      <c r="JT300" s="126"/>
      <c r="JU300" s="126"/>
      <c r="JV300" s="126"/>
      <c r="JW300" s="126"/>
      <c r="JX300" s="126"/>
      <c r="JY300" s="126"/>
      <c r="JZ300" s="126"/>
      <c r="KA300" s="126"/>
      <c r="KB300" s="126"/>
      <c r="KC300" s="126"/>
      <c r="KD300" s="126"/>
      <c r="KE300" s="126"/>
      <c r="KF300" s="126"/>
      <c r="KG300" s="126"/>
      <c r="KH300" s="126"/>
      <c r="KI300" s="126"/>
      <c r="KJ300" s="126"/>
      <c r="KK300" s="126"/>
      <c r="KL300" s="126"/>
      <c r="KM300" s="126"/>
      <c r="KN300" s="126"/>
      <c r="KO300" s="126"/>
      <c r="KP300" s="126"/>
      <c r="KQ300" s="126"/>
      <c r="KR300" s="126"/>
      <c r="KS300" s="126"/>
      <c r="KT300" s="126"/>
      <c r="KU300" s="126"/>
      <c r="KV300" s="126"/>
      <c r="KW300" s="126"/>
      <c r="KX300" s="126"/>
      <c r="KY300" s="126"/>
      <c r="KZ300" s="126"/>
      <c r="LA300" s="126"/>
      <c r="LB300" s="126"/>
      <c r="LC300" s="126"/>
      <c r="LD300" s="126"/>
      <c r="LE300" s="126"/>
      <c r="LF300" s="126"/>
      <c r="LG300" s="126"/>
      <c r="LH300" s="126"/>
      <c r="LI300" s="126"/>
      <c r="LJ300" s="126"/>
      <c r="LK300" s="126"/>
      <c r="LL300" s="126"/>
      <c r="LM300" s="126"/>
      <c r="LN300" s="126"/>
      <c r="LO300" s="126"/>
      <c r="LP300" s="126"/>
      <c r="LQ300" s="126"/>
      <c r="LR300" s="126"/>
      <c r="LS300" s="126"/>
      <c r="LT300" s="126"/>
      <c r="LU300" s="126"/>
      <c r="LV300" s="126"/>
      <c r="LW300" s="126"/>
      <c r="LX300" s="126"/>
      <c r="LY300" s="126"/>
      <c r="LZ300" s="126"/>
      <c r="MA300" s="126"/>
      <c r="MB300" s="126"/>
      <c r="MC300" s="126"/>
      <c r="MD300" s="126"/>
      <c r="ME300" s="126"/>
      <c r="MF300" s="126"/>
      <c r="MG300" s="126"/>
      <c r="MH300" s="126"/>
      <c r="MI300" s="126"/>
      <c r="MJ300" s="126"/>
      <c r="MK300" s="126"/>
      <c r="ML300" s="126"/>
      <c r="MM300" s="126"/>
      <c r="MN300" s="126"/>
      <c r="MO300" s="126"/>
      <c r="MP300" s="126"/>
      <c r="MQ300" s="126"/>
      <c r="MR300" s="126"/>
      <c r="MS300" s="126"/>
      <c r="MT300" s="126"/>
      <c r="MU300" s="126"/>
      <c r="MV300" s="126"/>
      <c r="MW300" s="126"/>
      <c r="MX300" s="126"/>
      <c r="MY300" s="126"/>
      <c r="MZ300" s="126"/>
      <c r="NA300" s="126"/>
      <c r="NB300" s="126"/>
      <c r="NC300" s="126"/>
      <c r="ND300" s="126"/>
      <c r="NE300" s="126"/>
      <c r="NF300" s="126"/>
      <c r="NG300" s="126"/>
      <c r="NH300" s="126"/>
      <c r="NI300" s="126"/>
      <c r="NJ300" s="126"/>
      <c r="NK300" s="126"/>
      <c r="NL300" s="126"/>
      <c r="NM300" s="126"/>
      <c r="NN300" s="126"/>
      <c r="NO300" s="126"/>
      <c r="NP300" s="126"/>
      <c r="NQ300" s="126"/>
      <c r="NR300" s="126"/>
      <c r="NS300" s="126"/>
      <c r="NT300" s="126"/>
      <c r="NU300" s="126"/>
      <c r="NV300" s="126"/>
      <c r="NW300" s="126"/>
      <c r="NX300" s="126"/>
      <c r="NY300" s="126"/>
      <c r="NZ300" s="126"/>
      <c r="OA300" s="126"/>
      <c r="OB300" s="126"/>
      <c r="OC300" s="126"/>
      <c r="OD300" s="126"/>
      <c r="OE300" s="126"/>
      <c r="OF300" s="126"/>
      <c r="OG300" s="126"/>
      <c r="OH300" s="126"/>
      <c r="OI300" s="126"/>
      <c r="OJ300" s="126"/>
      <c r="OK300" s="126"/>
      <c r="OL300" s="126"/>
      <c r="OM300" s="126"/>
      <c r="ON300" s="126"/>
      <c r="OO300" s="126"/>
      <c r="OP300" s="126"/>
      <c r="OQ300" s="126"/>
      <c r="OR300" s="126"/>
      <c r="OS300" s="126"/>
      <c r="OT300" s="126"/>
      <c r="OU300" s="126"/>
      <c r="OV300" s="126"/>
      <c r="OW300" s="126"/>
      <c r="OX300" s="126"/>
      <c r="OY300" s="126"/>
      <c r="OZ300" s="126"/>
      <c r="PA300" s="126"/>
      <c r="PB300" s="126"/>
      <c r="PC300" s="126"/>
      <c r="PD300" s="126"/>
      <c r="PE300" s="126"/>
      <c r="PF300" s="126"/>
      <c r="PG300" s="126"/>
      <c r="PH300" s="126"/>
      <c r="PI300" s="126"/>
      <c r="PJ300" s="126"/>
      <c r="PK300" s="126"/>
      <c r="PL300" s="126"/>
      <c r="PM300" s="126"/>
      <c r="PN300" s="126"/>
      <c r="PO300" s="126"/>
      <c r="PP300" s="126"/>
      <c r="PQ300" s="126"/>
      <c r="PR300" s="126"/>
      <c r="PS300" s="126"/>
      <c r="PT300" s="126"/>
      <c r="PU300" s="126"/>
      <c r="PV300" s="126"/>
      <c r="PW300" s="126"/>
      <c r="PX300" s="126"/>
      <c r="PY300" s="126"/>
      <c r="PZ300" s="126"/>
      <c r="QA300" s="126"/>
      <c r="QB300" s="126"/>
      <c r="QC300" s="126"/>
      <c r="QD300" s="126"/>
      <c r="QE300" s="126"/>
      <c r="QF300" s="126"/>
      <c r="QG300" s="126"/>
      <c r="QH300" s="126"/>
      <c r="QI300" s="126"/>
      <c r="QJ300" s="126"/>
      <c r="QK300" s="126"/>
      <c r="QL300" s="126"/>
      <c r="QM300" s="126"/>
      <c r="QN300" s="126"/>
      <c r="QO300" s="126"/>
      <c r="QP300" s="126"/>
      <c r="QQ300" s="126"/>
      <c r="QR300" s="126"/>
      <c r="QS300" s="126"/>
      <c r="QT300" s="126"/>
      <c r="QU300" s="126"/>
      <c r="QV300" s="126"/>
      <c r="QW300" s="126"/>
      <c r="QX300" s="126"/>
      <c r="QY300" s="126"/>
      <c r="QZ300" s="126"/>
      <c r="RA300" s="126"/>
      <c r="RB300" s="126"/>
      <c r="RC300" s="126"/>
      <c r="RD300" s="126"/>
      <c r="RE300" s="126"/>
      <c r="RF300" s="126"/>
      <c r="RG300" s="126"/>
      <c r="RH300" s="126"/>
      <c r="RI300" s="126"/>
      <c r="RJ300" s="126"/>
      <c r="RK300" s="126"/>
      <c r="RL300" s="126"/>
      <c r="RM300" s="126"/>
      <c r="RN300" s="126"/>
      <c r="RO300" s="126"/>
      <c r="RP300" s="126"/>
      <c r="RQ300" s="126"/>
      <c r="RR300" s="126"/>
      <c r="RS300" s="126"/>
      <c r="RT300" s="126"/>
      <c r="RU300" s="126"/>
      <c r="RV300" s="126"/>
      <c r="RW300" s="126"/>
      <c r="RX300" s="126"/>
      <c r="RY300" s="126"/>
      <c r="RZ300" s="126"/>
      <c r="SA300" s="126"/>
      <c r="SB300" s="126"/>
      <c r="SC300" s="126"/>
      <c r="SD300" s="126"/>
      <c r="SE300" s="126"/>
      <c r="SF300" s="126"/>
      <c r="SG300" s="126"/>
      <c r="SH300" s="126"/>
      <c r="SI300" s="126"/>
      <c r="SJ300" s="126"/>
      <c r="SK300" s="126"/>
      <c r="SL300" s="126"/>
      <c r="SM300" s="126"/>
      <c r="SN300" s="126"/>
      <c r="SO300" s="126"/>
      <c r="SP300" s="126"/>
      <c r="SQ300" s="126"/>
      <c r="SR300" s="126"/>
      <c r="SS300" s="126"/>
      <c r="ST300" s="126"/>
      <c r="SU300" s="126"/>
      <c r="SV300" s="126"/>
      <c r="SW300" s="126"/>
      <c r="SX300" s="126"/>
      <c r="SY300" s="126"/>
      <c r="SZ300" s="126"/>
      <c r="TA300" s="126"/>
      <c r="TB300" s="126"/>
      <c r="TC300" s="126"/>
      <c r="TD300" s="126"/>
      <c r="TE300" s="126"/>
    </row>
    <row r="301" spans="1:525" s="127" customFormat="1" ht="126" x14ac:dyDescent="0.25">
      <c r="A301" s="117"/>
      <c r="B301" s="118"/>
      <c r="C301" s="118"/>
      <c r="D301" s="228" t="s">
        <v>725</v>
      </c>
      <c r="E301" s="81">
        <f t="shared" si="125"/>
        <v>0</v>
      </c>
      <c r="F301" s="81"/>
      <c r="G301" s="82"/>
      <c r="H301" s="82"/>
      <c r="I301" s="82"/>
      <c r="J301" s="82">
        <f t="shared" si="127"/>
        <v>15622974</v>
      </c>
      <c r="K301" s="82"/>
      <c r="L301" s="82"/>
      <c r="M301" s="82"/>
      <c r="N301" s="82"/>
      <c r="O301" s="82">
        <v>15622974</v>
      </c>
      <c r="P301" s="82">
        <f t="shared" si="133"/>
        <v>15622974</v>
      </c>
      <c r="Q301" s="229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  <c r="HN301" s="126"/>
      <c r="HO301" s="126"/>
      <c r="HP301" s="126"/>
      <c r="HQ301" s="126"/>
      <c r="HR301" s="126"/>
      <c r="HS301" s="126"/>
      <c r="HT301" s="126"/>
      <c r="HU301" s="126"/>
      <c r="HV301" s="126"/>
      <c r="HW301" s="126"/>
      <c r="HX301" s="126"/>
      <c r="HY301" s="126"/>
      <c r="HZ301" s="126"/>
      <c r="IA301" s="126"/>
      <c r="IB301" s="126"/>
      <c r="IC301" s="126"/>
      <c r="ID301" s="126"/>
      <c r="IE301" s="126"/>
      <c r="IF301" s="126"/>
      <c r="IG301" s="126"/>
      <c r="IH301" s="126"/>
      <c r="II301" s="126"/>
      <c r="IJ301" s="126"/>
      <c r="IK301" s="126"/>
      <c r="IL301" s="126"/>
      <c r="IM301" s="126"/>
      <c r="IN301" s="126"/>
      <c r="IO301" s="126"/>
      <c r="IP301" s="126"/>
      <c r="IQ301" s="126"/>
      <c r="IR301" s="126"/>
      <c r="IS301" s="126"/>
      <c r="IT301" s="126"/>
      <c r="IU301" s="126"/>
      <c r="IV301" s="126"/>
      <c r="IW301" s="126"/>
      <c r="IX301" s="126"/>
      <c r="IY301" s="126"/>
      <c r="IZ301" s="126"/>
      <c r="JA301" s="126"/>
      <c r="JB301" s="126"/>
      <c r="JC301" s="126"/>
      <c r="JD301" s="126"/>
      <c r="JE301" s="126"/>
      <c r="JF301" s="126"/>
      <c r="JG301" s="126"/>
      <c r="JH301" s="126"/>
      <c r="JI301" s="126"/>
      <c r="JJ301" s="126"/>
      <c r="JK301" s="126"/>
      <c r="JL301" s="126"/>
      <c r="JM301" s="126"/>
      <c r="JN301" s="126"/>
      <c r="JO301" s="126"/>
      <c r="JP301" s="126"/>
      <c r="JQ301" s="126"/>
      <c r="JR301" s="126"/>
      <c r="JS301" s="126"/>
      <c r="JT301" s="126"/>
      <c r="JU301" s="126"/>
      <c r="JV301" s="126"/>
      <c r="JW301" s="126"/>
      <c r="JX301" s="126"/>
      <c r="JY301" s="126"/>
      <c r="JZ301" s="126"/>
      <c r="KA301" s="126"/>
      <c r="KB301" s="126"/>
      <c r="KC301" s="126"/>
      <c r="KD301" s="126"/>
      <c r="KE301" s="126"/>
      <c r="KF301" s="126"/>
      <c r="KG301" s="126"/>
      <c r="KH301" s="126"/>
      <c r="KI301" s="126"/>
      <c r="KJ301" s="126"/>
      <c r="KK301" s="126"/>
      <c r="KL301" s="126"/>
      <c r="KM301" s="126"/>
      <c r="KN301" s="126"/>
      <c r="KO301" s="126"/>
      <c r="KP301" s="126"/>
      <c r="KQ301" s="126"/>
      <c r="KR301" s="126"/>
      <c r="KS301" s="126"/>
      <c r="KT301" s="126"/>
      <c r="KU301" s="126"/>
      <c r="KV301" s="126"/>
      <c r="KW301" s="126"/>
      <c r="KX301" s="126"/>
      <c r="KY301" s="126"/>
      <c r="KZ301" s="126"/>
      <c r="LA301" s="126"/>
      <c r="LB301" s="126"/>
      <c r="LC301" s="126"/>
      <c r="LD301" s="126"/>
      <c r="LE301" s="126"/>
      <c r="LF301" s="126"/>
      <c r="LG301" s="126"/>
      <c r="LH301" s="126"/>
      <c r="LI301" s="126"/>
      <c r="LJ301" s="126"/>
      <c r="LK301" s="126"/>
      <c r="LL301" s="126"/>
      <c r="LM301" s="126"/>
      <c r="LN301" s="126"/>
      <c r="LO301" s="126"/>
      <c r="LP301" s="126"/>
      <c r="LQ301" s="126"/>
      <c r="LR301" s="126"/>
      <c r="LS301" s="126"/>
      <c r="LT301" s="126"/>
      <c r="LU301" s="126"/>
      <c r="LV301" s="126"/>
      <c r="LW301" s="126"/>
      <c r="LX301" s="126"/>
      <c r="LY301" s="126"/>
      <c r="LZ301" s="126"/>
      <c r="MA301" s="126"/>
      <c r="MB301" s="126"/>
      <c r="MC301" s="126"/>
      <c r="MD301" s="126"/>
      <c r="ME301" s="126"/>
      <c r="MF301" s="126"/>
      <c r="MG301" s="126"/>
      <c r="MH301" s="126"/>
      <c r="MI301" s="126"/>
      <c r="MJ301" s="126"/>
      <c r="MK301" s="126"/>
      <c r="ML301" s="126"/>
      <c r="MM301" s="126"/>
      <c r="MN301" s="126"/>
      <c r="MO301" s="126"/>
      <c r="MP301" s="126"/>
      <c r="MQ301" s="126"/>
      <c r="MR301" s="126"/>
      <c r="MS301" s="126"/>
      <c r="MT301" s="126"/>
      <c r="MU301" s="126"/>
      <c r="MV301" s="126"/>
      <c r="MW301" s="126"/>
      <c r="MX301" s="126"/>
      <c r="MY301" s="126"/>
      <c r="MZ301" s="126"/>
      <c r="NA301" s="126"/>
      <c r="NB301" s="126"/>
      <c r="NC301" s="126"/>
      <c r="ND301" s="126"/>
      <c r="NE301" s="126"/>
      <c r="NF301" s="126"/>
      <c r="NG301" s="126"/>
      <c r="NH301" s="126"/>
      <c r="NI301" s="126"/>
      <c r="NJ301" s="126"/>
      <c r="NK301" s="126"/>
      <c r="NL301" s="126"/>
      <c r="NM301" s="126"/>
      <c r="NN301" s="126"/>
      <c r="NO301" s="126"/>
      <c r="NP301" s="126"/>
      <c r="NQ301" s="126"/>
      <c r="NR301" s="126"/>
      <c r="NS301" s="126"/>
      <c r="NT301" s="126"/>
      <c r="NU301" s="126"/>
      <c r="NV301" s="126"/>
      <c r="NW301" s="126"/>
      <c r="NX301" s="126"/>
      <c r="NY301" s="126"/>
      <c r="NZ301" s="126"/>
      <c r="OA301" s="126"/>
      <c r="OB301" s="126"/>
      <c r="OC301" s="126"/>
      <c r="OD301" s="126"/>
      <c r="OE301" s="126"/>
      <c r="OF301" s="126"/>
      <c r="OG301" s="126"/>
      <c r="OH301" s="126"/>
      <c r="OI301" s="126"/>
      <c r="OJ301" s="126"/>
      <c r="OK301" s="126"/>
      <c r="OL301" s="126"/>
      <c r="OM301" s="126"/>
      <c r="ON301" s="126"/>
      <c r="OO301" s="126"/>
      <c r="OP301" s="126"/>
      <c r="OQ301" s="126"/>
      <c r="OR301" s="126"/>
      <c r="OS301" s="126"/>
      <c r="OT301" s="126"/>
      <c r="OU301" s="126"/>
      <c r="OV301" s="126"/>
      <c r="OW301" s="126"/>
      <c r="OX301" s="126"/>
      <c r="OY301" s="126"/>
      <c r="OZ301" s="126"/>
      <c r="PA301" s="126"/>
      <c r="PB301" s="126"/>
      <c r="PC301" s="126"/>
      <c r="PD301" s="126"/>
      <c r="PE301" s="126"/>
      <c r="PF301" s="126"/>
      <c r="PG301" s="126"/>
      <c r="PH301" s="126"/>
      <c r="PI301" s="126"/>
      <c r="PJ301" s="126"/>
      <c r="PK301" s="126"/>
      <c r="PL301" s="126"/>
      <c r="PM301" s="126"/>
      <c r="PN301" s="126"/>
      <c r="PO301" s="126"/>
      <c r="PP301" s="126"/>
      <c r="PQ301" s="126"/>
      <c r="PR301" s="126"/>
      <c r="PS301" s="126"/>
      <c r="PT301" s="126"/>
      <c r="PU301" s="126"/>
      <c r="PV301" s="126"/>
      <c r="PW301" s="126"/>
      <c r="PX301" s="126"/>
      <c r="PY301" s="126"/>
      <c r="PZ301" s="126"/>
      <c r="QA301" s="126"/>
      <c r="QB301" s="126"/>
      <c r="QC301" s="126"/>
      <c r="QD301" s="126"/>
      <c r="QE301" s="126"/>
      <c r="QF301" s="126"/>
      <c r="QG301" s="126"/>
      <c r="QH301" s="126"/>
      <c r="QI301" s="126"/>
      <c r="QJ301" s="126"/>
      <c r="QK301" s="126"/>
      <c r="QL301" s="126"/>
      <c r="QM301" s="126"/>
      <c r="QN301" s="126"/>
      <c r="QO301" s="126"/>
      <c r="QP301" s="126"/>
      <c r="QQ301" s="126"/>
      <c r="QR301" s="126"/>
      <c r="QS301" s="126"/>
      <c r="QT301" s="126"/>
      <c r="QU301" s="126"/>
      <c r="QV301" s="126"/>
      <c r="QW301" s="126"/>
      <c r="QX301" s="126"/>
      <c r="QY301" s="126"/>
      <c r="QZ301" s="126"/>
      <c r="RA301" s="126"/>
      <c r="RB301" s="126"/>
      <c r="RC301" s="126"/>
      <c r="RD301" s="126"/>
      <c r="RE301" s="126"/>
      <c r="RF301" s="126"/>
      <c r="RG301" s="126"/>
      <c r="RH301" s="126"/>
      <c r="RI301" s="126"/>
      <c r="RJ301" s="126"/>
      <c r="RK301" s="126"/>
      <c r="RL301" s="126"/>
      <c r="RM301" s="126"/>
      <c r="RN301" s="126"/>
      <c r="RO301" s="126"/>
      <c r="RP301" s="126"/>
      <c r="RQ301" s="126"/>
      <c r="RR301" s="126"/>
      <c r="RS301" s="126"/>
      <c r="RT301" s="126"/>
      <c r="RU301" s="126"/>
      <c r="RV301" s="126"/>
      <c r="RW301" s="126"/>
      <c r="RX301" s="126"/>
      <c r="RY301" s="126"/>
      <c r="RZ301" s="126"/>
      <c r="SA301" s="126"/>
      <c r="SB301" s="126"/>
      <c r="SC301" s="126"/>
      <c r="SD301" s="126"/>
      <c r="SE301" s="126"/>
      <c r="SF301" s="126"/>
      <c r="SG301" s="126"/>
      <c r="SH301" s="126"/>
      <c r="SI301" s="126"/>
      <c r="SJ301" s="126"/>
      <c r="SK301" s="126"/>
      <c r="SL301" s="126"/>
      <c r="SM301" s="126"/>
      <c r="SN301" s="126"/>
      <c r="SO301" s="126"/>
      <c r="SP301" s="126"/>
      <c r="SQ301" s="126"/>
      <c r="SR301" s="126"/>
      <c r="SS301" s="126"/>
      <c r="ST301" s="126"/>
      <c r="SU301" s="126"/>
      <c r="SV301" s="126"/>
      <c r="SW301" s="126"/>
      <c r="SX301" s="126"/>
      <c r="SY301" s="126"/>
      <c r="SZ301" s="126"/>
      <c r="TA301" s="126"/>
      <c r="TB301" s="126"/>
      <c r="TC301" s="126"/>
      <c r="TD301" s="126"/>
      <c r="TE301" s="126"/>
    </row>
    <row r="302" spans="1:525" s="127" customFormat="1" ht="65.25" customHeight="1" x14ac:dyDescent="0.25">
      <c r="A302" s="117" t="s">
        <v>718</v>
      </c>
      <c r="B302" s="118" t="str">
        <f>'дод 6'!A231</f>
        <v>7461</v>
      </c>
      <c r="C302" s="118" t="str">
        <f>'дод 6'!B231</f>
        <v>0456</v>
      </c>
      <c r="D302" s="153" t="str">
        <f>'дод 6'!C231</f>
        <v>Утримання та розвиток автомобільних доріг та дорожньої інфраструктури за рахунок коштів місцевого бюджету</v>
      </c>
      <c r="E302" s="81">
        <f t="shared" ref="E302:E304" si="134">F302+I302</f>
        <v>3812355</v>
      </c>
      <c r="F302" s="81">
        <f>1967700+1844655</f>
        <v>3812355</v>
      </c>
      <c r="G302" s="82"/>
      <c r="H302" s="82"/>
      <c r="I302" s="82"/>
      <c r="J302" s="82">
        <f t="shared" si="127"/>
        <v>0</v>
      </c>
      <c r="K302" s="81"/>
      <c r="L302" s="81"/>
      <c r="M302" s="81"/>
      <c r="N302" s="81"/>
      <c r="O302" s="81"/>
      <c r="P302" s="81">
        <f t="shared" si="133"/>
        <v>3812355</v>
      </c>
      <c r="Q302" s="225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  <c r="HN302" s="126"/>
      <c r="HO302" s="126"/>
      <c r="HP302" s="126"/>
      <c r="HQ302" s="126"/>
      <c r="HR302" s="126"/>
      <c r="HS302" s="126"/>
      <c r="HT302" s="126"/>
      <c r="HU302" s="126"/>
      <c r="HV302" s="126"/>
      <c r="HW302" s="126"/>
      <c r="HX302" s="126"/>
      <c r="HY302" s="126"/>
      <c r="HZ302" s="126"/>
      <c r="IA302" s="126"/>
      <c r="IB302" s="126"/>
      <c r="IC302" s="126"/>
      <c r="ID302" s="126"/>
      <c r="IE302" s="126"/>
      <c r="IF302" s="126"/>
      <c r="IG302" s="126"/>
      <c r="IH302" s="126"/>
      <c r="II302" s="126"/>
      <c r="IJ302" s="126"/>
      <c r="IK302" s="126"/>
      <c r="IL302" s="126"/>
      <c r="IM302" s="126"/>
      <c r="IN302" s="126"/>
      <c r="IO302" s="126"/>
      <c r="IP302" s="126"/>
      <c r="IQ302" s="126"/>
      <c r="IR302" s="126"/>
      <c r="IS302" s="126"/>
      <c r="IT302" s="126"/>
      <c r="IU302" s="126"/>
      <c r="IV302" s="126"/>
      <c r="IW302" s="126"/>
      <c r="IX302" s="126"/>
      <c r="IY302" s="126"/>
      <c r="IZ302" s="126"/>
      <c r="JA302" s="126"/>
      <c r="JB302" s="126"/>
      <c r="JC302" s="126"/>
      <c r="JD302" s="126"/>
      <c r="JE302" s="126"/>
      <c r="JF302" s="126"/>
      <c r="JG302" s="126"/>
      <c r="JH302" s="126"/>
      <c r="JI302" s="126"/>
      <c r="JJ302" s="126"/>
      <c r="JK302" s="126"/>
      <c r="JL302" s="126"/>
      <c r="JM302" s="126"/>
      <c r="JN302" s="126"/>
      <c r="JO302" s="126"/>
      <c r="JP302" s="126"/>
      <c r="JQ302" s="126"/>
      <c r="JR302" s="126"/>
      <c r="JS302" s="126"/>
      <c r="JT302" s="126"/>
      <c r="JU302" s="126"/>
      <c r="JV302" s="126"/>
      <c r="JW302" s="126"/>
      <c r="JX302" s="126"/>
      <c r="JY302" s="126"/>
      <c r="JZ302" s="126"/>
      <c r="KA302" s="126"/>
      <c r="KB302" s="126"/>
      <c r="KC302" s="126"/>
      <c r="KD302" s="126"/>
      <c r="KE302" s="126"/>
      <c r="KF302" s="126"/>
      <c r="KG302" s="126"/>
      <c r="KH302" s="126"/>
      <c r="KI302" s="126"/>
      <c r="KJ302" s="126"/>
      <c r="KK302" s="126"/>
      <c r="KL302" s="126"/>
      <c r="KM302" s="126"/>
      <c r="KN302" s="126"/>
      <c r="KO302" s="126"/>
      <c r="KP302" s="126"/>
      <c r="KQ302" s="126"/>
      <c r="KR302" s="126"/>
      <c r="KS302" s="126"/>
      <c r="KT302" s="126"/>
      <c r="KU302" s="126"/>
      <c r="KV302" s="126"/>
      <c r="KW302" s="126"/>
      <c r="KX302" s="126"/>
      <c r="KY302" s="126"/>
      <c r="KZ302" s="126"/>
      <c r="LA302" s="126"/>
      <c r="LB302" s="126"/>
      <c r="LC302" s="126"/>
      <c r="LD302" s="126"/>
      <c r="LE302" s="126"/>
      <c r="LF302" s="126"/>
      <c r="LG302" s="126"/>
      <c r="LH302" s="126"/>
      <c r="LI302" s="126"/>
      <c r="LJ302" s="126"/>
      <c r="LK302" s="126"/>
      <c r="LL302" s="126"/>
      <c r="LM302" s="126"/>
      <c r="LN302" s="126"/>
      <c r="LO302" s="126"/>
      <c r="LP302" s="126"/>
      <c r="LQ302" s="126"/>
      <c r="LR302" s="126"/>
      <c r="LS302" s="126"/>
      <c r="LT302" s="126"/>
      <c r="LU302" s="126"/>
      <c r="LV302" s="126"/>
      <c r="LW302" s="126"/>
      <c r="LX302" s="126"/>
      <c r="LY302" s="126"/>
      <c r="LZ302" s="126"/>
      <c r="MA302" s="126"/>
      <c r="MB302" s="126"/>
      <c r="MC302" s="126"/>
      <c r="MD302" s="126"/>
      <c r="ME302" s="126"/>
      <c r="MF302" s="126"/>
      <c r="MG302" s="126"/>
      <c r="MH302" s="126"/>
      <c r="MI302" s="126"/>
      <c r="MJ302" s="126"/>
      <c r="MK302" s="126"/>
      <c r="ML302" s="126"/>
      <c r="MM302" s="126"/>
      <c r="MN302" s="126"/>
      <c r="MO302" s="126"/>
      <c r="MP302" s="126"/>
      <c r="MQ302" s="126"/>
      <c r="MR302" s="126"/>
      <c r="MS302" s="126"/>
      <c r="MT302" s="126"/>
      <c r="MU302" s="126"/>
      <c r="MV302" s="126"/>
      <c r="MW302" s="126"/>
      <c r="MX302" s="126"/>
      <c r="MY302" s="126"/>
      <c r="MZ302" s="126"/>
      <c r="NA302" s="126"/>
      <c r="NB302" s="126"/>
      <c r="NC302" s="126"/>
      <c r="ND302" s="126"/>
      <c r="NE302" s="126"/>
      <c r="NF302" s="126"/>
      <c r="NG302" s="126"/>
      <c r="NH302" s="126"/>
      <c r="NI302" s="126"/>
      <c r="NJ302" s="126"/>
      <c r="NK302" s="126"/>
      <c r="NL302" s="126"/>
      <c r="NM302" s="126"/>
      <c r="NN302" s="126"/>
      <c r="NO302" s="126"/>
      <c r="NP302" s="126"/>
      <c r="NQ302" s="126"/>
      <c r="NR302" s="126"/>
      <c r="NS302" s="126"/>
      <c r="NT302" s="126"/>
      <c r="NU302" s="126"/>
      <c r="NV302" s="126"/>
      <c r="NW302" s="126"/>
      <c r="NX302" s="126"/>
      <c r="NY302" s="126"/>
      <c r="NZ302" s="126"/>
      <c r="OA302" s="126"/>
      <c r="OB302" s="126"/>
      <c r="OC302" s="126"/>
      <c r="OD302" s="126"/>
      <c r="OE302" s="126"/>
      <c r="OF302" s="126"/>
      <c r="OG302" s="126"/>
      <c r="OH302" s="126"/>
      <c r="OI302" s="126"/>
      <c r="OJ302" s="126"/>
      <c r="OK302" s="126"/>
      <c r="OL302" s="126"/>
      <c r="OM302" s="126"/>
      <c r="ON302" s="126"/>
      <c r="OO302" s="126"/>
      <c r="OP302" s="126"/>
      <c r="OQ302" s="126"/>
      <c r="OR302" s="126"/>
      <c r="OS302" s="126"/>
      <c r="OT302" s="126"/>
      <c r="OU302" s="126"/>
      <c r="OV302" s="126"/>
      <c r="OW302" s="126"/>
      <c r="OX302" s="126"/>
      <c r="OY302" s="126"/>
      <c r="OZ302" s="126"/>
      <c r="PA302" s="126"/>
      <c r="PB302" s="126"/>
      <c r="PC302" s="126"/>
      <c r="PD302" s="126"/>
      <c r="PE302" s="126"/>
      <c r="PF302" s="126"/>
      <c r="PG302" s="126"/>
      <c r="PH302" s="126"/>
      <c r="PI302" s="126"/>
      <c r="PJ302" s="126"/>
      <c r="PK302" s="126"/>
      <c r="PL302" s="126"/>
      <c r="PM302" s="126"/>
      <c r="PN302" s="126"/>
      <c r="PO302" s="126"/>
      <c r="PP302" s="126"/>
      <c r="PQ302" s="126"/>
      <c r="PR302" s="126"/>
      <c r="PS302" s="126"/>
      <c r="PT302" s="126"/>
      <c r="PU302" s="126"/>
      <c r="PV302" s="126"/>
      <c r="PW302" s="126"/>
      <c r="PX302" s="126"/>
      <c r="PY302" s="126"/>
      <c r="PZ302" s="126"/>
      <c r="QA302" s="126"/>
      <c r="QB302" s="126"/>
      <c r="QC302" s="126"/>
      <c r="QD302" s="126"/>
      <c r="QE302" s="126"/>
      <c r="QF302" s="126"/>
      <c r="QG302" s="126"/>
      <c r="QH302" s="126"/>
      <c r="QI302" s="126"/>
      <c r="QJ302" s="126"/>
      <c r="QK302" s="126"/>
      <c r="QL302" s="126"/>
      <c r="QM302" s="126"/>
      <c r="QN302" s="126"/>
      <c r="QO302" s="126"/>
      <c r="QP302" s="126"/>
      <c r="QQ302" s="126"/>
      <c r="QR302" s="126"/>
      <c r="QS302" s="126"/>
      <c r="QT302" s="126"/>
      <c r="QU302" s="126"/>
      <c r="QV302" s="126"/>
      <c r="QW302" s="126"/>
      <c r="QX302" s="126"/>
      <c r="QY302" s="126"/>
      <c r="QZ302" s="126"/>
      <c r="RA302" s="126"/>
      <c r="RB302" s="126"/>
      <c r="RC302" s="126"/>
      <c r="RD302" s="126"/>
      <c r="RE302" s="126"/>
      <c r="RF302" s="126"/>
      <c r="RG302" s="126"/>
      <c r="RH302" s="126"/>
      <c r="RI302" s="126"/>
      <c r="RJ302" s="126"/>
      <c r="RK302" s="126"/>
      <c r="RL302" s="126"/>
      <c r="RM302" s="126"/>
      <c r="RN302" s="126"/>
      <c r="RO302" s="126"/>
      <c r="RP302" s="126"/>
      <c r="RQ302" s="126"/>
      <c r="RR302" s="126"/>
      <c r="RS302" s="126"/>
      <c r="RT302" s="126"/>
      <c r="RU302" s="126"/>
      <c r="RV302" s="126"/>
      <c r="RW302" s="126"/>
      <c r="RX302" s="126"/>
      <c r="RY302" s="126"/>
      <c r="RZ302" s="126"/>
      <c r="SA302" s="126"/>
      <c r="SB302" s="126"/>
      <c r="SC302" s="126"/>
      <c r="SD302" s="126"/>
      <c r="SE302" s="126"/>
      <c r="SF302" s="126"/>
      <c r="SG302" s="126"/>
      <c r="SH302" s="126"/>
      <c r="SI302" s="126"/>
      <c r="SJ302" s="126"/>
      <c r="SK302" s="126"/>
      <c r="SL302" s="126"/>
      <c r="SM302" s="126"/>
      <c r="SN302" s="126"/>
      <c r="SO302" s="126"/>
      <c r="SP302" s="126"/>
      <c r="SQ302" s="126"/>
      <c r="SR302" s="126"/>
      <c r="SS302" s="126"/>
      <c r="ST302" s="126"/>
      <c r="SU302" s="126"/>
      <c r="SV302" s="126"/>
      <c r="SW302" s="126"/>
      <c r="SX302" s="126"/>
      <c r="SY302" s="126"/>
      <c r="SZ302" s="126"/>
      <c r="TA302" s="126"/>
      <c r="TB302" s="126"/>
      <c r="TC302" s="126"/>
      <c r="TD302" s="126"/>
      <c r="TE302" s="126"/>
    </row>
    <row r="303" spans="1:525" s="121" customFormat="1" ht="47.25" customHeight="1" x14ac:dyDescent="0.25">
      <c r="A303" s="117" t="s">
        <v>369</v>
      </c>
      <c r="B303" s="118" t="str">
        <f>'дод 6'!A232</f>
        <v>7462</v>
      </c>
      <c r="C303" s="118" t="str">
        <f>'дод 6'!B232</f>
        <v>0456</v>
      </c>
      <c r="D303" s="153" t="str">
        <f>'дод 6'!C232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3" s="81">
        <f t="shared" si="134"/>
        <v>0</v>
      </c>
      <c r="F303" s="81"/>
      <c r="G303" s="81"/>
      <c r="H303" s="81"/>
      <c r="I303" s="81"/>
      <c r="J303" s="81">
        <f>L303+O303</f>
        <v>16609000</v>
      </c>
      <c r="K303" s="81"/>
      <c r="L303" s="81">
        <f>17709000-1100000</f>
        <v>16609000</v>
      </c>
      <c r="M303" s="81"/>
      <c r="N303" s="81"/>
      <c r="O303" s="81"/>
      <c r="P303" s="81">
        <f t="shared" si="133"/>
        <v>16609000</v>
      </c>
      <c r="Q303" s="225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</row>
    <row r="304" spans="1:525" s="121" customFormat="1" ht="111" customHeight="1" x14ac:dyDescent="0.25">
      <c r="A304" s="117"/>
      <c r="B304" s="118"/>
      <c r="C304" s="117"/>
      <c r="D304" s="228" t="s">
        <v>721</v>
      </c>
      <c r="E304" s="81">
        <f t="shared" si="134"/>
        <v>0</v>
      </c>
      <c r="F304" s="81"/>
      <c r="G304" s="81"/>
      <c r="H304" s="81"/>
      <c r="I304" s="81"/>
      <c r="J304" s="82">
        <f>L304+O304</f>
        <v>16609000</v>
      </c>
      <c r="K304" s="82"/>
      <c r="L304" s="82">
        <f>17709000-1100000</f>
        <v>16609000</v>
      </c>
      <c r="M304" s="82"/>
      <c r="N304" s="82"/>
      <c r="O304" s="82"/>
      <c r="P304" s="82">
        <f t="shared" si="133"/>
        <v>16609000</v>
      </c>
      <c r="Q304" s="225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</row>
    <row r="305" spans="1:525" s="121" customFormat="1" ht="20.25" customHeight="1" x14ac:dyDescent="0.25">
      <c r="A305" s="117" t="s">
        <v>199</v>
      </c>
      <c r="B305" s="118" t="str">
        <f>'дод 6'!A239</f>
        <v>7640</v>
      </c>
      <c r="C305" s="117" t="str">
        <f>'дод 6'!B239</f>
        <v>0470</v>
      </c>
      <c r="D305" s="122" t="s">
        <v>413</v>
      </c>
      <c r="E305" s="81">
        <f t="shared" si="125"/>
        <v>1966786</v>
      </c>
      <c r="F305" s="81">
        <f>400000-200000</f>
        <v>200000</v>
      </c>
      <c r="G305" s="81"/>
      <c r="H305" s="81"/>
      <c r="I305" s="81">
        <f>2400000+366786-1000000</f>
        <v>1766786</v>
      </c>
      <c r="J305" s="81">
        <f t="shared" si="127"/>
        <v>0</v>
      </c>
      <c r="K305" s="81"/>
      <c r="L305" s="81"/>
      <c r="M305" s="81"/>
      <c r="N305" s="81"/>
      <c r="O305" s="81"/>
      <c r="P305" s="81">
        <f t="shared" si="126"/>
        <v>1966786</v>
      </c>
      <c r="Q305" s="225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</row>
    <row r="306" spans="1:525" s="121" customFormat="1" ht="39" customHeight="1" x14ac:dyDescent="0.25">
      <c r="A306" s="117" t="s">
        <v>326</v>
      </c>
      <c r="B306" s="118" t="str">
        <f>'дод 6'!A243</f>
        <v>7670</v>
      </c>
      <c r="C306" s="117" t="str">
        <f>'дод 6'!B243</f>
        <v>0490</v>
      </c>
      <c r="D306" s="122" t="str">
        <f>'дод 6'!C243</f>
        <v>Внески до статутного капіталу суб'єктів господарювання</v>
      </c>
      <c r="E306" s="81">
        <f>F306+I306</f>
        <v>0</v>
      </c>
      <c r="F306" s="81"/>
      <c r="G306" s="81"/>
      <c r="H306" s="81"/>
      <c r="I306" s="81"/>
      <c r="J306" s="81">
        <f>L306+O306</f>
        <v>2160000</v>
      </c>
      <c r="K306" s="81">
        <v>2160000</v>
      </c>
      <c r="L306" s="81"/>
      <c r="M306" s="81"/>
      <c r="N306" s="81"/>
      <c r="O306" s="81">
        <v>2160000</v>
      </c>
      <c r="P306" s="81">
        <f>E306+J306</f>
        <v>2160000</v>
      </c>
      <c r="Q306" s="225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</row>
    <row r="307" spans="1:525" s="127" customFormat="1" ht="18.75" hidden="1" customHeight="1" x14ac:dyDescent="0.25">
      <c r="A307" s="123"/>
      <c r="B307" s="144"/>
      <c r="C307" s="144"/>
      <c r="D307" s="143" t="s">
        <v>410</v>
      </c>
      <c r="E307" s="82">
        <f t="shared" si="125"/>
        <v>0</v>
      </c>
      <c r="F307" s="82"/>
      <c r="G307" s="82"/>
      <c r="H307" s="82"/>
      <c r="I307" s="82"/>
      <c r="J307" s="82">
        <f t="shared" si="127"/>
        <v>0</v>
      </c>
      <c r="K307" s="82"/>
      <c r="L307" s="82"/>
      <c r="M307" s="82"/>
      <c r="N307" s="82"/>
      <c r="O307" s="82"/>
      <c r="P307" s="82">
        <f t="shared" si="126"/>
        <v>0</v>
      </c>
      <c r="Q307" s="225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  <c r="HN307" s="126"/>
      <c r="HO307" s="126"/>
      <c r="HP307" s="126"/>
      <c r="HQ307" s="126"/>
      <c r="HR307" s="126"/>
      <c r="HS307" s="126"/>
      <c r="HT307" s="126"/>
      <c r="HU307" s="126"/>
      <c r="HV307" s="126"/>
      <c r="HW307" s="126"/>
      <c r="HX307" s="126"/>
      <c r="HY307" s="126"/>
      <c r="HZ307" s="126"/>
      <c r="IA307" s="126"/>
      <c r="IB307" s="126"/>
      <c r="IC307" s="126"/>
      <c r="ID307" s="126"/>
      <c r="IE307" s="126"/>
      <c r="IF307" s="126"/>
      <c r="IG307" s="126"/>
      <c r="IH307" s="126"/>
      <c r="II307" s="126"/>
      <c r="IJ307" s="126"/>
      <c r="IK307" s="126"/>
      <c r="IL307" s="126"/>
      <c r="IM307" s="126"/>
      <c r="IN307" s="126"/>
      <c r="IO307" s="126"/>
      <c r="IP307" s="126"/>
      <c r="IQ307" s="126"/>
      <c r="IR307" s="126"/>
      <c r="IS307" s="126"/>
      <c r="IT307" s="126"/>
      <c r="IU307" s="126"/>
      <c r="IV307" s="126"/>
      <c r="IW307" s="126"/>
      <c r="IX307" s="126"/>
      <c r="IY307" s="126"/>
      <c r="IZ307" s="126"/>
      <c r="JA307" s="126"/>
      <c r="JB307" s="126"/>
      <c r="JC307" s="126"/>
      <c r="JD307" s="126"/>
      <c r="JE307" s="126"/>
      <c r="JF307" s="126"/>
      <c r="JG307" s="126"/>
      <c r="JH307" s="126"/>
      <c r="JI307" s="126"/>
      <c r="JJ307" s="126"/>
      <c r="JK307" s="126"/>
      <c r="JL307" s="126"/>
      <c r="JM307" s="126"/>
      <c r="JN307" s="126"/>
      <c r="JO307" s="126"/>
      <c r="JP307" s="126"/>
      <c r="JQ307" s="126"/>
      <c r="JR307" s="126"/>
      <c r="JS307" s="126"/>
      <c r="JT307" s="126"/>
      <c r="JU307" s="126"/>
      <c r="JV307" s="126"/>
      <c r="JW307" s="126"/>
      <c r="JX307" s="126"/>
      <c r="JY307" s="126"/>
      <c r="JZ307" s="126"/>
      <c r="KA307" s="126"/>
      <c r="KB307" s="126"/>
      <c r="KC307" s="126"/>
      <c r="KD307" s="126"/>
      <c r="KE307" s="126"/>
      <c r="KF307" s="126"/>
      <c r="KG307" s="126"/>
      <c r="KH307" s="126"/>
      <c r="KI307" s="126"/>
      <c r="KJ307" s="126"/>
      <c r="KK307" s="126"/>
      <c r="KL307" s="126"/>
      <c r="KM307" s="126"/>
      <c r="KN307" s="126"/>
      <c r="KO307" s="126"/>
      <c r="KP307" s="126"/>
      <c r="KQ307" s="126"/>
      <c r="KR307" s="126"/>
      <c r="KS307" s="126"/>
      <c r="KT307" s="126"/>
      <c r="KU307" s="126"/>
      <c r="KV307" s="126"/>
      <c r="KW307" s="126"/>
      <c r="KX307" s="126"/>
      <c r="KY307" s="126"/>
      <c r="KZ307" s="126"/>
      <c r="LA307" s="126"/>
      <c r="LB307" s="126"/>
      <c r="LC307" s="126"/>
      <c r="LD307" s="126"/>
      <c r="LE307" s="126"/>
      <c r="LF307" s="126"/>
      <c r="LG307" s="126"/>
      <c r="LH307" s="126"/>
      <c r="LI307" s="126"/>
      <c r="LJ307" s="126"/>
      <c r="LK307" s="126"/>
      <c r="LL307" s="126"/>
      <c r="LM307" s="126"/>
      <c r="LN307" s="126"/>
      <c r="LO307" s="126"/>
      <c r="LP307" s="126"/>
      <c r="LQ307" s="126"/>
      <c r="LR307" s="126"/>
      <c r="LS307" s="126"/>
      <c r="LT307" s="126"/>
      <c r="LU307" s="126"/>
      <c r="LV307" s="126"/>
      <c r="LW307" s="126"/>
      <c r="LX307" s="126"/>
      <c r="LY307" s="126"/>
      <c r="LZ307" s="126"/>
      <c r="MA307" s="126"/>
      <c r="MB307" s="126"/>
      <c r="MC307" s="126"/>
      <c r="MD307" s="126"/>
      <c r="ME307" s="126"/>
      <c r="MF307" s="126"/>
      <c r="MG307" s="126"/>
      <c r="MH307" s="126"/>
      <c r="MI307" s="126"/>
      <c r="MJ307" s="126"/>
      <c r="MK307" s="126"/>
      <c r="ML307" s="126"/>
      <c r="MM307" s="126"/>
      <c r="MN307" s="126"/>
      <c r="MO307" s="126"/>
      <c r="MP307" s="126"/>
      <c r="MQ307" s="126"/>
      <c r="MR307" s="126"/>
      <c r="MS307" s="126"/>
      <c r="MT307" s="126"/>
      <c r="MU307" s="126"/>
      <c r="MV307" s="126"/>
      <c r="MW307" s="126"/>
      <c r="MX307" s="126"/>
      <c r="MY307" s="126"/>
      <c r="MZ307" s="126"/>
      <c r="NA307" s="126"/>
      <c r="NB307" s="126"/>
      <c r="NC307" s="126"/>
      <c r="ND307" s="126"/>
      <c r="NE307" s="126"/>
      <c r="NF307" s="126"/>
      <c r="NG307" s="126"/>
      <c r="NH307" s="126"/>
      <c r="NI307" s="126"/>
      <c r="NJ307" s="126"/>
      <c r="NK307" s="126"/>
      <c r="NL307" s="126"/>
      <c r="NM307" s="126"/>
      <c r="NN307" s="126"/>
      <c r="NO307" s="126"/>
      <c r="NP307" s="126"/>
      <c r="NQ307" s="126"/>
      <c r="NR307" s="126"/>
      <c r="NS307" s="126"/>
      <c r="NT307" s="126"/>
      <c r="NU307" s="126"/>
      <c r="NV307" s="126"/>
      <c r="NW307" s="126"/>
      <c r="NX307" s="126"/>
      <c r="NY307" s="126"/>
      <c r="NZ307" s="126"/>
      <c r="OA307" s="126"/>
      <c r="OB307" s="126"/>
      <c r="OC307" s="126"/>
      <c r="OD307" s="126"/>
      <c r="OE307" s="126"/>
      <c r="OF307" s="126"/>
      <c r="OG307" s="126"/>
      <c r="OH307" s="126"/>
      <c r="OI307" s="126"/>
      <c r="OJ307" s="126"/>
      <c r="OK307" s="126"/>
      <c r="OL307" s="126"/>
      <c r="OM307" s="126"/>
      <c r="ON307" s="126"/>
      <c r="OO307" s="126"/>
      <c r="OP307" s="126"/>
      <c r="OQ307" s="126"/>
      <c r="OR307" s="126"/>
      <c r="OS307" s="126"/>
      <c r="OT307" s="126"/>
      <c r="OU307" s="126"/>
      <c r="OV307" s="126"/>
      <c r="OW307" s="126"/>
      <c r="OX307" s="126"/>
      <c r="OY307" s="126"/>
      <c r="OZ307" s="126"/>
      <c r="PA307" s="126"/>
      <c r="PB307" s="126"/>
      <c r="PC307" s="126"/>
      <c r="PD307" s="126"/>
      <c r="PE307" s="126"/>
      <c r="PF307" s="126"/>
      <c r="PG307" s="126"/>
      <c r="PH307" s="126"/>
      <c r="PI307" s="126"/>
      <c r="PJ307" s="126"/>
      <c r="PK307" s="126"/>
      <c r="PL307" s="126"/>
      <c r="PM307" s="126"/>
      <c r="PN307" s="126"/>
      <c r="PO307" s="126"/>
      <c r="PP307" s="126"/>
      <c r="PQ307" s="126"/>
      <c r="PR307" s="126"/>
      <c r="PS307" s="126"/>
      <c r="PT307" s="126"/>
      <c r="PU307" s="126"/>
      <c r="PV307" s="126"/>
      <c r="PW307" s="126"/>
      <c r="PX307" s="126"/>
      <c r="PY307" s="126"/>
      <c r="PZ307" s="126"/>
      <c r="QA307" s="126"/>
      <c r="QB307" s="126"/>
      <c r="QC307" s="126"/>
      <c r="QD307" s="126"/>
      <c r="QE307" s="126"/>
      <c r="QF307" s="126"/>
      <c r="QG307" s="126"/>
      <c r="QH307" s="126"/>
      <c r="QI307" s="126"/>
      <c r="QJ307" s="126"/>
      <c r="QK307" s="126"/>
      <c r="QL307" s="126"/>
      <c r="QM307" s="126"/>
      <c r="QN307" s="126"/>
      <c r="QO307" s="126"/>
      <c r="QP307" s="126"/>
      <c r="QQ307" s="126"/>
      <c r="QR307" s="126"/>
      <c r="QS307" s="126"/>
      <c r="QT307" s="126"/>
      <c r="QU307" s="126"/>
      <c r="QV307" s="126"/>
      <c r="QW307" s="126"/>
      <c r="QX307" s="126"/>
      <c r="QY307" s="126"/>
      <c r="QZ307" s="126"/>
      <c r="RA307" s="126"/>
      <c r="RB307" s="126"/>
      <c r="RC307" s="126"/>
      <c r="RD307" s="126"/>
      <c r="RE307" s="126"/>
      <c r="RF307" s="126"/>
      <c r="RG307" s="126"/>
      <c r="RH307" s="126"/>
      <c r="RI307" s="126"/>
      <c r="RJ307" s="126"/>
      <c r="RK307" s="126"/>
      <c r="RL307" s="126"/>
      <c r="RM307" s="126"/>
      <c r="RN307" s="126"/>
      <c r="RO307" s="126"/>
      <c r="RP307" s="126"/>
      <c r="RQ307" s="126"/>
      <c r="RR307" s="126"/>
      <c r="RS307" s="126"/>
      <c r="RT307" s="126"/>
      <c r="RU307" s="126"/>
      <c r="RV307" s="126"/>
      <c r="RW307" s="126"/>
      <c r="RX307" s="126"/>
      <c r="RY307" s="126"/>
      <c r="RZ307" s="126"/>
      <c r="SA307" s="126"/>
      <c r="SB307" s="126"/>
      <c r="SC307" s="126"/>
      <c r="SD307" s="126"/>
      <c r="SE307" s="126"/>
      <c r="SF307" s="126"/>
      <c r="SG307" s="126"/>
      <c r="SH307" s="126"/>
      <c r="SI307" s="126"/>
      <c r="SJ307" s="126"/>
      <c r="SK307" s="126"/>
      <c r="SL307" s="126"/>
      <c r="SM307" s="126"/>
      <c r="SN307" s="126"/>
      <c r="SO307" s="126"/>
      <c r="SP307" s="126"/>
      <c r="SQ307" s="126"/>
      <c r="SR307" s="126"/>
      <c r="SS307" s="126"/>
      <c r="ST307" s="126"/>
      <c r="SU307" s="126"/>
      <c r="SV307" s="126"/>
      <c r="SW307" s="126"/>
      <c r="SX307" s="126"/>
      <c r="SY307" s="126"/>
      <c r="SZ307" s="126"/>
      <c r="TA307" s="126"/>
      <c r="TB307" s="126"/>
      <c r="TC307" s="126"/>
      <c r="TD307" s="126"/>
      <c r="TE307" s="126"/>
    </row>
    <row r="308" spans="1:525" s="121" customFormat="1" ht="130.5" customHeight="1" x14ac:dyDescent="0.25">
      <c r="A308" s="129" t="s">
        <v>295</v>
      </c>
      <c r="B308" s="130">
        <v>7691</v>
      </c>
      <c r="C308" s="130" t="s">
        <v>81</v>
      </c>
      <c r="D308" s="119" t="str">
        <f>'дод 6'!C246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8" s="81">
        <f t="shared" si="125"/>
        <v>0</v>
      </c>
      <c r="F308" s="81"/>
      <c r="G308" s="81"/>
      <c r="H308" s="81"/>
      <c r="I308" s="81"/>
      <c r="J308" s="81">
        <f t="shared" si="127"/>
        <v>100000</v>
      </c>
      <c r="K308" s="81"/>
      <c r="L308" s="81">
        <v>100000</v>
      </c>
      <c r="M308" s="81"/>
      <c r="N308" s="81"/>
      <c r="O308" s="81"/>
      <c r="P308" s="81">
        <f t="shared" si="126"/>
        <v>100000</v>
      </c>
      <c r="Q308" s="225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</row>
    <row r="309" spans="1:525" s="121" customFormat="1" ht="39" customHeight="1" x14ac:dyDescent="0.25">
      <c r="A309" s="129" t="s">
        <v>375</v>
      </c>
      <c r="B309" s="130" t="str">
        <f>'дод 6'!A256</f>
        <v>8110</v>
      </c>
      <c r="C309" s="130" t="str">
        <f>'дод 6'!B256</f>
        <v>0320</v>
      </c>
      <c r="D309" s="133" t="str">
        <f>'дод 6'!C256</f>
        <v>Заходи із запобігання та ліквідації надзвичайних ситуацій та наслідків стихійного лиха</v>
      </c>
      <c r="E309" s="81">
        <f t="shared" ref="E309:E318" si="135">F309+I309</f>
        <v>22133680</v>
      </c>
      <c r="F309" s="81">
        <f>2630680+8500000+3200000+2000000+300000+300000+50000+1000000+2168000+1985000</f>
        <v>22133680</v>
      </c>
      <c r="G309" s="81"/>
      <c r="H309" s="81"/>
      <c r="I309" s="81"/>
      <c r="J309" s="81">
        <f>L309+O309</f>
        <v>39169904</v>
      </c>
      <c r="K309" s="81">
        <f>20000000-2630680+16000000-2000000+700000+4975584+4110000-1985000</f>
        <v>39169904</v>
      </c>
      <c r="L309" s="81"/>
      <c r="M309" s="81"/>
      <c r="N309" s="81"/>
      <c r="O309" s="81">
        <f>20000000-2630680+16000000-2000000+700000+4975584+4110000-1985000</f>
        <v>39169904</v>
      </c>
      <c r="P309" s="81">
        <f t="shared" ref="P309:P312" si="136">E309+J309</f>
        <v>61303584</v>
      </c>
      <c r="Q309" s="225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</row>
    <row r="310" spans="1:525" s="121" customFormat="1" ht="15.75" hidden="1" customHeight="1" x14ac:dyDescent="0.25">
      <c r="A310" s="129" t="s">
        <v>374</v>
      </c>
      <c r="B310" s="130" t="str">
        <f>'дод 6'!A260</f>
        <v>8230</v>
      </c>
      <c r="C310" s="130" t="str">
        <f>'дод 6'!B260</f>
        <v>0380</v>
      </c>
      <c r="D310" s="133" t="str">
        <f>'дод 6'!C260</f>
        <v>Інші заходи громадського порядку та безпеки</v>
      </c>
      <c r="E310" s="81">
        <f t="shared" si="135"/>
        <v>0</v>
      </c>
      <c r="F310" s="81"/>
      <c r="G310" s="81"/>
      <c r="H310" s="81"/>
      <c r="I310" s="81"/>
      <c r="J310" s="81">
        <f t="shared" ref="J310:J313" si="137">L310+O310</f>
        <v>0</v>
      </c>
      <c r="K310" s="81"/>
      <c r="L310" s="81"/>
      <c r="M310" s="81"/>
      <c r="N310" s="81"/>
      <c r="O310" s="81"/>
      <c r="P310" s="81">
        <f t="shared" si="136"/>
        <v>0</v>
      </c>
      <c r="Q310" s="196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</row>
    <row r="311" spans="1:525" s="121" customFormat="1" ht="27" customHeight="1" x14ac:dyDescent="0.25">
      <c r="A311" s="129" t="s">
        <v>683</v>
      </c>
      <c r="B311" s="130">
        <v>8240</v>
      </c>
      <c r="C311" s="130" t="str">
        <f>'дод 6'!B261</f>
        <v>0380</v>
      </c>
      <c r="D311" s="133" t="str">
        <f>'дод 6'!C261</f>
        <v>Заходи та роботи з територіальної оборони</v>
      </c>
      <c r="E311" s="81">
        <f>F311+I311</f>
        <v>19000000</v>
      </c>
      <c r="F311" s="81">
        <f>10000000+4000000+5000000</f>
        <v>19000000</v>
      </c>
      <c r="G311" s="81"/>
      <c r="H311" s="81"/>
      <c r="I311" s="81"/>
      <c r="J311" s="81">
        <f>L311+O311</f>
        <v>0</v>
      </c>
      <c r="K311" s="81"/>
      <c r="L311" s="81"/>
      <c r="M311" s="81"/>
      <c r="N311" s="81"/>
      <c r="O311" s="81"/>
      <c r="P311" s="81">
        <f t="shared" si="136"/>
        <v>19000000</v>
      </c>
      <c r="Q311" s="19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1" customFormat="1" ht="27" customHeight="1" x14ac:dyDescent="0.25">
      <c r="A312" s="129" t="s">
        <v>686</v>
      </c>
      <c r="B312" s="130">
        <v>8312</v>
      </c>
      <c r="C312" s="129" t="s">
        <v>687</v>
      </c>
      <c r="D312" s="133" t="s">
        <v>688</v>
      </c>
      <c r="E312" s="81">
        <f>F312+I312</f>
        <v>500000</v>
      </c>
      <c r="F312" s="81">
        <v>500000</v>
      </c>
      <c r="G312" s="81"/>
      <c r="H312" s="81"/>
      <c r="I312" s="81"/>
      <c r="J312" s="81">
        <f>L312+O312</f>
        <v>0</v>
      </c>
      <c r="K312" s="81"/>
      <c r="L312" s="81"/>
      <c r="M312" s="81"/>
      <c r="N312" s="81"/>
      <c r="O312" s="81"/>
      <c r="P312" s="81">
        <f t="shared" si="136"/>
        <v>500000</v>
      </c>
      <c r="Q312" s="196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</row>
    <row r="313" spans="1:525" s="121" customFormat="1" ht="31.5" customHeight="1" x14ac:dyDescent="0.25">
      <c r="A313" s="117" t="s">
        <v>200</v>
      </c>
      <c r="B313" s="118" t="str">
        <f>'дод 6'!A265</f>
        <v>8340</v>
      </c>
      <c r="C313" s="118" t="str">
        <f>'дод 6'!B265</f>
        <v>0540</v>
      </c>
      <c r="D313" s="122" t="str">
        <f>'дод 6'!C265</f>
        <v>Природоохоронні заходи за рахунок цільових фондів</v>
      </c>
      <c r="E313" s="81">
        <f t="shared" si="135"/>
        <v>0</v>
      </c>
      <c r="F313" s="81"/>
      <c r="G313" s="81"/>
      <c r="H313" s="81"/>
      <c r="I313" s="81"/>
      <c r="J313" s="81">
        <f t="shared" si="137"/>
        <v>2323000</v>
      </c>
      <c r="K313" s="81"/>
      <c r="L313" s="81">
        <f>2323000-1100000</f>
        <v>1223000</v>
      </c>
      <c r="M313" s="81"/>
      <c r="N313" s="81"/>
      <c r="O313" s="81">
        <v>1100000</v>
      </c>
      <c r="P313" s="81">
        <f t="shared" si="126"/>
        <v>2323000</v>
      </c>
      <c r="Q313" s="260">
        <v>21</v>
      </c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</row>
    <row r="314" spans="1:525" s="121" customFormat="1" ht="68.25" hidden="1" customHeight="1" x14ac:dyDescent="0.25">
      <c r="A314" s="117" t="s">
        <v>599</v>
      </c>
      <c r="B314" s="147">
        <v>8741</v>
      </c>
      <c r="C314" s="147">
        <v>610</v>
      </c>
      <c r="D314" s="128" t="s">
        <v>600</v>
      </c>
      <c r="E314" s="81">
        <f t="shared" si="135"/>
        <v>0</v>
      </c>
      <c r="F314" s="81"/>
      <c r="G314" s="81"/>
      <c r="H314" s="81"/>
      <c r="I314" s="81"/>
      <c r="J314" s="81">
        <f t="shared" si="127"/>
        <v>0</v>
      </c>
      <c r="K314" s="81"/>
      <c r="L314" s="81"/>
      <c r="M314" s="81"/>
      <c r="N314" s="81"/>
      <c r="O314" s="81"/>
      <c r="P314" s="81">
        <f t="shared" si="126"/>
        <v>0</v>
      </c>
      <c r="Q314" s="26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1" customFormat="1" ht="69" hidden="1" customHeight="1" x14ac:dyDescent="0.25">
      <c r="A315" s="117" t="s">
        <v>595</v>
      </c>
      <c r="B315" s="118">
        <f>'дод 6'!A272</f>
        <v>8746</v>
      </c>
      <c r="C315" s="118">
        <f>'дод 6'!B272</f>
        <v>640</v>
      </c>
      <c r="D315" s="153" t="str">
        <f>'дод 6'!C272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5" s="81">
        <f t="shared" si="135"/>
        <v>0</v>
      </c>
      <c r="F315" s="81"/>
      <c r="G315" s="81"/>
      <c r="H315" s="81"/>
      <c r="I315" s="81"/>
      <c r="J315" s="81">
        <f t="shared" ref="J315" si="138">L315+O315</f>
        <v>0</v>
      </c>
      <c r="K315" s="81"/>
      <c r="L315" s="81"/>
      <c r="M315" s="81"/>
      <c r="N315" s="81"/>
      <c r="O315" s="81"/>
      <c r="P315" s="81">
        <f t="shared" ref="P315" si="139">E315+J315</f>
        <v>0</v>
      </c>
      <c r="Q315" s="26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</row>
    <row r="316" spans="1:525" s="121" customFormat="1" ht="38.25" hidden="1" customHeight="1" x14ac:dyDescent="0.25">
      <c r="A316" s="129" t="s">
        <v>589</v>
      </c>
      <c r="B316" s="130">
        <v>8775</v>
      </c>
      <c r="C316" s="129" t="s">
        <v>92</v>
      </c>
      <c r="D316" s="119" t="s">
        <v>585</v>
      </c>
      <c r="E316" s="81">
        <f t="shared" si="135"/>
        <v>0</v>
      </c>
      <c r="F316" s="81"/>
      <c r="G316" s="81"/>
      <c r="H316" s="81"/>
      <c r="I316" s="81"/>
      <c r="J316" s="81">
        <f t="shared" si="127"/>
        <v>0</v>
      </c>
      <c r="K316" s="81"/>
      <c r="L316" s="81"/>
      <c r="M316" s="81"/>
      <c r="N316" s="81"/>
      <c r="O316" s="81"/>
      <c r="P316" s="81">
        <f t="shared" si="126"/>
        <v>0</v>
      </c>
      <c r="Q316" s="26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</row>
    <row r="317" spans="1:525" s="121" customFormat="1" ht="78.75" hidden="1" customHeight="1" x14ac:dyDescent="0.25">
      <c r="A317" s="117" t="s">
        <v>532</v>
      </c>
      <c r="B317" s="118">
        <v>9730</v>
      </c>
      <c r="C317" s="117" t="s">
        <v>44</v>
      </c>
      <c r="D317" s="122" t="s">
        <v>533</v>
      </c>
      <c r="E317" s="81">
        <f t="shared" si="135"/>
        <v>0</v>
      </c>
      <c r="F317" s="81"/>
      <c r="G317" s="81"/>
      <c r="H317" s="81"/>
      <c r="I317" s="81"/>
      <c r="J317" s="81">
        <f t="shared" si="127"/>
        <v>0</v>
      </c>
      <c r="K317" s="81"/>
      <c r="L317" s="81"/>
      <c r="M317" s="81"/>
      <c r="N317" s="81"/>
      <c r="O317" s="81"/>
      <c r="P317" s="81">
        <f t="shared" si="126"/>
        <v>0</v>
      </c>
      <c r="Q317" s="26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</row>
    <row r="318" spans="1:525" s="121" customFormat="1" ht="36" hidden="1" customHeight="1" x14ac:dyDescent="0.25">
      <c r="A318" s="117" t="s">
        <v>577</v>
      </c>
      <c r="B318" s="118">
        <v>9750</v>
      </c>
      <c r="C318" s="117" t="s">
        <v>44</v>
      </c>
      <c r="D318" s="122" t="s">
        <v>495</v>
      </c>
      <c r="E318" s="81">
        <f t="shared" si="135"/>
        <v>0</v>
      </c>
      <c r="F318" s="81"/>
      <c r="G318" s="81"/>
      <c r="H318" s="81"/>
      <c r="I318" s="81"/>
      <c r="J318" s="81">
        <f t="shared" ref="J318" si="140">L318+O318</f>
        <v>0</v>
      </c>
      <c r="K318" s="81"/>
      <c r="L318" s="81"/>
      <c r="M318" s="81"/>
      <c r="N318" s="81"/>
      <c r="O318" s="81"/>
      <c r="P318" s="81">
        <f t="shared" si="126"/>
        <v>0</v>
      </c>
      <c r="Q318" s="26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1" customFormat="1" ht="20.25" customHeight="1" x14ac:dyDescent="0.25">
      <c r="A319" s="117" t="s">
        <v>201</v>
      </c>
      <c r="B319" s="118" t="str">
        <f>'дод 6'!A286</f>
        <v>9770</v>
      </c>
      <c r="C319" s="118" t="str">
        <f>'дод 6'!B286</f>
        <v>0180</v>
      </c>
      <c r="D319" s="122" t="str">
        <f>'дод 6'!C286</f>
        <v>Інші субвенції з місцевого бюджету</v>
      </c>
      <c r="E319" s="81">
        <f t="shared" si="125"/>
        <v>3905746</v>
      </c>
      <c r="F319" s="81">
        <f>3192750+712996</f>
        <v>3905746</v>
      </c>
      <c r="G319" s="81"/>
      <c r="H319" s="81"/>
      <c r="I319" s="81"/>
      <c r="J319" s="81">
        <f t="shared" si="127"/>
        <v>9917787.6099999994</v>
      </c>
      <c r="K319" s="81">
        <f>9807250+110537.61</f>
        <v>9917787.6099999994</v>
      </c>
      <c r="L319" s="81"/>
      <c r="M319" s="81"/>
      <c r="N319" s="81"/>
      <c r="O319" s="81">
        <f>9807250+110537.61</f>
        <v>9917787.6099999994</v>
      </c>
      <c r="P319" s="81">
        <f t="shared" si="126"/>
        <v>13823533.609999999</v>
      </c>
      <c r="Q319" s="26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</row>
    <row r="320" spans="1:525" s="121" customFormat="1" ht="52.5" hidden="1" customHeight="1" x14ac:dyDescent="0.25">
      <c r="A320" s="117" t="s">
        <v>596</v>
      </c>
      <c r="B320" s="118">
        <f>'дод 6'!A287</f>
        <v>9800</v>
      </c>
      <c r="C320" s="118" t="str">
        <f>'дод 6'!B287</f>
        <v>0180</v>
      </c>
      <c r="D320" s="153" t="str">
        <f>'дод 6'!C287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81">
        <f>F320</f>
        <v>0</v>
      </c>
      <c r="F320" s="81"/>
      <c r="G320" s="81"/>
      <c r="H320" s="81"/>
      <c r="I320" s="81"/>
      <c r="J320" s="81">
        <f t="shared" si="127"/>
        <v>0</v>
      </c>
      <c r="K320" s="81"/>
      <c r="L320" s="81"/>
      <c r="M320" s="81"/>
      <c r="N320" s="81"/>
      <c r="O320" s="81"/>
      <c r="P320" s="81">
        <f t="shared" si="126"/>
        <v>0</v>
      </c>
      <c r="Q320" s="26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</row>
    <row r="321" spans="1:525" s="111" customFormat="1" ht="33.75" customHeight="1" x14ac:dyDescent="0.25">
      <c r="A321" s="142" t="s">
        <v>26</v>
      </c>
      <c r="B321" s="148"/>
      <c r="C321" s="148"/>
      <c r="D321" s="138" t="s">
        <v>33</v>
      </c>
      <c r="E321" s="79">
        <f>E322</f>
        <v>778995.05</v>
      </c>
      <c r="F321" s="79">
        <f t="shared" ref="F321:J324" si="141">F322</f>
        <v>778995.05</v>
      </c>
      <c r="G321" s="79">
        <f t="shared" si="141"/>
        <v>620277.72</v>
      </c>
      <c r="H321" s="79">
        <f t="shared" si="141"/>
        <v>9318.73</v>
      </c>
      <c r="I321" s="79">
        <f t="shared" si="141"/>
        <v>0</v>
      </c>
      <c r="J321" s="79">
        <f t="shared" si="141"/>
        <v>0</v>
      </c>
      <c r="K321" s="79">
        <f t="shared" ref="K321:K324" si="142">K322</f>
        <v>0</v>
      </c>
      <c r="L321" s="79">
        <f t="shared" ref="L321:L324" si="143">L322</f>
        <v>0</v>
      </c>
      <c r="M321" s="79">
        <f t="shared" ref="M321:M324" si="144">M322</f>
        <v>0</v>
      </c>
      <c r="N321" s="79">
        <f t="shared" ref="N321:N324" si="145">N322</f>
        <v>0</v>
      </c>
      <c r="O321" s="79">
        <f t="shared" ref="O321:P324" si="146">O322</f>
        <v>0</v>
      </c>
      <c r="P321" s="79">
        <f t="shared" si="146"/>
        <v>778995.05</v>
      </c>
      <c r="Q321" s="26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  <c r="FB321" s="110"/>
      <c r="FC321" s="110"/>
      <c r="FD321" s="110"/>
      <c r="FE321" s="110"/>
      <c r="FF321" s="110"/>
      <c r="FG321" s="110"/>
      <c r="FH321" s="110"/>
      <c r="FI321" s="110"/>
      <c r="FJ321" s="110"/>
      <c r="FK321" s="110"/>
      <c r="FL321" s="110"/>
      <c r="FM321" s="110"/>
      <c r="FN321" s="110"/>
      <c r="FO321" s="110"/>
      <c r="FP321" s="110"/>
      <c r="FQ321" s="110"/>
      <c r="FR321" s="110"/>
      <c r="FS321" s="110"/>
      <c r="FT321" s="110"/>
      <c r="FU321" s="110"/>
      <c r="FV321" s="110"/>
      <c r="FW321" s="110"/>
      <c r="FX321" s="110"/>
      <c r="FY321" s="110"/>
      <c r="FZ321" s="110"/>
      <c r="GA321" s="110"/>
      <c r="GB321" s="110"/>
      <c r="GC321" s="110"/>
      <c r="GD321" s="110"/>
      <c r="GE321" s="110"/>
      <c r="GF321" s="110"/>
      <c r="GG321" s="110"/>
      <c r="GH321" s="110"/>
      <c r="GI321" s="110"/>
      <c r="GJ321" s="110"/>
      <c r="GK321" s="110"/>
      <c r="GL321" s="110"/>
      <c r="GM321" s="110"/>
      <c r="GN321" s="110"/>
      <c r="GO321" s="110"/>
      <c r="GP321" s="110"/>
      <c r="GQ321" s="110"/>
      <c r="GR321" s="110"/>
      <c r="GS321" s="110"/>
      <c r="GT321" s="110"/>
      <c r="GU321" s="110"/>
      <c r="GV321" s="110"/>
      <c r="GW321" s="110"/>
      <c r="GX321" s="110"/>
      <c r="GY321" s="110"/>
      <c r="GZ321" s="110"/>
      <c r="HA321" s="110"/>
      <c r="HB321" s="110"/>
      <c r="HC321" s="110"/>
      <c r="HD321" s="110"/>
      <c r="HE321" s="110"/>
      <c r="HF321" s="110"/>
      <c r="HG321" s="110"/>
      <c r="HH321" s="110"/>
      <c r="HI321" s="110"/>
      <c r="HJ321" s="110"/>
      <c r="HK321" s="110"/>
      <c r="HL321" s="110"/>
      <c r="HM321" s="110"/>
      <c r="HN321" s="110"/>
      <c r="HO321" s="110"/>
      <c r="HP321" s="110"/>
      <c r="HQ321" s="110"/>
      <c r="HR321" s="110"/>
      <c r="HS321" s="110"/>
      <c r="HT321" s="110"/>
      <c r="HU321" s="110"/>
      <c r="HV321" s="110"/>
      <c r="HW321" s="110"/>
      <c r="HX321" s="110"/>
      <c r="HY321" s="110"/>
      <c r="HZ321" s="110"/>
      <c r="IA321" s="110"/>
      <c r="IB321" s="110"/>
      <c r="IC321" s="110"/>
      <c r="ID321" s="110"/>
      <c r="IE321" s="110"/>
      <c r="IF321" s="110"/>
      <c r="IG321" s="110"/>
      <c r="IH321" s="110"/>
      <c r="II321" s="110"/>
      <c r="IJ321" s="110"/>
      <c r="IK321" s="110"/>
      <c r="IL321" s="110"/>
      <c r="IM321" s="110"/>
      <c r="IN321" s="110"/>
      <c r="IO321" s="110"/>
      <c r="IP321" s="110"/>
      <c r="IQ321" s="110"/>
      <c r="IR321" s="110"/>
      <c r="IS321" s="110"/>
      <c r="IT321" s="110"/>
      <c r="IU321" s="110"/>
      <c r="IV321" s="110"/>
      <c r="IW321" s="110"/>
      <c r="IX321" s="110"/>
      <c r="IY321" s="110"/>
      <c r="IZ321" s="110"/>
      <c r="JA321" s="110"/>
      <c r="JB321" s="110"/>
      <c r="JC321" s="110"/>
      <c r="JD321" s="110"/>
      <c r="JE321" s="110"/>
      <c r="JF321" s="110"/>
      <c r="JG321" s="110"/>
      <c r="JH321" s="110"/>
      <c r="JI321" s="110"/>
      <c r="JJ321" s="110"/>
      <c r="JK321" s="110"/>
      <c r="JL321" s="110"/>
      <c r="JM321" s="110"/>
      <c r="JN321" s="110"/>
      <c r="JO321" s="110"/>
      <c r="JP321" s="110"/>
      <c r="JQ321" s="110"/>
      <c r="JR321" s="110"/>
      <c r="JS321" s="110"/>
      <c r="JT321" s="110"/>
      <c r="JU321" s="110"/>
      <c r="JV321" s="110"/>
      <c r="JW321" s="110"/>
      <c r="JX321" s="110"/>
      <c r="JY321" s="110"/>
      <c r="JZ321" s="110"/>
      <c r="KA321" s="110"/>
      <c r="KB321" s="110"/>
      <c r="KC321" s="110"/>
      <c r="KD321" s="110"/>
      <c r="KE321" s="110"/>
      <c r="KF321" s="110"/>
      <c r="KG321" s="110"/>
      <c r="KH321" s="110"/>
      <c r="KI321" s="110"/>
      <c r="KJ321" s="110"/>
      <c r="KK321" s="110"/>
      <c r="KL321" s="110"/>
      <c r="KM321" s="110"/>
      <c r="KN321" s="110"/>
      <c r="KO321" s="110"/>
      <c r="KP321" s="110"/>
      <c r="KQ321" s="110"/>
      <c r="KR321" s="110"/>
      <c r="KS321" s="110"/>
      <c r="KT321" s="110"/>
      <c r="KU321" s="110"/>
      <c r="KV321" s="110"/>
      <c r="KW321" s="110"/>
      <c r="KX321" s="110"/>
      <c r="KY321" s="110"/>
      <c r="KZ321" s="110"/>
      <c r="LA321" s="110"/>
      <c r="LB321" s="110"/>
      <c r="LC321" s="110"/>
      <c r="LD321" s="110"/>
      <c r="LE321" s="110"/>
      <c r="LF321" s="110"/>
      <c r="LG321" s="110"/>
      <c r="LH321" s="110"/>
      <c r="LI321" s="110"/>
      <c r="LJ321" s="110"/>
      <c r="LK321" s="110"/>
      <c r="LL321" s="110"/>
      <c r="LM321" s="110"/>
      <c r="LN321" s="110"/>
      <c r="LO321" s="110"/>
      <c r="LP321" s="110"/>
      <c r="LQ321" s="110"/>
      <c r="LR321" s="110"/>
      <c r="LS321" s="110"/>
      <c r="LT321" s="110"/>
      <c r="LU321" s="110"/>
      <c r="LV321" s="110"/>
      <c r="LW321" s="110"/>
      <c r="LX321" s="110"/>
      <c r="LY321" s="110"/>
      <c r="LZ321" s="110"/>
      <c r="MA321" s="110"/>
      <c r="MB321" s="110"/>
      <c r="MC321" s="110"/>
      <c r="MD321" s="110"/>
      <c r="ME321" s="110"/>
      <c r="MF321" s="110"/>
      <c r="MG321" s="110"/>
      <c r="MH321" s="110"/>
      <c r="MI321" s="110"/>
      <c r="MJ321" s="110"/>
      <c r="MK321" s="110"/>
      <c r="ML321" s="110"/>
      <c r="MM321" s="110"/>
      <c r="MN321" s="110"/>
      <c r="MO321" s="110"/>
      <c r="MP321" s="110"/>
      <c r="MQ321" s="110"/>
      <c r="MR321" s="110"/>
      <c r="MS321" s="110"/>
      <c r="MT321" s="110"/>
      <c r="MU321" s="110"/>
      <c r="MV321" s="110"/>
      <c r="MW321" s="110"/>
      <c r="MX321" s="110"/>
      <c r="MY321" s="110"/>
      <c r="MZ321" s="110"/>
      <c r="NA321" s="110"/>
      <c r="NB321" s="110"/>
      <c r="NC321" s="110"/>
      <c r="ND321" s="110"/>
      <c r="NE321" s="110"/>
      <c r="NF321" s="110"/>
      <c r="NG321" s="110"/>
      <c r="NH321" s="110"/>
      <c r="NI321" s="110"/>
      <c r="NJ321" s="110"/>
      <c r="NK321" s="110"/>
      <c r="NL321" s="110"/>
      <c r="NM321" s="110"/>
      <c r="NN321" s="110"/>
      <c r="NO321" s="110"/>
      <c r="NP321" s="110"/>
      <c r="NQ321" s="110"/>
      <c r="NR321" s="110"/>
      <c r="NS321" s="110"/>
      <c r="NT321" s="110"/>
      <c r="NU321" s="110"/>
      <c r="NV321" s="110"/>
      <c r="NW321" s="110"/>
      <c r="NX321" s="110"/>
      <c r="NY321" s="110"/>
      <c r="NZ321" s="110"/>
      <c r="OA321" s="110"/>
      <c r="OB321" s="110"/>
      <c r="OC321" s="110"/>
      <c r="OD321" s="110"/>
      <c r="OE321" s="110"/>
      <c r="OF321" s="110"/>
      <c r="OG321" s="110"/>
      <c r="OH321" s="110"/>
      <c r="OI321" s="110"/>
      <c r="OJ321" s="110"/>
      <c r="OK321" s="110"/>
      <c r="OL321" s="110"/>
      <c r="OM321" s="110"/>
      <c r="ON321" s="110"/>
      <c r="OO321" s="110"/>
      <c r="OP321" s="110"/>
      <c r="OQ321" s="110"/>
      <c r="OR321" s="110"/>
      <c r="OS321" s="110"/>
      <c r="OT321" s="110"/>
      <c r="OU321" s="110"/>
      <c r="OV321" s="110"/>
      <c r="OW321" s="110"/>
      <c r="OX321" s="110"/>
      <c r="OY321" s="110"/>
      <c r="OZ321" s="110"/>
      <c r="PA321" s="110"/>
      <c r="PB321" s="110"/>
      <c r="PC321" s="110"/>
      <c r="PD321" s="110"/>
      <c r="PE321" s="110"/>
      <c r="PF321" s="110"/>
      <c r="PG321" s="110"/>
      <c r="PH321" s="110"/>
      <c r="PI321" s="110"/>
      <c r="PJ321" s="110"/>
      <c r="PK321" s="110"/>
      <c r="PL321" s="110"/>
      <c r="PM321" s="110"/>
      <c r="PN321" s="110"/>
      <c r="PO321" s="110"/>
      <c r="PP321" s="110"/>
      <c r="PQ321" s="110"/>
      <c r="PR321" s="110"/>
      <c r="PS321" s="110"/>
      <c r="PT321" s="110"/>
      <c r="PU321" s="110"/>
      <c r="PV321" s="110"/>
      <c r="PW321" s="110"/>
      <c r="PX321" s="110"/>
      <c r="PY321" s="110"/>
      <c r="PZ321" s="110"/>
      <c r="QA321" s="110"/>
      <c r="QB321" s="110"/>
      <c r="QC321" s="110"/>
      <c r="QD321" s="110"/>
      <c r="QE321" s="110"/>
      <c r="QF321" s="110"/>
      <c r="QG321" s="110"/>
      <c r="QH321" s="110"/>
      <c r="QI321" s="110"/>
      <c r="QJ321" s="110"/>
      <c r="QK321" s="110"/>
      <c r="QL321" s="110"/>
      <c r="QM321" s="110"/>
      <c r="QN321" s="110"/>
      <c r="QO321" s="110"/>
      <c r="QP321" s="110"/>
      <c r="QQ321" s="110"/>
      <c r="QR321" s="110"/>
      <c r="QS321" s="110"/>
      <c r="QT321" s="110"/>
      <c r="QU321" s="110"/>
      <c r="QV321" s="110"/>
      <c r="QW321" s="110"/>
      <c r="QX321" s="110"/>
      <c r="QY321" s="110"/>
      <c r="QZ321" s="110"/>
      <c r="RA321" s="110"/>
      <c r="RB321" s="110"/>
      <c r="RC321" s="110"/>
      <c r="RD321" s="110"/>
      <c r="RE321" s="110"/>
      <c r="RF321" s="110"/>
      <c r="RG321" s="110"/>
      <c r="RH321" s="110"/>
      <c r="RI321" s="110"/>
      <c r="RJ321" s="110"/>
      <c r="RK321" s="110"/>
      <c r="RL321" s="110"/>
      <c r="RM321" s="110"/>
      <c r="RN321" s="110"/>
      <c r="RO321" s="110"/>
      <c r="RP321" s="110"/>
      <c r="RQ321" s="110"/>
      <c r="RR321" s="110"/>
      <c r="RS321" s="110"/>
      <c r="RT321" s="110"/>
      <c r="RU321" s="110"/>
      <c r="RV321" s="110"/>
      <c r="RW321" s="110"/>
      <c r="RX321" s="110"/>
      <c r="RY321" s="110"/>
      <c r="RZ321" s="110"/>
      <c r="SA321" s="110"/>
      <c r="SB321" s="110"/>
      <c r="SC321" s="110"/>
      <c r="SD321" s="110"/>
      <c r="SE321" s="110"/>
      <c r="SF321" s="110"/>
      <c r="SG321" s="110"/>
      <c r="SH321" s="110"/>
      <c r="SI321" s="110"/>
      <c r="SJ321" s="110"/>
      <c r="SK321" s="110"/>
      <c r="SL321" s="110"/>
      <c r="SM321" s="110"/>
      <c r="SN321" s="110"/>
      <c r="SO321" s="110"/>
      <c r="SP321" s="110"/>
      <c r="SQ321" s="110"/>
      <c r="SR321" s="110"/>
      <c r="SS321" s="110"/>
      <c r="ST321" s="110"/>
      <c r="SU321" s="110"/>
      <c r="SV321" s="110"/>
      <c r="SW321" s="110"/>
      <c r="SX321" s="110"/>
      <c r="SY321" s="110"/>
      <c r="SZ321" s="110"/>
      <c r="TA321" s="110"/>
      <c r="TB321" s="110"/>
      <c r="TC321" s="110"/>
      <c r="TD321" s="110"/>
      <c r="TE321" s="110"/>
    </row>
    <row r="322" spans="1:525" s="116" customFormat="1" ht="36.75" customHeight="1" x14ac:dyDescent="0.25">
      <c r="A322" s="112" t="s">
        <v>116</v>
      </c>
      <c r="B322" s="141"/>
      <c r="C322" s="141"/>
      <c r="D322" s="114" t="s">
        <v>33</v>
      </c>
      <c r="E322" s="80">
        <f>E323</f>
        <v>778995.05</v>
      </c>
      <c r="F322" s="80">
        <f t="shared" si="141"/>
        <v>778995.05</v>
      </c>
      <c r="G322" s="80">
        <f t="shared" si="141"/>
        <v>620277.72</v>
      </c>
      <c r="H322" s="80">
        <f t="shared" si="141"/>
        <v>9318.73</v>
      </c>
      <c r="I322" s="80">
        <f t="shared" si="141"/>
        <v>0</v>
      </c>
      <c r="J322" s="80">
        <f t="shared" si="141"/>
        <v>0</v>
      </c>
      <c r="K322" s="80">
        <f t="shared" si="142"/>
        <v>0</v>
      </c>
      <c r="L322" s="80">
        <f t="shared" si="143"/>
        <v>0</v>
      </c>
      <c r="M322" s="80">
        <f t="shared" si="144"/>
        <v>0</v>
      </c>
      <c r="N322" s="80">
        <f t="shared" si="145"/>
        <v>0</v>
      </c>
      <c r="O322" s="80">
        <f t="shared" si="146"/>
        <v>0</v>
      </c>
      <c r="P322" s="80">
        <f t="shared" si="146"/>
        <v>778995.05</v>
      </c>
      <c r="Q322" s="260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  <c r="OH322" s="115"/>
      <c r="OI322" s="115"/>
      <c r="OJ322" s="115"/>
      <c r="OK322" s="115"/>
      <c r="OL322" s="115"/>
      <c r="OM322" s="115"/>
      <c r="ON322" s="115"/>
      <c r="OO322" s="115"/>
      <c r="OP322" s="115"/>
      <c r="OQ322" s="115"/>
      <c r="OR322" s="115"/>
      <c r="OS322" s="115"/>
      <c r="OT322" s="115"/>
      <c r="OU322" s="115"/>
      <c r="OV322" s="115"/>
      <c r="OW322" s="115"/>
      <c r="OX322" s="115"/>
      <c r="OY322" s="115"/>
      <c r="OZ322" s="115"/>
      <c r="PA322" s="115"/>
      <c r="PB322" s="115"/>
      <c r="PC322" s="115"/>
      <c r="PD322" s="115"/>
      <c r="PE322" s="115"/>
      <c r="PF322" s="115"/>
      <c r="PG322" s="115"/>
      <c r="PH322" s="115"/>
      <c r="PI322" s="115"/>
      <c r="PJ322" s="115"/>
      <c r="PK322" s="115"/>
      <c r="PL322" s="115"/>
      <c r="PM322" s="115"/>
      <c r="PN322" s="115"/>
      <c r="PO322" s="115"/>
      <c r="PP322" s="115"/>
      <c r="PQ322" s="115"/>
      <c r="PR322" s="115"/>
      <c r="PS322" s="115"/>
      <c r="PT322" s="115"/>
      <c r="PU322" s="115"/>
      <c r="PV322" s="115"/>
      <c r="PW322" s="115"/>
      <c r="PX322" s="115"/>
      <c r="PY322" s="115"/>
      <c r="PZ322" s="115"/>
      <c r="QA322" s="115"/>
      <c r="QB322" s="115"/>
      <c r="QC322" s="115"/>
      <c r="QD322" s="115"/>
      <c r="QE322" s="115"/>
      <c r="QF322" s="115"/>
      <c r="QG322" s="115"/>
      <c r="QH322" s="115"/>
      <c r="QI322" s="115"/>
      <c r="QJ322" s="115"/>
      <c r="QK322" s="115"/>
      <c r="QL322" s="115"/>
      <c r="QM322" s="115"/>
      <c r="QN322" s="115"/>
      <c r="QO322" s="115"/>
      <c r="QP322" s="115"/>
      <c r="QQ322" s="115"/>
      <c r="QR322" s="115"/>
      <c r="QS322" s="115"/>
      <c r="QT322" s="115"/>
      <c r="QU322" s="115"/>
      <c r="QV322" s="115"/>
      <c r="QW322" s="115"/>
      <c r="QX322" s="115"/>
      <c r="QY322" s="115"/>
      <c r="QZ322" s="115"/>
      <c r="RA322" s="115"/>
      <c r="RB322" s="115"/>
      <c r="RC322" s="115"/>
      <c r="RD322" s="115"/>
      <c r="RE322" s="115"/>
      <c r="RF322" s="115"/>
      <c r="RG322" s="115"/>
      <c r="RH322" s="115"/>
      <c r="RI322" s="115"/>
      <c r="RJ322" s="115"/>
      <c r="RK322" s="115"/>
      <c r="RL322" s="115"/>
      <c r="RM322" s="115"/>
      <c r="RN322" s="115"/>
      <c r="RO322" s="115"/>
      <c r="RP322" s="115"/>
      <c r="RQ322" s="115"/>
      <c r="RR322" s="115"/>
      <c r="RS322" s="115"/>
      <c r="RT322" s="115"/>
      <c r="RU322" s="115"/>
      <c r="RV322" s="115"/>
      <c r="RW322" s="115"/>
      <c r="RX322" s="115"/>
      <c r="RY322" s="115"/>
      <c r="RZ322" s="115"/>
      <c r="SA322" s="115"/>
      <c r="SB322" s="115"/>
      <c r="SC322" s="115"/>
      <c r="SD322" s="115"/>
      <c r="SE322" s="115"/>
      <c r="SF322" s="115"/>
      <c r="SG322" s="115"/>
      <c r="SH322" s="115"/>
      <c r="SI322" s="115"/>
      <c r="SJ322" s="115"/>
      <c r="SK322" s="115"/>
      <c r="SL322" s="115"/>
      <c r="SM322" s="115"/>
      <c r="SN322" s="115"/>
      <c r="SO322" s="115"/>
      <c r="SP322" s="115"/>
      <c r="SQ322" s="115"/>
      <c r="SR322" s="115"/>
      <c r="SS322" s="115"/>
      <c r="ST322" s="115"/>
      <c r="SU322" s="115"/>
      <c r="SV322" s="115"/>
      <c r="SW322" s="115"/>
      <c r="SX322" s="115"/>
      <c r="SY322" s="115"/>
      <c r="SZ322" s="115"/>
      <c r="TA322" s="115"/>
      <c r="TB322" s="115"/>
      <c r="TC322" s="115"/>
      <c r="TD322" s="115"/>
      <c r="TE322" s="115"/>
    </row>
    <row r="323" spans="1:525" s="121" customFormat="1" ht="51.75" customHeight="1" x14ac:dyDescent="0.25">
      <c r="A323" s="117" t="s">
        <v>0</v>
      </c>
      <c r="B323" s="118" t="str">
        <f>'дод 6'!A16</f>
        <v>0160</v>
      </c>
      <c r="C323" s="118" t="str">
        <f>'дод 6'!B16</f>
        <v>0111</v>
      </c>
      <c r="D32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23" s="81">
        <f>F323+I323</f>
        <v>778995.05</v>
      </c>
      <c r="F323" s="81">
        <f>1043300-33100-194824.49-36380.46</f>
        <v>778995.05</v>
      </c>
      <c r="G323" s="81">
        <f>784400-164122.28</f>
        <v>620277.72</v>
      </c>
      <c r="H323" s="81">
        <f>48300-33100-5881.27</f>
        <v>9318.73</v>
      </c>
      <c r="I323" s="81"/>
      <c r="J323" s="81">
        <f>L323+O323</f>
        <v>0</v>
      </c>
      <c r="K323" s="81"/>
      <c r="L323" s="81"/>
      <c r="M323" s="81"/>
      <c r="N323" s="81"/>
      <c r="O323" s="81"/>
      <c r="P323" s="81">
        <f>E323+J323</f>
        <v>778995.05</v>
      </c>
      <c r="Q323" s="26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</row>
    <row r="324" spans="1:525" s="111" customFormat="1" ht="33.75" hidden="1" customHeight="1" x14ac:dyDescent="0.25">
      <c r="A324" s="142" t="s">
        <v>26</v>
      </c>
      <c r="B324" s="148"/>
      <c r="C324" s="148"/>
      <c r="D324" s="138" t="s">
        <v>638</v>
      </c>
      <c r="E324" s="79">
        <f>E325</f>
        <v>0</v>
      </c>
      <c r="F324" s="79">
        <f t="shared" si="141"/>
        <v>0</v>
      </c>
      <c r="G324" s="79">
        <f t="shared" si="141"/>
        <v>0</v>
      </c>
      <c r="H324" s="79">
        <f t="shared" si="141"/>
        <v>0</v>
      </c>
      <c r="I324" s="79">
        <f t="shared" si="141"/>
        <v>0</v>
      </c>
      <c r="J324" s="79">
        <f t="shared" si="141"/>
        <v>0</v>
      </c>
      <c r="K324" s="79">
        <f t="shared" si="142"/>
        <v>0</v>
      </c>
      <c r="L324" s="79">
        <f t="shared" si="143"/>
        <v>0</v>
      </c>
      <c r="M324" s="79">
        <f t="shared" si="144"/>
        <v>0</v>
      </c>
      <c r="N324" s="79">
        <f t="shared" si="145"/>
        <v>0</v>
      </c>
      <c r="O324" s="79">
        <f t="shared" si="146"/>
        <v>0</v>
      </c>
      <c r="P324" s="79">
        <f t="shared" si="146"/>
        <v>0</v>
      </c>
      <c r="Q324" s="26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  <c r="FB324" s="110"/>
      <c r="FC324" s="110"/>
      <c r="FD324" s="110"/>
      <c r="FE324" s="110"/>
      <c r="FF324" s="110"/>
      <c r="FG324" s="110"/>
      <c r="FH324" s="110"/>
      <c r="FI324" s="110"/>
      <c r="FJ324" s="110"/>
      <c r="FK324" s="110"/>
      <c r="FL324" s="110"/>
      <c r="FM324" s="110"/>
      <c r="FN324" s="110"/>
      <c r="FO324" s="110"/>
      <c r="FP324" s="110"/>
      <c r="FQ324" s="110"/>
      <c r="FR324" s="110"/>
      <c r="FS324" s="110"/>
      <c r="FT324" s="110"/>
      <c r="FU324" s="110"/>
      <c r="FV324" s="110"/>
      <c r="FW324" s="110"/>
      <c r="FX324" s="110"/>
      <c r="FY324" s="110"/>
      <c r="FZ324" s="110"/>
      <c r="GA324" s="110"/>
      <c r="GB324" s="110"/>
      <c r="GC324" s="110"/>
      <c r="GD324" s="110"/>
      <c r="GE324" s="110"/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/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/>
      <c r="HN324" s="110"/>
      <c r="HO324" s="110"/>
      <c r="HP324" s="110"/>
      <c r="HQ324" s="110"/>
      <c r="HR324" s="110"/>
      <c r="HS324" s="110"/>
      <c r="HT324" s="110"/>
      <c r="HU324" s="110"/>
      <c r="HV324" s="110"/>
      <c r="HW324" s="110"/>
      <c r="HX324" s="110"/>
      <c r="HY324" s="110"/>
      <c r="HZ324" s="110"/>
      <c r="IA324" s="110"/>
      <c r="IB324" s="110"/>
      <c r="IC324" s="110"/>
      <c r="ID324" s="110"/>
      <c r="IE324" s="110"/>
      <c r="IF324" s="110"/>
      <c r="IG324" s="110"/>
      <c r="IH324" s="110"/>
      <c r="II324" s="110"/>
      <c r="IJ324" s="110"/>
      <c r="IK324" s="110"/>
      <c r="IL324" s="110"/>
      <c r="IM324" s="110"/>
      <c r="IN324" s="110"/>
      <c r="IO324" s="110"/>
      <c r="IP324" s="110"/>
      <c r="IQ324" s="110"/>
      <c r="IR324" s="110"/>
      <c r="IS324" s="110"/>
      <c r="IT324" s="110"/>
      <c r="IU324" s="110"/>
      <c r="IV324" s="110"/>
      <c r="IW324" s="110"/>
      <c r="IX324" s="110"/>
      <c r="IY324" s="110"/>
      <c r="IZ324" s="110"/>
      <c r="JA324" s="110"/>
      <c r="JB324" s="110"/>
      <c r="JC324" s="110"/>
      <c r="JD324" s="110"/>
      <c r="JE324" s="110"/>
      <c r="JF324" s="110"/>
      <c r="JG324" s="110"/>
      <c r="JH324" s="110"/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/>
      <c r="JT324" s="110"/>
      <c r="JU324" s="110"/>
      <c r="JV324" s="110"/>
      <c r="JW324" s="110"/>
      <c r="JX324" s="110"/>
      <c r="JY324" s="110"/>
      <c r="JZ324" s="110"/>
      <c r="KA324" s="110"/>
      <c r="KB324" s="110"/>
      <c r="KC324" s="110"/>
      <c r="KD324" s="110"/>
      <c r="KE324" s="110"/>
      <c r="KF324" s="110"/>
      <c r="KG324" s="110"/>
      <c r="KH324" s="110"/>
      <c r="KI324" s="110"/>
      <c r="KJ324" s="110"/>
      <c r="KK324" s="110"/>
      <c r="KL324" s="110"/>
      <c r="KM324" s="110"/>
      <c r="KN324" s="110"/>
      <c r="KO324" s="110"/>
      <c r="KP324" s="110"/>
      <c r="KQ324" s="110"/>
      <c r="KR324" s="110"/>
      <c r="KS324" s="110"/>
      <c r="KT324" s="110"/>
      <c r="KU324" s="110"/>
      <c r="KV324" s="110"/>
      <c r="KW324" s="110"/>
      <c r="KX324" s="110"/>
      <c r="KY324" s="110"/>
      <c r="KZ324" s="110"/>
      <c r="LA324" s="110"/>
      <c r="LB324" s="110"/>
      <c r="LC324" s="110"/>
      <c r="LD324" s="110"/>
      <c r="LE324" s="110"/>
      <c r="LF324" s="110"/>
      <c r="LG324" s="110"/>
      <c r="LH324" s="110"/>
      <c r="LI324" s="110"/>
      <c r="LJ324" s="110"/>
      <c r="LK324" s="110"/>
      <c r="LL324" s="110"/>
      <c r="LM324" s="110"/>
      <c r="LN324" s="110"/>
      <c r="LO324" s="110"/>
      <c r="LP324" s="110"/>
      <c r="LQ324" s="110"/>
      <c r="LR324" s="110"/>
      <c r="LS324" s="110"/>
      <c r="LT324" s="110"/>
      <c r="LU324" s="110"/>
      <c r="LV324" s="110"/>
      <c r="LW324" s="110"/>
      <c r="LX324" s="110"/>
      <c r="LY324" s="110"/>
      <c r="LZ324" s="110"/>
      <c r="MA324" s="110"/>
      <c r="MB324" s="110"/>
      <c r="MC324" s="110"/>
      <c r="MD324" s="110"/>
      <c r="ME324" s="110"/>
      <c r="MF324" s="110"/>
      <c r="MG324" s="110"/>
      <c r="MH324" s="110"/>
      <c r="MI324" s="110"/>
      <c r="MJ324" s="110"/>
      <c r="MK324" s="110"/>
      <c r="ML324" s="110"/>
      <c r="MM324" s="110"/>
      <c r="MN324" s="110"/>
      <c r="MO324" s="110"/>
      <c r="MP324" s="110"/>
      <c r="MQ324" s="110"/>
      <c r="MR324" s="110"/>
      <c r="MS324" s="110"/>
      <c r="MT324" s="110"/>
      <c r="MU324" s="110"/>
      <c r="MV324" s="110"/>
      <c r="MW324" s="110"/>
      <c r="MX324" s="110"/>
      <c r="MY324" s="110"/>
      <c r="MZ324" s="110"/>
      <c r="NA324" s="110"/>
      <c r="NB324" s="110"/>
      <c r="NC324" s="110"/>
      <c r="ND324" s="110"/>
      <c r="NE324" s="110"/>
      <c r="NF324" s="110"/>
      <c r="NG324" s="110"/>
      <c r="NH324" s="110"/>
      <c r="NI324" s="110"/>
      <c r="NJ324" s="110"/>
      <c r="NK324" s="110"/>
      <c r="NL324" s="110"/>
      <c r="NM324" s="110"/>
      <c r="NN324" s="110"/>
      <c r="NO324" s="110"/>
      <c r="NP324" s="110"/>
      <c r="NQ324" s="110"/>
      <c r="NR324" s="110"/>
      <c r="NS324" s="110"/>
      <c r="NT324" s="110"/>
      <c r="NU324" s="110"/>
      <c r="NV324" s="110"/>
      <c r="NW324" s="110"/>
      <c r="NX324" s="110"/>
      <c r="NY324" s="110"/>
      <c r="NZ324" s="110"/>
      <c r="OA324" s="110"/>
      <c r="OB324" s="110"/>
      <c r="OC324" s="110"/>
      <c r="OD324" s="110"/>
      <c r="OE324" s="110"/>
      <c r="OF324" s="110"/>
      <c r="OG324" s="110"/>
      <c r="OH324" s="110"/>
      <c r="OI324" s="110"/>
      <c r="OJ324" s="110"/>
      <c r="OK324" s="110"/>
      <c r="OL324" s="110"/>
      <c r="OM324" s="110"/>
      <c r="ON324" s="110"/>
      <c r="OO324" s="110"/>
      <c r="OP324" s="110"/>
      <c r="OQ324" s="110"/>
      <c r="OR324" s="110"/>
      <c r="OS324" s="110"/>
      <c r="OT324" s="110"/>
      <c r="OU324" s="110"/>
      <c r="OV324" s="110"/>
      <c r="OW324" s="110"/>
      <c r="OX324" s="110"/>
      <c r="OY324" s="110"/>
      <c r="OZ324" s="110"/>
      <c r="PA324" s="110"/>
      <c r="PB324" s="110"/>
      <c r="PC324" s="110"/>
      <c r="PD324" s="110"/>
      <c r="PE324" s="110"/>
      <c r="PF324" s="110"/>
      <c r="PG324" s="110"/>
      <c r="PH324" s="110"/>
      <c r="PI324" s="110"/>
      <c r="PJ324" s="110"/>
      <c r="PK324" s="110"/>
      <c r="PL324" s="110"/>
      <c r="PM324" s="110"/>
      <c r="PN324" s="110"/>
      <c r="PO324" s="110"/>
      <c r="PP324" s="110"/>
      <c r="PQ324" s="110"/>
      <c r="PR324" s="110"/>
      <c r="PS324" s="110"/>
      <c r="PT324" s="110"/>
      <c r="PU324" s="110"/>
      <c r="PV324" s="110"/>
      <c r="PW324" s="110"/>
      <c r="PX324" s="110"/>
      <c r="PY324" s="110"/>
      <c r="PZ324" s="110"/>
      <c r="QA324" s="110"/>
      <c r="QB324" s="110"/>
      <c r="QC324" s="110"/>
      <c r="QD324" s="110"/>
      <c r="QE324" s="110"/>
      <c r="QF324" s="110"/>
      <c r="QG324" s="110"/>
      <c r="QH324" s="110"/>
      <c r="QI324" s="110"/>
      <c r="QJ324" s="110"/>
      <c r="QK324" s="110"/>
      <c r="QL324" s="110"/>
      <c r="QM324" s="110"/>
      <c r="QN324" s="110"/>
      <c r="QO324" s="110"/>
      <c r="QP324" s="110"/>
      <c r="QQ324" s="110"/>
      <c r="QR324" s="110"/>
      <c r="QS324" s="110"/>
      <c r="QT324" s="110"/>
      <c r="QU324" s="110"/>
      <c r="QV324" s="110"/>
      <c r="QW324" s="110"/>
      <c r="QX324" s="110"/>
      <c r="QY324" s="110"/>
      <c r="QZ324" s="110"/>
      <c r="RA324" s="110"/>
      <c r="RB324" s="110"/>
      <c r="RC324" s="110"/>
      <c r="RD324" s="110"/>
      <c r="RE324" s="110"/>
      <c r="RF324" s="110"/>
      <c r="RG324" s="110"/>
      <c r="RH324" s="110"/>
      <c r="RI324" s="110"/>
      <c r="RJ324" s="110"/>
      <c r="RK324" s="110"/>
      <c r="RL324" s="110"/>
      <c r="RM324" s="110"/>
      <c r="RN324" s="110"/>
      <c r="RO324" s="110"/>
      <c r="RP324" s="110"/>
      <c r="RQ324" s="110"/>
      <c r="RR324" s="110"/>
      <c r="RS324" s="110"/>
      <c r="RT324" s="110"/>
      <c r="RU324" s="110"/>
      <c r="RV324" s="110"/>
      <c r="RW324" s="110"/>
      <c r="RX324" s="110"/>
      <c r="RY324" s="110"/>
      <c r="RZ324" s="110"/>
      <c r="SA324" s="110"/>
      <c r="SB324" s="110"/>
      <c r="SC324" s="110"/>
      <c r="SD324" s="110"/>
      <c r="SE324" s="110"/>
      <c r="SF324" s="110"/>
      <c r="SG324" s="110"/>
      <c r="SH324" s="110"/>
      <c r="SI324" s="110"/>
      <c r="SJ324" s="110"/>
      <c r="SK324" s="110"/>
      <c r="SL324" s="110"/>
      <c r="SM324" s="110"/>
      <c r="SN324" s="110"/>
      <c r="SO324" s="110"/>
      <c r="SP324" s="110"/>
      <c r="SQ324" s="110"/>
      <c r="SR324" s="110"/>
      <c r="SS324" s="110"/>
      <c r="ST324" s="110"/>
      <c r="SU324" s="110"/>
      <c r="SV324" s="110"/>
      <c r="SW324" s="110"/>
      <c r="SX324" s="110"/>
      <c r="SY324" s="110"/>
      <c r="SZ324" s="110"/>
      <c r="TA324" s="110"/>
      <c r="TB324" s="110"/>
      <c r="TC324" s="110"/>
      <c r="TD324" s="110"/>
      <c r="TE324" s="110"/>
    </row>
    <row r="325" spans="1:525" s="116" customFormat="1" ht="36.75" hidden="1" customHeight="1" x14ac:dyDescent="0.25">
      <c r="A325" s="112" t="s">
        <v>116</v>
      </c>
      <c r="B325" s="141"/>
      <c r="C325" s="141"/>
      <c r="D325" s="114" t="s">
        <v>638</v>
      </c>
      <c r="E325" s="80">
        <f>E326+E327</f>
        <v>0</v>
      </c>
      <c r="F325" s="80">
        <f t="shared" ref="F325:P325" si="147">F326+F327</f>
        <v>0</v>
      </c>
      <c r="G325" s="80">
        <f t="shared" si="147"/>
        <v>0</v>
      </c>
      <c r="H325" s="80">
        <f t="shared" si="147"/>
        <v>0</v>
      </c>
      <c r="I325" s="80">
        <f t="shared" si="147"/>
        <v>0</v>
      </c>
      <c r="J325" s="80">
        <f t="shared" si="147"/>
        <v>0</v>
      </c>
      <c r="K325" s="80">
        <f t="shared" si="147"/>
        <v>0</v>
      </c>
      <c r="L325" s="80">
        <f t="shared" si="147"/>
        <v>0</v>
      </c>
      <c r="M325" s="80">
        <f t="shared" si="147"/>
        <v>0</v>
      </c>
      <c r="N325" s="80">
        <f t="shared" si="147"/>
        <v>0</v>
      </c>
      <c r="O325" s="80">
        <f t="shared" si="147"/>
        <v>0</v>
      </c>
      <c r="P325" s="80">
        <f t="shared" si="147"/>
        <v>0</v>
      </c>
      <c r="Q325" s="260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  <c r="OH325" s="115"/>
      <c r="OI325" s="115"/>
      <c r="OJ325" s="115"/>
      <c r="OK325" s="115"/>
      <c r="OL325" s="115"/>
      <c r="OM325" s="115"/>
      <c r="ON325" s="115"/>
      <c r="OO325" s="115"/>
      <c r="OP325" s="115"/>
      <c r="OQ325" s="115"/>
      <c r="OR325" s="115"/>
      <c r="OS325" s="115"/>
      <c r="OT325" s="115"/>
      <c r="OU325" s="115"/>
      <c r="OV325" s="115"/>
      <c r="OW325" s="115"/>
      <c r="OX325" s="115"/>
      <c r="OY325" s="115"/>
      <c r="OZ325" s="115"/>
      <c r="PA325" s="115"/>
      <c r="PB325" s="115"/>
      <c r="PC325" s="115"/>
      <c r="PD325" s="115"/>
      <c r="PE325" s="115"/>
      <c r="PF325" s="115"/>
      <c r="PG325" s="115"/>
      <c r="PH325" s="115"/>
      <c r="PI325" s="115"/>
      <c r="PJ325" s="115"/>
      <c r="PK325" s="115"/>
      <c r="PL325" s="115"/>
      <c r="PM325" s="115"/>
      <c r="PN325" s="115"/>
      <c r="PO325" s="115"/>
      <c r="PP325" s="115"/>
      <c r="PQ325" s="115"/>
      <c r="PR325" s="115"/>
      <c r="PS325" s="115"/>
      <c r="PT325" s="115"/>
      <c r="PU325" s="115"/>
      <c r="PV325" s="115"/>
      <c r="PW325" s="115"/>
      <c r="PX325" s="115"/>
      <c r="PY325" s="115"/>
      <c r="PZ325" s="115"/>
      <c r="QA325" s="115"/>
      <c r="QB325" s="115"/>
      <c r="QC325" s="115"/>
      <c r="QD325" s="115"/>
      <c r="QE325" s="115"/>
      <c r="QF325" s="115"/>
      <c r="QG325" s="115"/>
      <c r="QH325" s="115"/>
      <c r="QI325" s="115"/>
      <c r="QJ325" s="115"/>
      <c r="QK325" s="115"/>
      <c r="QL325" s="115"/>
      <c r="QM325" s="115"/>
      <c r="QN325" s="115"/>
      <c r="QO325" s="115"/>
      <c r="QP325" s="115"/>
      <c r="QQ325" s="115"/>
      <c r="QR325" s="115"/>
      <c r="QS325" s="115"/>
      <c r="QT325" s="115"/>
      <c r="QU325" s="115"/>
      <c r="QV325" s="115"/>
      <c r="QW325" s="115"/>
      <c r="QX325" s="115"/>
      <c r="QY325" s="115"/>
      <c r="QZ325" s="115"/>
      <c r="RA325" s="115"/>
      <c r="RB325" s="115"/>
      <c r="RC325" s="115"/>
      <c r="RD325" s="115"/>
      <c r="RE325" s="115"/>
      <c r="RF325" s="115"/>
      <c r="RG325" s="115"/>
      <c r="RH325" s="115"/>
      <c r="RI325" s="115"/>
      <c r="RJ325" s="115"/>
      <c r="RK325" s="115"/>
      <c r="RL325" s="115"/>
      <c r="RM325" s="115"/>
      <c r="RN325" s="115"/>
      <c r="RO325" s="115"/>
      <c r="RP325" s="115"/>
      <c r="RQ325" s="115"/>
      <c r="RR325" s="115"/>
      <c r="RS325" s="115"/>
      <c r="RT325" s="115"/>
      <c r="RU325" s="115"/>
      <c r="RV325" s="115"/>
      <c r="RW325" s="115"/>
      <c r="RX325" s="115"/>
      <c r="RY325" s="115"/>
      <c r="RZ325" s="115"/>
      <c r="SA325" s="115"/>
      <c r="SB325" s="115"/>
      <c r="SC325" s="115"/>
      <c r="SD325" s="115"/>
      <c r="SE325" s="115"/>
      <c r="SF325" s="115"/>
      <c r="SG325" s="115"/>
      <c r="SH325" s="115"/>
      <c r="SI325" s="115"/>
      <c r="SJ325" s="115"/>
      <c r="SK325" s="115"/>
      <c r="SL325" s="115"/>
      <c r="SM325" s="115"/>
      <c r="SN325" s="115"/>
      <c r="SO325" s="115"/>
      <c r="SP325" s="115"/>
      <c r="SQ325" s="115"/>
      <c r="SR325" s="115"/>
      <c r="SS325" s="115"/>
      <c r="ST325" s="115"/>
      <c r="SU325" s="115"/>
      <c r="SV325" s="115"/>
      <c r="SW325" s="115"/>
      <c r="SX325" s="115"/>
      <c r="SY325" s="115"/>
      <c r="SZ325" s="115"/>
      <c r="TA325" s="115"/>
      <c r="TB325" s="115"/>
      <c r="TC325" s="115"/>
      <c r="TD325" s="115"/>
      <c r="TE325" s="115"/>
    </row>
    <row r="326" spans="1:525" s="121" customFormat="1" ht="51.75" hidden="1" customHeight="1" x14ac:dyDescent="0.25">
      <c r="A326" s="117" t="s">
        <v>0</v>
      </c>
      <c r="B326" s="118" t="str">
        <f>'дод 6'!A16</f>
        <v>0160</v>
      </c>
      <c r="C326" s="118" t="str">
        <f>'дод 6'!B16</f>
        <v>0111</v>
      </c>
      <c r="D326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26" s="81">
        <f>F326+I326</f>
        <v>0</v>
      </c>
      <c r="F326" s="81">
        <f>10047900-10047900</f>
        <v>0</v>
      </c>
      <c r="G326" s="81">
        <f>7966500-7966500</f>
        <v>0</v>
      </c>
      <c r="H326" s="81">
        <f>122300-122300</f>
        <v>0</v>
      </c>
      <c r="I326" s="81"/>
      <c r="J326" s="81">
        <f>L326+O326</f>
        <v>0</v>
      </c>
      <c r="K326" s="81">
        <f>8000-8000</f>
        <v>0</v>
      </c>
      <c r="L326" s="81"/>
      <c r="M326" s="81"/>
      <c r="N326" s="81"/>
      <c r="O326" s="81">
        <f>8000-8000</f>
        <v>0</v>
      </c>
      <c r="P326" s="81">
        <f>E326+J326</f>
        <v>0</v>
      </c>
      <c r="Q326" s="26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</row>
    <row r="327" spans="1:525" s="121" customFormat="1" ht="40.5" hidden="1" customHeight="1" x14ac:dyDescent="0.25">
      <c r="A327" s="117" t="s">
        <v>656</v>
      </c>
      <c r="B327" s="118" t="str">
        <f>'дод 6'!A238</f>
        <v>7610</v>
      </c>
      <c r="C327" s="118" t="str">
        <f>'дод 6'!B238</f>
        <v>0411</v>
      </c>
      <c r="D327" s="153" t="str">
        <f>'дод 6'!C238</f>
        <v>Сприяння розвитку малого та середнього підприємництва</v>
      </c>
      <c r="E327" s="81">
        <f>F327+I327</f>
        <v>0</v>
      </c>
      <c r="F327" s="81">
        <f>270000-50000-220000</f>
        <v>0</v>
      </c>
      <c r="G327" s="81"/>
      <c r="H327" s="81"/>
      <c r="I327" s="81">
        <f>250000+50000-300000</f>
        <v>0</v>
      </c>
      <c r="J327" s="81">
        <f>L327+O327</f>
        <v>0</v>
      </c>
      <c r="K327" s="81">
        <f>8000-8000</f>
        <v>0</v>
      </c>
      <c r="L327" s="81"/>
      <c r="M327" s="81"/>
      <c r="N327" s="81"/>
      <c r="O327" s="81">
        <f>8000-8000</f>
        <v>0</v>
      </c>
      <c r="P327" s="81">
        <f>E327+J327</f>
        <v>0</v>
      </c>
      <c r="Q327" s="26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</row>
    <row r="328" spans="1:525" s="111" customFormat="1" ht="47.25" customHeight="1" x14ac:dyDescent="0.25">
      <c r="A328" s="142" t="s">
        <v>27</v>
      </c>
      <c r="B328" s="148"/>
      <c r="C328" s="148"/>
      <c r="D328" s="138" t="s">
        <v>32</v>
      </c>
      <c r="E328" s="79">
        <f>E329</f>
        <v>7873980</v>
      </c>
      <c r="F328" s="79">
        <f t="shared" ref="F328:J328" si="148">F329</f>
        <v>7873980</v>
      </c>
      <c r="G328" s="79">
        <f t="shared" si="148"/>
        <v>4969400</v>
      </c>
      <c r="H328" s="79">
        <f t="shared" si="148"/>
        <v>150200</v>
      </c>
      <c r="I328" s="79">
        <f t="shared" si="148"/>
        <v>0</v>
      </c>
      <c r="J328" s="79">
        <f t="shared" si="148"/>
        <v>236716872.55000001</v>
      </c>
      <c r="K328" s="79">
        <f t="shared" ref="K328" si="149">K329</f>
        <v>236433660</v>
      </c>
      <c r="L328" s="79">
        <f t="shared" ref="L328" si="150">L329</f>
        <v>152500</v>
      </c>
      <c r="M328" s="79">
        <f t="shared" ref="M328" si="151">M329</f>
        <v>0</v>
      </c>
      <c r="N328" s="79">
        <f t="shared" ref="N328" si="152">N329</f>
        <v>0</v>
      </c>
      <c r="O328" s="79">
        <f t="shared" ref="O328:P328" si="153">O329</f>
        <v>236564372.55000001</v>
      </c>
      <c r="P328" s="79">
        <f t="shared" si="153"/>
        <v>244590852.55000001</v>
      </c>
      <c r="Q328" s="26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  <c r="FB328" s="110"/>
      <c r="FC328" s="110"/>
      <c r="FD328" s="110"/>
      <c r="FE328" s="110"/>
      <c r="FF328" s="110"/>
      <c r="FG328" s="110"/>
      <c r="FH328" s="110"/>
      <c r="FI328" s="110"/>
      <c r="FJ328" s="110"/>
      <c r="FK328" s="110"/>
      <c r="FL328" s="110"/>
      <c r="FM328" s="110"/>
      <c r="FN328" s="110"/>
      <c r="FO328" s="110"/>
      <c r="FP328" s="110"/>
      <c r="FQ328" s="110"/>
      <c r="FR328" s="110"/>
      <c r="FS328" s="110"/>
      <c r="FT328" s="110"/>
      <c r="FU328" s="110"/>
      <c r="FV328" s="110"/>
      <c r="FW328" s="110"/>
      <c r="FX328" s="110"/>
      <c r="FY328" s="110"/>
      <c r="FZ328" s="110"/>
      <c r="GA328" s="110"/>
      <c r="GB328" s="110"/>
      <c r="GC328" s="110"/>
      <c r="GD328" s="110"/>
      <c r="GE328" s="110"/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/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/>
      <c r="HN328" s="110"/>
      <c r="HO328" s="110"/>
      <c r="HP328" s="110"/>
      <c r="HQ328" s="110"/>
      <c r="HR328" s="110"/>
      <c r="HS328" s="110"/>
      <c r="HT328" s="110"/>
      <c r="HU328" s="110"/>
      <c r="HV328" s="110"/>
      <c r="HW328" s="110"/>
      <c r="HX328" s="110"/>
      <c r="HY328" s="110"/>
      <c r="HZ328" s="110"/>
      <c r="IA328" s="110"/>
      <c r="IB328" s="110"/>
      <c r="IC328" s="110"/>
      <c r="ID328" s="110"/>
      <c r="IE328" s="110"/>
      <c r="IF328" s="110"/>
      <c r="IG328" s="110"/>
      <c r="IH328" s="110"/>
      <c r="II328" s="110"/>
      <c r="IJ328" s="110"/>
      <c r="IK328" s="110"/>
      <c r="IL328" s="110"/>
      <c r="IM328" s="110"/>
      <c r="IN328" s="110"/>
      <c r="IO328" s="110"/>
      <c r="IP328" s="110"/>
      <c r="IQ328" s="110"/>
      <c r="IR328" s="110"/>
      <c r="IS328" s="110"/>
      <c r="IT328" s="110"/>
      <c r="IU328" s="110"/>
      <c r="IV328" s="110"/>
      <c r="IW328" s="110"/>
      <c r="IX328" s="110"/>
      <c r="IY328" s="110"/>
      <c r="IZ328" s="110"/>
      <c r="JA328" s="110"/>
      <c r="JB328" s="110"/>
      <c r="JC328" s="110"/>
      <c r="JD328" s="110"/>
      <c r="JE328" s="110"/>
      <c r="JF328" s="110"/>
      <c r="JG328" s="110"/>
      <c r="JH328" s="110"/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/>
      <c r="JT328" s="110"/>
      <c r="JU328" s="110"/>
      <c r="JV328" s="110"/>
      <c r="JW328" s="110"/>
      <c r="JX328" s="110"/>
      <c r="JY328" s="110"/>
      <c r="JZ328" s="110"/>
      <c r="KA328" s="110"/>
      <c r="KB328" s="110"/>
      <c r="KC328" s="110"/>
      <c r="KD328" s="110"/>
      <c r="KE328" s="110"/>
      <c r="KF328" s="110"/>
      <c r="KG328" s="110"/>
      <c r="KH328" s="110"/>
      <c r="KI328" s="110"/>
      <c r="KJ328" s="110"/>
      <c r="KK328" s="110"/>
      <c r="KL328" s="110"/>
      <c r="KM328" s="110"/>
      <c r="KN328" s="110"/>
      <c r="KO328" s="110"/>
      <c r="KP328" s="110"/>
      <c r="KQ328" s="110"/>
      <c r="KR328" s="110"/>
      <c r="KS328" s="110"/>
      <c r="KT328" s="110"/>
      <c r="KU328" s="110"/>
      <c r="KV328" s="110"/>
      <c r="KW328" s="110"/>
      <c r="KX328" s="110"/>
      <c r="KY328" s="110"/>
      <c r="KZ328" s="110"/>
      <c r="LA328" s="110"/>
      <c r="LB328" s="110"/>
      <c r="LC328" s="110"/>
      <c r="LD328" s="110"/>
      <c r="LE328" s="110"/>
      <c r="LF328" s="110"/>
      <c r="LG328" s="110"/>
      <c r="LH328" s="110"/>
      <c r="LI328" s="110"/>
      <c r="LJ328" s="110"/>
      <c r="LK328" s="110"/>
      <c r="LL328" s="110"/>
      <c r="LM328" s="110"/>
      <c r="LN328" s="110"/>
      <c r="LO328" s="110"/>
      <c r="LP328" s="110"/>
      <c r="LQ328" s="110"/>
      <c r="LR328" s="110"/>
      <c r="LS328" s="110"/>
      <c r="LT328" s="110"/>
      <c r="LU328" s="110"/>
      <c r="LV328" s="110"/>
      <c r="LW328" s="110"/>
      <c r="LX328" s="110"/>
      <c r="LY328" s="110"/>
      <c r="LZ328" s="110"/>
      <c r="MA328" s="110"/>
      <c r="MB328" s="110"/>
      <c r="MC328" s="110"/>
      <c r="MD328" s="110"/>
      <c r="ME328" s="110"/>
      <c r="MF328" s="110"/>
      <c r="MG328" s="110"/>
      <c r="MH328" s="110"/>
      <c r="MI328" s="110"/>
      <c r="MJ328" s="110"/>
      <c r="MK328" s="110"/>
      <c r="ML328" s="110"/>
      <c r="MM328" s="110"/>
      <c r="MN328" s="110"/>
      <c r="MO328" s="110"/>
      <c r="MP328" s="110"/>
      <c r="MQ328" s="110"/>
      <c r="MR328" s="110"/>
      <c r="MS328" s="110"/>
      <c r="MT328" s="110"/>
      <c r="MU328" s="110"/>
      <c r="MV328" s="110"/>
      <c r="MW328" s="110"/>
      <c r="MX328" s="110"/>
      <c r="MY328" s="110"/>
      <c r="MZ328" s="110"/>
      <c r="NA328" s="110"/>
      <c r="NB328" s="110"/>
      <c r="NC328" s="110"/>
      <c r="ND328" s="110"/>
      <c r="NE328" s="110"/>
      <c r="NF328" s="110"/>
      <c r="NG328" s="110"/>
      <c r="NH328" s="110"/>
      <c r="NI328" s="110"/>
      <c r="NJ328" s="110"/>
      <c r="NK328" s="110"/>
      <c r="NL328" s="110"/>
      <c r="NM328" s="110"/>
      <c r="NN328" s="110"/>
      <c r="NO328" s="110"/>
      <c r="NP328" s="110"/>
      <c r="NQ328" s="110"/>
      <c r="NR328" s="110"/>
      <c r="NS328" s="110"/>
      <c r="NT328" s="110"/>
      <c r="NU328" s="110"/>
      <c r="NV328" s="110"/>
      <c r="NW328" s="110"/>
      <c r="NX328" s="110"/>
      <c r="NY328" s="110"/>
      <c r="NZ328" s="110"/>
      <c r="OA328" s="110"/>
      <c r="OB328" s="110"/>
      <c r="OC328" s="110"/>
      <c r="OD328" s="110"/>
      <c r="OE328" s="110"/>
      <c r="OF328" s="110"/>
      <c r="OG328" s="110"/>
      <c r="OH328" s="110"/>
      <c r="OI328" s="110"/>
      <c r="OJ328" s="110"/>
      <c r="OK328" s="110"/>
      <c r="OL328" s="110"/>
      <c r="OM328" s="110"/>
      <c r="ON328" s="110"/>
      <c r="OO328" s="110"/>
      <c r="OP328" s="110"/>
      <c r="OQ328" s="110"/>
      <c r="OR328" s="110"/>
      <c r="OS328" s="110"/>
      <c r="OT328" s="110"/>
      <c r="OU328" s="110"/>
      <c r="OV328" s="110"/>
      <c r="OW328" s="110"/>
      <c r="OX328" s="110"/>
      <c r="OY328" s="110"/>
      <c r="OZ328" s="110"/>
      <c r="PA328" s="110"/>
      <c r="PB328" s="110"/>
      <c r="PC328" s="110"/>
      <c r="PD328" s="110"/>
      <c r="PE328" s="110"/>
      <c r="PF328" s="110"/>
      <c r="PG328" s="110"/>
      <c r="PH328" s="110"/>
      <c r="PI328" s="110"/>
      <c r="PJ328" s="110"/>
      <c r="PK328" s="110"/>
      <c r="PL328" s="110"/>
      <c r="PM328" s="110"/>
      <c r="PN328" s="110"/>
      <c r="PO328" s="110"/>
      <c r="PP328" s="110"/>
      <c r="PQ328" s="110"/>
      <c r="PR328" s="110"/>
      <c r="PS328" s="110"/>
      <c r="PT328" s="110"/>
      <c r="PU328" s="110"/>
      <c r="PV328" s="110"/>
      <c r="PW328" s="110"/>
      <c r="PX328" s="110"/>
      <c r="PY328" s="110"/>
      <c r="PZ328" s="110"/>
      <c r="QA328" s="110"/>
      <c r="QB328" s="110"/>
      <c r="QC328" s="110"/>
      <c r="QD328" s="110"/>
      <c r="QE328" s="110"/>
      <c r="QF328" s="110"/>
      <c r="QG328" s="110"/>
      <c r="QH328" s="110"/>
      <c r="QI328" s="110"/>
      <c r="QJ328" s="110"/>
      <c r="QK328" s="110"/>
      <c r="QL328" s="110"/>
      <c r="QM328" s="110"/>
      <c r="QN328" s="110"/>
      <c r="QO328" s="110"/>
      <c r="QP328" s="110"/>
      <c r="QQ328" s="110"/>
      <c r="QR328" s="110"/>
      <c r="QS328" s="110"/>
      <c r="QT328" s="110"/>
      <c r="QU328" s="110"/>
      <c r="QV328" s="110"/>
      <c r="QW328" s="110"/>
      <c r="QX328" s="110"/>
      <c r="QY328" s="110"/>
      <c r="QZ328" s="110"/>
      <c r="RA328" s="110"/>
      <c r="RB328" s="110"/>
      <c r="RC328" s="110"/>
      <c r="RD328" s="110"/>
      <c r="RE328" s="110"/>
      <c r="RF328" s="110"/>
      <c r="RG328" s="110"/>
      <c r="RH328" s="110"/>
      <c r="RI328" s="110"/>
      <c r="RJ328" s="110"/>
      <c r="RK328" s="110"/>
      <c r="RL328" s="110"/>
      <c r="RM328" s="110"/>
      <c r="RN328" s="110"/>
      <c r="RO328" s="110"/>
      <c r="RP328" s="110"/>
      <c r="RQ328" s="110"/>
      <c r="RR328" s="110"/>
      <c r="RS328" s="110"/>
      <c r="RT328" s="110"/>
      <c r="RU328" s="110"/>
      <c r="RV328" s="110"/>
      <c r="RW328" s="110"/>
      <c r="RX328" s="110"/>
      <c r="RY328" s="110"/>
      <c r="RZ328" s="110"/>
      <c r="SA328" s="110"/>
      <c r="SB328" s="110"/>
      <c r="SC328" s="110"/>
      <c r="SD328" s="110"/>
      <c r="SE328" s="110"/>
      <c r="SF328" s="110"/>
      <c r="SG328" s="110"/>
      <c r="SH328" s="110"/>
      <c r="SI328" s="110"/>
      <c r="SJ328" s="110"/>
      <c r="SK328" s="110"/>
      <c r="SL328" s="110"/>
      <c r="SM328" s="110"/>
      <c r="SN328" s="110"/>
      <c r="SO328" s="110"/>
      <c r="SP328" s="110"/>
      <c r="SQ328" s="110"/>
      <c r="SR328" s="110"/>
      <c r="SS328" s="110"/>
      <c r="ST328" s="110"/>
      <c r="SU328" s="110"/>
      <c r="SV328" s="110"/>
      <c r="SW328" s="110"/>
      <c r="SX328" s="110"/>
      <c r="SY328" s="110"/>
      <c r="SZ328" s="110"/>
      <c r="TA328" s="110"/>
      <c r="TB328" s="110"/>
      <c r="TC328" s="110"/>
      <c r="TD328" s="110"/>
      <c r="TE328" s="110"/>
    </row>
    <row r="329" spans="1:525" s="116" customFormat="1" ht="47.25" x14ac:dyDescent="0.25">
      <c r="A329" s="112" t="s">
        <v>28</v>
      </c>
      <c r="B329" s="141"/>
      <c r="C329" s="141"/>
      <c r="D329" s="114" t="s">
        <v>411</v>
      </c>
      <c r="E329" s="80">
        <f>SUM(E333+E334+E335+E336+E337+E338+E342+E343+E344+E345+E346+E348+E349+E350+E351+E353+E354+E347+E356+E357+E339+E340)</f>
        <v>7873980</v>
      </c>
      <c r="F329" s="80">
        <f t="shared" ref="F329:P329" si="154">SUM(F333+F334+F335+F336+F337+F338+F342+F343+F344+F345+F346+F348+F349+F350+F351+F353+F354+F347+F356+F357+F339+F340)</f>
        <v>7873980</v>
      </c>
      <c r="G329" s="80">
        <f t="shared" si="154"/>
        <v>4969400</v>
      </c>
      <c r="H329" s="80">
        <f t="shared" si="154"/>
        <v>150200</v>
      </c>
      <c r="I329" s="80">
        <f t="shared" si="154"/>
        <v>0</v>
      </c>
      <c r="J329" s="80">
        <f t="shared" si="154"/>
        <v>236716872.55000001</v>
      </c>
      <c r="K329" s="80">
        <f t="shared" si="154"/>
        <v>236433660</v>
      </c>
      <c r="L329" s="80">
        <f t="shared" si="154"/>
        <v>152500</v>
      </c>
      <c r="M329" s="80">
        <f t="shared" si="154"/>
        <v>0</v>
      </c>
      <c r="N329" s="80">
        <f t="shared" si="154"/>
        <v>0</v>
      </c>
      <c r="O329" s="80">
        <f t="shared" si="154"/>
        <v>236564372.55000001</v>
      </c>
      <c r="P329" s="80">
        <f t="shared" si="154"/>
        <v>244590852.55000001</v>
      </c>
      <c r="Q329" s="260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  <c r="OH329" s="115"/>
      <c r="OI329" s="115"/>
      <c r="OJ329" s="115"/>
      <c r="OK329" s="115"/>
      <c r="OL329" s="115"/>
      <c r="OM329" s="115"/>
      <c r="ON329" s="115"/>
      <c r="OO329" s="115"/>
      <c r="OP329" s="115"/>
      <c r="OQ329" s="115"/>
      <c r="OR329" s="115"/>
      <c r="OS329" s="115"/>
      <c r="OT329" s="115"/>
      <c r="OU329" s="115"/>
      <c r="OV329" s="115"/>
      <c r="OW329" s="115"/>
      <c r="OX329" s="115"/>
      <c r="OY329" s="115"/>
      <c r="OZ329" s="115"/>
      <c r="PA329" s="115"/>
      <c r="PB329" s="115"/>
      <c r="PC329" s="115"/>
      <c r="PD329" s="115"/>
      <c r="PE329" s="115"/>
      <c r="PF329" s="115"/>
      <c r="PG329" s="115"/>
      <c r="PH329" s="115"/>
      <c r="PI329" s="115"/>
      <c r="PJ329" s="115"/>
      <c r="PK329" s="115"/>
      <c r="PL329" s="115"/>
      <c r="PM329" s="115"/>
      <c r="PN329" s="115"/>
      <c r="PO329" s="115"/>
      <c r="PP329" s="115"/>
      <c r="PQ329" s="115"/>
      <c r="PR329" s="115"/>
      <c r="PS329" s="115"/>
      <c r="PT329" s="115"/>
      <c r="PU329" s="115"/>
      <c r="PV329" s="115"/>
      <c r="PW329" s="115"/>
      <c r="PX329" s="115"/>
      <c r="PY329" s="115"/>
      <c r="PZ329" s="115"/>
      <c r="QA329" s="115"/>
      <c r="QB329" s="115"/>
      <c r="QC329" s="115"/>
      <c r="QD329" s="115"/>
      <c r="QE329" s="115"/>
      <c r="QF329" s="115"/>
      <c r="QG329" s="115"/>
      <c r="QH329" s="115"/>
      <c r="QI329" s="115"/>
      <c r="QJ329" s="115"/>
      <c r="QK329" s="115"/>
      <c r="QL329" s="115"/>
      <c r="QM329" s="115"/>
      <c r="QN329" s="115"/>
      <c r="QO329" s="115"/>
      <c r="QP329" s="115"/>
      <c r="QQ329" s="115"/>
      <c r="QR329" s="115"/>
      <c r="QS329" s="115"/>
      <c r="QT329" s="115"/>
      <c r="QU329" s="115"/>
      <c r="QV329" s="115"/>
      <c r="QW329" s="115"/>
      <c r="QX329" s="115"/>
      <c r="QY329" s="115"/>
      <c r="QZ329" s="115"/>
      <c r="RA329" s="115"/>
      <c r="RB329" s="115"/>
      <c r="RC329" s="115"/>
      <c r="RD329" s="115"/>
      <c r="RE329" s="115"/>
      <c r="RF329" s="115"/>
      <c r="RG329" s="115"/>
      <c r="RH329" s="115"/>
      <c r="RI329" s="115"/>
      <c r="RJ329" s="115"/>
      <c r="RK329" s="115"/>
      <c r="RL329" s="115"/>
      <c r="RM329" s="115"/>
      <c r="RN329" s="115"/>
      <c r="RO329" s="115"/>
      <c r="RP329" s="115"/>
      <c r="RQ329" s="115"/>
      <c r="RR329" s="115"/>
      <c r="RS329" s="115"/>
      <c r="RT329" s="115"/>
      <c r="RU329" s="115"/>
      <c r="RV329" s="115"/>
      <c r="RW329" s="115"/>
      <c r="RX329" s="115"/>
      <c r="RY329" s="115"/>
      <c r="RZ329" s="115"/>
      <c r="SA329" s="115"/>
      <c r="SB329" s="115"/>
      <c r="SC329" s="115"/>
      <c r="SD329" s="115"/>
      <c r="SE329" s="115"/>
      <c r="SF329" s="115"/>
      <c r="SG329" s="115"/>
      <c r="SH329" s="115"/>
      <c r="SI329" s="115"/>
      <c r="SJ329" s="115"/>
      <c r="SK329" s="115"/>
      <c r="SL329" s="115"/>
      <c r="SM329" s="115"/>
      <c r="SN329" s="115"/>
      <c r="SO329" s="115"/>
      <c r="SP329" s="115"/>
      <c r="SQ329" s="115"/>
      <c r="SR329" s="115"/>
      <c r="SS329" s="115"/>
      <c r="ST329" s="115"/>
      <c r="SU329" s="115"/>
      <c r="SV329" s="115"/>
      <c r="SW329" s="115"/>
      <c r="SX329" s="115"/>
      <c r="SY329" s="115"/>
      <c r="SZ329" s="115"/>
      <c r="TA329" s="115"/>
      <c r="TB329" s="115"/>
      <c r="TC329" s="115"/>
      <c r="TD329" s="115"/>
      <c r="TE329" s="115"/>
    </row>
    <row r="330" spans="1:525" s="116" customFormat="1" ht="63" hidden="1" customHeight="1" x14ac:dyDescent="0.25">
      <c r="A330" s="112"/>
      <c r="B330" s="141"/>
      <c r="C330" s="141"/>
      <c r="D330" s="114" t="s">
        <v>602</v>
      </c>
      <c r="E330" s="80">
        <f>E352</f>
        <v>0</v>
      </c>
      <c r="F330" s="80">
        <f>F352</f>
        <v>0</v>
      </c>
      <c r="G330" s="80">
        <f t="shared" ref="G330:O330" si="155">G352</f>
        <v>0</v>
      </c>
      <c r="H330" s="80">
        <f t="shared" si="155"/>
        <v>0</v>
      </c>
      <c r="I330" s="80">
        <f t="shared" si="155"/>
        <v>0</v>
      </c>
      <c r="J330" s="80">
        <f>J352</f>
        <v>0</v>
      </c>
      <c r="K330" s="80">
        <f t="shared" si="155"/>
        <v>0</v>
      </c>
      <c r="L330" s="80">
        <f t="shared" si="155"/>
        <v>0</v>
      </c>
      <c r="M330" s="80">
        <f t="shared" si="155"/>
        <v>0</v>
      </c>
      <c r="N330" s="80">
        <f t="shared" si="155"/>
        <v>0</v>
      </c>
      <c r="O330" s="80">
        <f t="shared" si="155"/>
        <v>0</v>
      </c>
      <c r="P330" s="80">
        <f>P352</f>
        <v>0</v>
      </c>
      <c r="Q330" s="260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  <c r="OH330" s="115"/>
      <c r="OI330" s="115"/>
      <c r="OJ330" s="115"/>
      <c r="OK330" s="115"/>
      <c r="OL330" s="115"/>
      <c r="OM330" s="115"/>
      <c r="ON330" s="115"/>
      <c r="OO330" s="115"/>
      <c r="OP330" s="115"/>
      <c r="OQ330" s="115"/>
      <c r="OR330" s="115"/>
      <c r="OS330" s="115"/>
      <c r="OT330" s="115"/>
      <c r="OU330" s="115"/>
      <c r="OV330" s="115"/>
      <c r="OW330" s="115"/>
      <c r="OX330" s="115"/>
      <c r="OY330" s="115"/>
      <c r="OZ330" s="115"/>
      <c r="PA330" s="115"/>
      <c r="PB330" s="115"/>
      <c r="PC330" s="115"/>
      <c r="PD330" s="115"/>
      <c r="PE330" s="115"/>
      <c r="PF330" s="115"/>
      <c r="PG330" s="115"/>
      <c r="PH330" s="115"/>
      <c r="PI330" s="115"/>
      <c r="PJ330" s="115"/>
      <c r="PK330" s="115"/>
      <c r="PL330" s="115"/>
      <c r="PM330" s="115"/>
      <c r="PN330" s="115"/>
      <c r="PO330" s="115"/>
      <c r="PP330" s="115"/>
      <c r="PQ330" s="115"/>
      <c r="PR330" s="115"/>
      <c r="PS330" s="115"/>
      <c r="PT330" s="115"/>
      <c r="PU330" s="115"/>
      <c r="PV330" s="115"/>
      <c r="PW330" s="115"/>
      <c r="PX330" s="115"/>
      <c r="PY330" s="115"/>
      <c r="PZ330" s="115"/>
      <c r="QA330" s="115"/>
      <c r="QB330" s="115"/>
      <c r="QC330" s="115"/>
      <c r="QD330" s="115"/>
      <c r="QE330" s="115"/>
      <c r="QF330" s="115"/>
      <c r="QG330" s="115"/>
      <c r="QH330" s="115"/>
      <c r="QI330" s="115"/>
      <c r="QJ330" s="115"/>
      <c r="QK330" s="115"/>
      <c r="QL330" s="115"/>
      <c r="QM330" s="115"/>
      <c r="QN330" s="115"/>
      <c r="QO330" s="115"/>
      <c r="QP330" s="115"/>
      <c r="QQ330" s="115"/>
      <c r="QR330" s="115"/>
      <c r="QS330" s="115"/>
      <c r="QT330" s="115"/>
      <c r="QU330" s="115"/>
      <c r="QV330" s="115"/>
      <c r="QW330" s="115"/>
      <c r="QX330" s="115"/>
      <c r="QY330" s="115"/>
      <c r="QZ330" s="115"/>
      <c r="RA330" s="115"/>
      <c r="RB330" s="115"/>
      <c r="RC330" s="115"/>
      <c r="RD330" s="115"/>
      <c r="RE330" s="115"/>
      <c r="RF330" s="115"/>
      <c r="RG330" s="115"/>
      <c r="RH330" s="115"/>
      <c r="RI330" s="115"/>
      <c r="RJ330" s="115"/>
      <c r="RK330" s="115"/>
      <c r="RL330" s="115"/>
      <c r="RM330" s="115"/>
      <c r="RN330" s="115"/>
      <c r="RO330" s="115"/>
      <c r="RP330" s="115"/>
      <c r="RQ330" s="115"/>
      <c r="RR330" s="115"/>
      <c r="RS330" s="115"/>
      <c r="RT330" s="115"/>
      <c r="RU330" s="115"/>
      <c r="RV330" s="115"/>
      <c r="RW330" s="115"/>
      <c r="RX330" s="115"/>
      <c r="RY330" s="115"/>
      <c r="RZ330" s="115"/>
      <c r="SA330" s="115"/>
      <c r="SB330" s="115"/>
      <c r="SC330" s="115"/>
      <c r="SD330" s="115"/>
      <c r="SE330" s="115"/>
      <c r="SF330" s="115"/>
      <c r="SG330" s="115"/>
      <c r="SH330" s="115"/>
      <c r="SI330" s="115"/>
      <c r="SJ330" s="115"/>
      <c r="SK330" s="115"/>
      <c r="SL330" s="115"/>
      <c r="SM330" s="115"/>
      <c r="SN330" s="115"/>
      <c r="SO330" s="115"/>
      <c r="SP330" s="115"/>
      <c r="SQ330" s="115"/>
      <c r="SR330" s="115"/>
      <c r="SS330" s="115"/>
      <c r="ST330" s="115"/>
      <c r="SU330" s="115"/>
      <c r="SV330" s="115"/>
      <c r="SW330" s="115"/>
      <c r="SX330" s="115"/>
      <c r="SY330" s="115"/>
      <c r="SZ330" s="115"/>
      <c r="TA330" s="115"/>
      <c r="TB330" s="115"/>
      <c r="TC330" s="115"/>
      <c r="TD330" s="115"/>
      <c r="TE330" s="115"/>
    </row>
    <row r="331" spans="1:525" s="116" customFormat="1" ht="64.5" customHeight="1" x14ac:dyDescent="0.25">
      <c r="A331" s="112"/>
      <c r="B331" s="141"/>
      <c r="C331" s="141"/>
      <c r="D331" s="114" t="s">
        <v>704</v>
      </c>
      <c r="E331" s="80"/>
      <c r="F331" s="80"/>
      <c r="G331" s="80"/>
      <c r="H331" s="80"/>
      <c r="I331" s="80"/>
      <c r="J331" s="80">
        <f>J341</f>
        <v>6800000</v>
      </c>
      <c r="K331" s="80">
        <f t="shared" ref="K331:P331" si="156">K341</f>
        <v>6800000</v>
      </c>
      <c r="L331" s="80">
        <f t="shared" si="156"/>
        <v>0</v>
      </c>
      <c r="M331" s="80">
        <f t="shared" si="156"/>
        <v>0</v>
      </c>
      <c r="N331" s="80">
        <f t="shared" si="156"/>
        <v>0</v>
      </c>
      <c r="O331" s="80">
        <f t="shared" si="156"/>
        <v>6800000</v>
      </c>
      <c r="P331" s="80">
        <f t="shared" si="156"/>
        <v>6800000</v>
      </c>
      <c r="Q331" s="260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  <c r="OH331" s="115"/>
      <c r="OI331" s="115"/>
      <c r="OJ331" s="115"/>
      <c r="OK331" s="115"/>
      <c r="OL331" s="115"/>
      <c r="OM331" s="115"/>
      <c r="ON331" s="115"/>
      <c r="OO331" s="115"/>
      <c r="OP331" s="115"/>
      <c r="OQ331" s="115"/>
      <c r="OR331" s="115"/>
      <c r="OS331" s="115"/>
      <c r="OT331" s="115"/>
      <c r="OU331" s="115"/>
      <c r="OV331" s="115"/>
      <c r="OW331" s="115"/>
      <c r="OX331" s="115"/>
      <c r="OY331" s="115"/>
      <c r="OZ331" s="115"/>
      <c r="PA331" s="115"/>
      <c r="PB331" s="115"/>
      <c r="PC331" s="115"/>
      <c r="PD331" s="115"/>
      <c r="PE331" s="115"/>
      <c r="PF331" s="115"/>
      <c r="PG331" s="115"/>
      <c r="PH331" s="115"/>
      <c r="PI331" s="115"/>
      <c r="PJ331" s="115"/>
      <c r="PK331" s="115"/>
      <c r="PL331" s="115"/>
      <c r="PM331" s="115"/>
      <c r="PN331" s="115"/>
      <c r="PO331" s="115"/>
      <c r="PP331" s="115"/>
      <c r="PQ331" s="115"/>
      <c r="PR331" s="115"/>
      <c r="PS331" s="115"/>
      <c r="PT331" s="115"/>
      <c r="PU331" s="115"/>
      <c r="PV331" s="115"/>
      <c r="PW331" s="115"/>
      <c r="PX331" s="115"/>
      <c r="PY331" s="115"/>
      <c r="PZ331" s="115"/>
      <c r="QA331" s="115"/>
      <c r="QB331" s="115"/>
      <c r="QC331" s="115"/>
      <c r="QD331" s="115"/>
      <c r="QE331" s="115"/>
      <c r="QF331" s="115"/>
      <c r="QG331" s="115"/>
      <c r="QH331" s="115"/>
      <c r="QI331" s="115"/>
      <c r="QJ331" s="115"/>
      <c r="QK331" s="115"/>
      <c r="QL331" s="115"/>
      <c r="QM331" s="115"/>
      <c r="QN331" s="115"/>
      <c r="QO331" s="115"/>
      <c r="QP331" s="115"/>
      <c r="QQ331" s="115"/>
      <c r="QR331" s="115"/>
      <c r="QS331" s="115"/>
      <c r="QT331" s="115"/>
      <c r="QU331" s="115"/>
      <c r="QV331" s="115"/>
      <c r="QW331" s="115"/>
      <c r="QX331" s="115"/>
      <c r="QY331" s="115"/>
      <c r="QZ331" s="115"/>
      <c r="RA331" s="115"/>
      <c r="RB331" s="115"/>
      <c r="RC331" s="115"/>
      <c r="RD331" s="115"/>
      <c r="RE331" s="115"/>
      <c r="RF331" s="115"/>
      <c r="RG331" s="115"/>
      <c r="RH331" s="115"/>
      <c r="RI331" s="115"/>
      <c r="RJ331" s="115"/>
      <c r="RK331" s="115"/>
      <c r="RL331" s="115"/>
      <c r="RM331" s="115"/>
      <c r="RN331" s="115"/>
      <c r="RO331" s="115"/>
      <c r="RP331" s="115"/>
      <c r="RQ331" s="115"/>
      <c r="RR331" s="115"/>
      <c r="RS331" s="115"/>
      <c r="RT331" s="115"/>
      <c r="RU331" s="115"/>
      <c r="RV331" s="115"/>
      <c r="RW331" s="115"/>
      <c r="RX331" s="115"/>
      <c r="RY331" s="115"/>
      <c r="RZ331" s="115"/>
      <c r="SA331" s="115"/>
      <c r="SB331" s="115"/>
      <c r="SC331" s="115"/>
      <c r="SD331" s="115"/>
      <c r="SE331" s="115"/>
      <c r="SF331" s="115"/>
      <c r="SG331" s="115"/>
      <c r="SH331" s="115"/>
      <c r="SI331" s="115"/>
      <c r="SJ331" s="115"/>
      <c r="SK331" s="115"/>
      <c r="SL331" s="115"/>
      <c r="SM331" s="115"/>
      <c r="SN331" s="115"/>
      <c r="SO331" s="115"/>
      <c r="SP331" s="115"/>
      <c r="SQ331" s="115"/>
      <c r="SR331" s="115"/>
      <c r="SS331" s="115"/>
      <c r="ST331" s="115"/>
      <c r="SU331" s="115"/>
      <c r="SV331" s="115"/>
      <c r="SW331" s="115"/>
      <c r="SX331" s="115"/>
      <c r="SY331" s="115"/>
      <c r="SZ331" s="115"/>
      <c r="TA331" s="115"/>
      <c r="TB331" s="115"/>
      <c r="TC331" s="115"/>
      <c r="TD331" s="115"/>
      <c r="TE331" s="115"/>
    </row>
    <row r="332" spans="1:525" s="116" customFormat="1" ht="17.25" customHeight="1" x14ac:dyDescent="0.25">
      <c r="A332" s="112"/>
      <c r="B332" s="141"/>
      <c r="C332" s="141"/>
      <c r="D332" s="149" t="s">
        <v>410</v>
      </c>
      <c r="E332" s="80">
        <f>E355</f>
        <v>0</v>
      </c>
      <c r="F332" s="80">
        <f t="shared" ref="F332:P332" si="157">F355</f>
        <v>0</v>
      </c>
      <c r="G332" s="80">
        <f t="shared" si="157"/>
        <v>0</v>
      </c>
      <c r="H332" s="80">
        <f t="shared" si="157"/>
        <v>0</v>
      </c>
      <c r="I332" s="80">
        <f t="shared" si="157"/>
        <v>0</v>
      </c>
      <c r="J332" s="80">
        <f t="shared" si="157"/>
        <v>92214546</v>
      </c>
      <c r="K332" s="80">
        <f t="shared" si="157"/>
        <v>92214546</v>
      </c>
      <c r="L332" s="80">
        <f t="shared" si="157"/>
        <v>0</v>
      </c>
      <c r="M332" s="80">
        <f t="shared" si="157"/>
        <v>0</v>
      </c>
      <c r="N332" s="80">
        <f t="shared" si="157"/>
        <v>0</v>
      </c>
      <c r="O332" s="80">
        <f t="shared" si="157"/>
        <v>92214546</v>
      </c>
      <c r="P332" s="80">
        <f t="shared" si="157"/>
        <v>92214546</v>
      </c>
      <c r="Q332" s="260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  <c r="OH332" s="115"/>
      <c r="OI332" s="115"/>
      <c r="OJ332" s="115"/>
      <c r="OK332" s="115"/>
      <c r="OL332" s="115"/>
      <c r="OM332" s="115"/>
      <c r="ON332" s="115"/>
      <c r="OO332" s="115"/>
      <c r="OP332" s="115"/>
      <c r="OQ332" s="115"/>
      <c r="OR332" s="115"/>
      <c r="OS332" s="115"/>
      <c r="OT332" s="115"/>
      <c r="OU332" s="115"/>
      <c r="OV332" s="115"/>
      <c r="OW332" s="115"/>
      <c r="OX332" s="115"/>
      <c r="OY332" s="115"/>
      <c r="OZ332" s="115"/>
      <c r="PA332" s="115"/>
      <c r="PB332" s="115"/>
      <c r="PC332" s="115"/>
      <c r="PD332" s="115"/>
      <c r="PE332" s="115"/>
      <c r="PF332" s="115"/>
      <c r="PG332" s="115"/>
      <c r="PH332" s="115"/>
      <c r="PI332" s="115"/>
      <c r="PJ332" s="115"/>
      <c r="PK332" s="115"/>
      <c r="PL332" s="115"/>
      <c r="PM332" s="115"/>
      <c r="PN332" s="115"/>
      <c r="PO332" s="115"/>
      <c r="PP332" s="115"/>
      <c r="PQ332" s="115"/>
      <c r="PR332" s="115"/>
      <c r="PS332" s="115"/>
      <c r="PT332" s="115"/>
      <c r="PU332" s="115"/>
      <c r="PV332" s="115"/>
      <c r="PW332" s="115"/>
      <c r="PX332" s="115"/>
      <c r="PY332" s="115"/>
      <c r="PZ332" s="115"/>
      <c r="QA332" s="115"/>
      <c r="QB332" s="115"/>
      <c r="QC332" s="115"/>
      <c r="QD332" s="115"/>
      <c r="QE332" s="115"/>
      <c r="QF332" s="115"/>
      <c r="QG332" s="115"/>
      <c r="QH332" s="115"/>
      <c r="QI332" s="115"/>
      <c r="QJ332" s="115"/>
      <c r="QK332" s="115"/>
      <c r="QL332" s="115"/>
      <c r="QM332" s="115"/>
      <c r="QN332" s="115"/>
      <c r="QO332" s="115"/>
      <c r="QP332" s="115"/>
      <c r="QQ332" s="115"/>
      <c r="QR332" s="115"/>
      <c r="QS332" s="115"/>
      <c r="QT332" s="115"/>
      <c r="QU332" s="115"/>
      <c r="QV332" s="115"/>
      <c r="QW332" s="115"/>
      <c r="QX332" s="115"/>
      <c r="QY332" s="115"/>
      <c r="QZ332" s="115"/>
      <c r="RA332" s="115"/>
      <c r="RB332" s="115"/>
      <c r="RC332" s="115"/>
      <c r="RD332" s="115"/>
      <c r="RE332" s="115"/>
      <c r="RF332" s="115"/>
      <c r="RG332" s="115"/>
      <c r="RH332" s="115"/>
      <c r="RI332" s="115"/>
      <c r="RJ332" s="115"/>
      <c r="RK332" s="115"/>
      <c r="RL332" s="115"/>
      <c r="RM332" s="115"/>
      <c r="RN332" s="115"/>
      <c r="RO332" s="115"/>
      <c r="RP332" s="115"/>
      <c r="RQ332" s="115"/>
      <c r="RR332" s="115"/>
      <c r="RS332" s="115"/>
      <c r="RT332" s="115"/>
      <c r="RU332" s="115"/>
      <c r="RV332" s="115"/>
      <c r="RW332" s="115"/>
      <c r="RX332" s="115"/>
      <c r="RY332" s="115"/>
      <c r="RZ332" s="115"/>
      <c r="SA332" s="115"/>
      <c r="SB332" s="115"/>
      <c r="SC332" s="115"/>
      <c r="SD332" s="115"/>
      <c r="SE332" s="115"/>
      <c r="SF332" s="115"/>
      <c r="SG332" s="115"/>
      <c r="SH332" s="115"/>
      <c r="SI332" s="115"/>
      <c r="SJ332" s="115"/>
      <c r="SK332" s="115"/>
      <c r="SL332" s="115"/>
      <c r="SM332" s="115"/>
      <c r="SN332" s="115"/>
      <c r="SO332" s="115"/>
      <c r="SP332" s="115"/>
      <c r="SQ332" s="115"/>
      <c r="SR332" s="115"/>
      <c r="SS332" s="115"/>
      <c r="ST332" s="115"/>
      <c r="SU332" s="115"/>
      <c r="SV332" s="115"/>
      <c r="SW332" s="115"/>
      <c r="SX332" s="115"/>
      <c r="SY332" s="115"/>
      <c r="SZ332" s="115"/>
      <c r="TA332" s="115"/>
      <c r="TB332" s="115"/>
      <c r="TC332" s="115"/>
      <c r="TD332" s="115"/>
      <c r="TE332" s="115"/>
    </row>
    <row r="333" spans="1:525" s="121" customFormat="1" ht="47.25" x14ac:dyDescent="0.25">
      <c r="A333" s="117" t="s">
        <v>137</v>
      </c>
      <c r="B333" s="118" t="str">
        <f>'дод 6'!A16</f>
        <v>0160</v>
      </c>
      <c r="C333" s="118" t="str">
        <f>'дод 6'!B16</f>
        <v>0111</v>
      </c>
      <c r="D33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33" s="81">
        <f t="shared" ref="E333:E356" si="158">F333+I333</f>
        <v>6212900</v>
      </c>
      <c r="F333" s="81">
        <f>6598700-361200-24600</f>
        <v>6212900</v>
      </c>
      <c r="G333" s="81">
        <f>5265500-296100</f>
        <v>4969400</v>
      </c>
      <c r="H333" s="81">
        <f>174800-24600</f>
        <v>150200</v>
      </c>
      <c r="I333" s="81"/>
      <c r="J333" s="81">
        <f>L333+O333</f>
        <v>152500</v>
      </c>
      <c r="K333" s="81"/>
      <c r="L333" s="81">
        <v>152500</v>
      </c>
      <c r="M333" s="81"/>
      <c r="N333" s="81"/>
      <c r="O333" s="81"/>
      <c r="P333" s="81">
        <f t="shared" ref="P333:P356" si="159">E333+J333</f>
        <v>6365400</v>
      </c>
      <c r="Q333" s="26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</row>
    <row r="334" spans="1:525" s="121" customFormat="1" ht="15.75" customHeight="1" x14ac:dyDescent="0.25">
      <c r="A334" s="117" t="s">
        <v>576</v>
      </c>
      <c r="B334" s="118">
        <v>1010</v>
      </c>
      <c r="C334" s="117" t="s">
        <v>48</v>
      </c>
      <c r="D334" s="122" t="s">
        <v>480</v>
      </c>
      <c r="E334" s="81">
        <f t="shared" si="158"/>
        <v>0</v>
      </c>
      <c r="F334" s="81"/>
      <c r="G334" s="81"/>
      <c r="H334" s="81"/>
      <c r="I334" s="81"/>
      <c r="J334" s="81">
        <f>L334+O334</f>
        <v>48000000</v>
      </c>
      <c r="K334" s="81">
        <f>25000000+23000000</f>
        <v>48000000</v>
      </c>
      <c r="L334" s="81"/>
      <c r="M334" s="81"/>
      <c r="N334" s="81"/>
      <c r="O334" s="81">
        <f>25000000+23000000</f>
        <v>48000000</v>
      </c>
      <c r="P334" s="81">
        <f t="shared" si="159"/>
        <v>48000000</v>
      </c>
      <c r="Q334" s="26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</row>
    <row r="335" spans="1:525" s="121" customFormat="1" ht="31.5" hidden="1" customHeight="1" x14ac:dyDescent="0.25">
      <c r="A335" s="117" t="s">
        <v>578</v>
      </c>
      <c r="B335" s="118">
        <v>1021</v>
      </c>
      <c r="C335" s="117" t="s">
        <v>50</v>
      </c>
      <c r="D335" s="122" t="s">
        <v>449</v>
      </c>
      <c r="E335" s="81">
        <f t="shared" si="158"/>
        <v>0</v>
      </c>
      <c r="F335" s="81"/>
      <c r="G335" s="81"/>
      <c r="H335" s="81"/>
      <c r="I335" s="81"/>
      <c r="J335" s="81">
        <f t="shared" ref="J335:J340" si="160">L335+O335</f>
        <v>0</v>
      </c>
      <c r="K335" s="81"/>
      <c r="L335" s="81"/>
      <c r="M335" s="81"/>
      <c r="N335" s="81"/>
      <c r="O335" s="81"/>
      <c r="P335" s="81">
        <f t="shared" si="159"/>
        <v>0</v>
      </c>
      <c r="Q335" s="26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</row>
    <row r="336" spans="1:525" s="121" customFormat="1" ht="63" hidden="1" customHeight="1" x14ac:dyDescent="0.25">
      <c r="A336" s="117" t="s">
        <v>579</v>
      </c>
      <c r="B336" s="118">
        <v>1022</v>
      </c>
      <c r="C336" s="117" t="s">
        <v>54</v>
      </c>
      <c r="D336" s="122" t="s">
        <v>451</v>
      </c>
      <c r="E336" s="81">
        <f t="shared" si="158"/>
        <v>0</v>
      </c>
      <c r="F336" s="81"/>
      <c r="G336" s="81"/>
      <c r="H336" s="81"/>
      <c r="I336" s="81"/>
      <c r="J336" s="81">
        <f t="shared" si="160"/>
        <v>0</v>
      </c>
      <c r="K336" s="81"/>
      <c r="L336" s="81"/>
      <c r="M336" s="81"/>
      <c r="N336" s="81"/>
      <c r="O336" s="81"/>
      <c r="P336" s="81">
        <f t="shared" si="159"/>
        <v>0</v>
      </c>
      <c r="Q336" s="26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</row>
    <row r="337" spans="1:525" s="121" customFormat="1" ht="31.5" hidden="1" customHeight="1" x14ac:dyDescent="0.25">
      <c r="A337" s="117" t="s">
        <v>580</v>
      </c>
      <c r="B337" s="118">
        <v>2010</v>
      </c>
      <c r="C337" s="117" t="s">
        <v>60</v>
      </c>
      <c r="D337" s="122" t="s">
        <v>560</v>
      </c>
      <c r="E337" s="81">
        <f t="shared" si="158"/>
        <v>0</v>
      </c>
      <c r="F337" s="81"/>
      <c r="G337" s="81"/>
      <c r="H337" s="81"/>
      <c r="I337" s="81"/>
      <c r="J337" s="81">
        <f t="shared" si="160"/>
        <v>0</v>
      </c>
      <c r="K337" s="81"/>
      <c r="L337" s="81"/>
      <c r="M337" s="81"/>
      <c r="N337" s="81"/>
      <c r="O337" s="81"/>
      <c r="P337" s="81">
        <f t="shared" si="159"/>
        <v>0</v>
      </c>
      <c r="Q337" s="26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  <c r="IW337" s="120"/>
      <c r="IX337" s="120"/>
      <c r="IY337" s="120"/>
      <c r="IZ337" s="120"/>
      <c r="JA337" s="120"/>
      <c r="JB337" s="120"/>
      <c r="JC337" s="120"/>
      <c r="JD337" s="120"/>
      <c r="JE337" s="120"/>
      <c r="JF337" s="120"/>
      <c r="JG337" s="120"/>
      <c r="JH337" s="120"/>
      <c r="JI337" s="120"/>
      <c r="JJ337" s="120"/>
      <c r="JK337" s="120"/>
      <c r="JL337" s="120"/>
      <c r="JM337" s="120"/>
      <c r="JN337" s="120"/>
      <c r="JO337" s="120"/>
      <c r="JP337" s="120"/>
      <c r="JQ337" s="120"/>
      <c r="JR337" s="120"/>
      <c r="JS337" s="120"/>
      <c r="JT337" s="120"/>
      <c r="JU337" s="120"/>
      <c r="JV337" s="120"/>
      <c r="JW337" s="120"/>
      <c r="JX337" s="120"/>
      <c r="JY337" s="120"/>
      <c r="JZ337" s="120"/>
      <c r="KA337" s="120"/>
      <c r="KB337" s="120"/>
      <c r="KC337" s="120"/>
      <c r="KD337" s="120"/>
      <c r="KE337" s="120"/>
      <c r="KF337" s="120"/>
      <c r="KG337" s="120"/>
      <c r="KH337" s="120"/>
      <c r="KI337" s="120"/>
      <c r="KJ337" s="120"/>
      <c r="KK337" s="120"/>
      <c r="KL337" s="120"/>
      <c r="KM337" s="120"/>
      <c r="KN337" s="120"/>
      <c r="KO337" s="120"/>
      <c r="KP337" s="120"/>
      <c r="KQ337" s="120"/>
      <c r="KR337" s="120"/>
      <c r="KS337" s="120"/>
      <c r="KT337" s="120"/>
      <c r="KU337" s="120"/>
      <c r="KV337" s="120"/>
      <c r="KW337" s="120"/>
      <c r="KX337" s="120"/>
      <c r="KY337" s="120"/>
      <c r="KZ337" s="120"/>
      <c r="LA337" s="120"/>
      <c r="LB337" s="120"/>
      <c r="LC337" s="120"/>
      <c r="LD337" s="120"/>
      <c r="LE337" s="120"/>
      <c r="LF337" s="120"/>
      <c r="LG337" s="120"/>
      <c r="LH337" s="120"/>
      <c r="LI337" s="120"/>
      <c r="LJ337" s="120"/>
      <c r="LK337" s="120"/>
      <c r="LL337" s="120"/>
      <c r="LM337" s="120"/>
      <c r="LN337" s="120"/>
      <c r="LO337" s="120"/>
      <c r="LP337" s="120"/>
      <c r="LQ337" s="120"/>
      <c r="LR337" s="120"/>
      <c r="LS337" s="120"/>
      <c r="LT337" s="120"/>
      <c r="LU337" s="120"/>
      <c r="LV337" s="120"/>
      <c r="LW337" s="120"/>
      <c r="LX337" s="120"/>
      <c r="LY337" s="120"/>
      <c r="LZ337" s="120"/>
      <c r="MA337" s="120"/>
      <c r="MB337" s="120"/>
      <c r="MC337" s="120"/>
      <c r="MD337" s="120"/>
      <c r="ME337" s="120"/>
      <c r="MF337" s="120"/>
      <c r="MG337" s="120"/>
      <c r="MH337" s="120"/>
      <c r="MI337" s="120"/>
      <c r="MJ337" s="120"/>
      <c r="MK337" s="120"/>
      <c r="ML337" s="120"/>
      <c r="MM337" s="120"/>
      <c r="MN337" s="120"/>
      <c r="MO337" s="120"/>
      <c r="MP337" s="120"/>
      <c r="MQ337" s="120"/>
      <c r="MR337" s="120"/>
      <c r="MS337" s="120"/>
      <c r="MT337" s="120"/>
      <c r="MU337" s="120"/>
      <c r="MV337" s="120"/>
      <c r="MW337" s="120"/>
      <c r="MX337" s="120"/>
      <c r="MY337" s="120"/>
      <c r="MZ337" s="120"/>
      <c r="NA337" s="120"/>
      <c r="NB337" s="120"/>
      <c r="NC337" s="120"/>
      <c r="ND337" s="120"/>
      <c r="NE337" s="120"/>
      <c r="NF337" s="120"/>
      <c r="NG337" s="120"/>
      <c r="NH337" s="120"/>
      <c r="NI337" s="120"/>
      <c r="NJ337" s="120"/>
      <c r="NK337" s="120"/>
      <c r="NL337" s="120"/>
      <c r="NM337" s="120"/>
      <c r="NN337" s="120"/>
      <c r="NO337" s="120"/>
      <c r="NP337" s="120"/>
      <c r="NQ337" s="120"/>
      <c r="NR337" s="120"/>
      <c r="NS337" s="120"/>
      <c r="NT337" s="120"/>
      <c r="NU337" s="120"/>
      <c r="NV337" s="120"/>
      <c r="NW337" s="120"/>
      <c r="NX337" s="120"/>
      <c r="NY337" s="120"/>
      <c r="NZ337" s="120"/>
      <c r="OA337" s="120"/>
      <c r="OB337" s="120"/>
      <c r="OC337" s="120"/>
      <c r="OD337" s="120"/>
      <c r="OE337" s="120"/>
      <c r="OF337" s="120"/>
      <c r="OG337" s="120"/>
      <c r="OH337" s="120"/>
      <c r="OI337" s="120"/>
      <c r="OJ337" s="120"/>
      <c r="OK337" s="120"/>
      <c r="OL337" s="120"/>
      <c r="OM337" s="120"/>
      <c r="ON337" s="120"/>
      <c r="OO337" s="120"/>
      <c r="OP337" s="120"/>
      <c r="OQ337" s="120"/>
      <c r="OR337" s="120"/>
      <c r="OS337" s="120"/>
      <c r="OT337" s="120"/>
      <c r="OU337" s="120"/>
      <c r="OV337" s="120"/>
      <c r="OW337" s="120"/>
      <c r="OX337" s="120"/>
      <c r="OY337" s="120"/>
      <c r="OZ337" s="120"/>
      <c r="PA337" s="120"/>
      <c r="PB337" s="120"/>
      <c r="PC337" s="120"/>
      <c r="PD337" s="120"/>
      <c r="PE337" s="120"/>
      <c r="PF337" s="120"/>
      <c r="PG337" s="120"/>
      <c r="PH337" s="120"/>
      <c r="PI337" s="120"/>
      <c r="PJ337" s="120"/>
      <c r="PK337" s="120"/>
      <c r="PL337" s="120"/>
      <c r="PM337" s="120"/>
      <c r="PN337" s="120"/>
      <c r="PO337" s="120"/>
      <c r="PP337" s="120"/>
      <c r="PQ337" s="120"/>
      <c r="PR337" s="120"/>
      <c r="PS337" s="120"/>
      <c r="PT337" s="120"/>
      <c r="PU337" s="120"/>
      <c r="PV337" s="120"/>
      <c r="PW337" s="120"/>
      <c r="PX337" s="120"/>
      <c r="PY337" s="120"/>
      <c r="PZ337" s="120"/>
      <c r="QA337" s="120"/>
      <c r="QB337" s="120"/>
      <c r="QC337" s="120"/>
      <c r="QD337" s="120"/>
      <c r="QE337" s="120"/>
      <c r="QF337" s="120"/>
      <c r="QG337" s="120"/>
      <c r="QH337" s="120"/>
      <c r="QI337" s="120"/>
      <c r="QJ337" s="120"/>
      <c r="QK337" s="120"/>
      <c r="QL337" s="120"/>
      <c r="QM337" s="120"/>
      <c r="QN337" s="120"/>
      <c r="QO337" s="120"/>
      <c r="QP337" s="120"/>
      <c r="QQ337" s="120"/>
      <c r="QR337" s="120"/>
      <c r="QS337" s="120"/>
      <c r="QT337" s="120"/>
      <c r="QU337" s="120"/>
      <c r="QV337" s="120"/>
      <c r="QW337" s="120"/>
      <c r="QX337" s="120"/>
      <c r="QY337" s="120"/>
      <c r="QZ337" s="120"/>
      <c r="RA337" s="120"/>
      <c r="RB337" s="120"/>
      <c r="RC337" s="120"/>
      <c r="RD337" s="120"/>
      <c r="RE337" s="120"/>
      <c r="RF337" s="120"/>
      <c r="RG337" s="120"/>
      <c r="RH337" s="120"/>
      <c r="RI337" s="120"/>
      <c r="RJ337" s="120"/>
      <c r="RK337" s="120"/>
      <c r="RL337" s="120"/>
      <c r="RM337" s="120"/>
      <c r="RN337" s="120"/>
      <c r="RO337" s="120"/>
      <c r="RP337" s="120"/>
      <c r="RQ337" s="120"/>
      <c r="RR337" s="120"/>
      <c r="RS337" s="120"/>
      <c r="RT337" s="120"/>
      <c r="RU337" s="120"/>
      <c r="RV337" s="120"/>
      <c r="RW337" s="120"/>
      <c r="RX337" s="120"/>
      <c r="RY337" s="120"/>
      <c r="RZ337" s="120"/>
      <c r="SA337" s="120"/>
      <c r="SB337" s="120"/>
      <c r="SC337" s="120"/>
      <c r="SD337" s="120"/>
      <c r="SE337" s="120"/>
      <c r="SF337" s="120"/>
      <c r="SG337" s="120"/>
      <c r="SH337" s="120"/>
      <c r="SI337" s="120"/>
      <c r="SJ337" s="120"/>
      <c r="SK337" s="120"/>
      <c r="SL337" s="120"/>
      <c r="SM337" s="120"/>
      <c r="SN337" s="120"/>
      <c r="SO337" s="120"/>
      <c r="SP337" s="120"/>
      <c r="SQ337" s="120"/>
      <c r="SR337" s="120"/>
      <c r="SS337" s="120"/>
      <c r="ST337" s="120"/>
      <c r="SU337" s="120"/>
      <c r="SV337" s="120"/>
      <c r="SW337" s="120"/>
      <c r="SX337" s="120"/>
      <c r="SY337" s="120"/>
      <c r="SZ337" s="120"/>
      <c r="TA337" s="120"/>
      <c r="TB337" s="120"/>
      <c r="TC337" s="120"/>
      <c r="TD337" s="120"/>
      <c r="TE337" s="120"/>
    </row>
    <row r="338" spans="1:525" s="121" customFormat="1" ht="23.25" hidden="1" customHeight="1" x14ac:dyDescent="0.25">
      <c r="A338" s="117" t="s">
        <v>202</v>
      </c>
      <c r="B338" s="118" t="str">
        <f>'дод 6'!A178</f>
        <v>6030</v>
      </c>
      <c r="C338" s="118" t="str">
        <f>'дод 6'!B178</f>
        <v>0620</v>
      </c>
      <c r="D338" s="122" t="str">
        <f>'дод 6'!C178</f>
        <v>Організація благоустрою населених пунктів</v>
      </c>
      <c r="E338" s="81">
        <f t="shared" si="158"/>
        <v>0</v>
      </c>
      <c r="F338" s="81"/>
      <c r="G338" s="81"/>
      <c r="H338" s="81"/>
      <c r="I338" s="81"/>
      <c r="J338" s="81">
        <f t="shared" si="160"/>
        <v>0</v>
      </c>
      <c r="K338" s="81"/>
      <c r="L338" s="81"/>
      <c r="M338" s="81"/>
      <c r="N338" s="81"/>
      <c r="O338" s="81"/>
      <c r="P338" s="81">
        <f t="shared" si="159"/>
        <v>0</v>
      </c>
      <c r="Q338" s="26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  <c r="IW338" s="120"/>
      <c r="IX338" s="120"/>
      <c r="IY338" s="120"/>
      <c r="IZ338" s="120"/>
      <c r="JA338" s="120"/>
      <c r="JB338" s="120"/>
      <c r="JC338" s="120"/>
      <c r="JD338" s="120"/>
      <c r="JE338" s="120"/>
      <c r="JF338" s="120"/>
      <c r="JG338" s="120"/>
      <c r="JH338" s="120"/>
      <c r="JI338" s="120"/>
      <c r="JJ338" s="120"/>
      <c r="JK338" s="120"/>
      <c r="JL338" s="120"/>
      <c r="JM338" s="120"/>
      <c r="JN338" s="120"/>
      <c r="JO338" s="120"/>
      <c r="JP338" s="120"/>
      <c r="JQ338" s="120"/>
      <c r="JR338" s="120"/>
      <c r="JS338" s="120"/>
      <c r="JT338" s="120"/>
      <c r="JU338" s="120"/>
      <c r="JV338" s="120"/>
      <c r="JW338" s="120"/>
      <c r="JX338" s="120"/>
      <c r="JY338" s="120"/>
      <c r="JZ338" s="120"/>
      <c r="KA338" s="120"/>
      <c r="KB338" s="120"/>
      <c r="KC338" s="120"/>
      <c r="KD338" s="120"/>
      <c r="KE338" s="120"/>
      <c r="KF338" s="120"/>
      <c r="KG338" s="120"/>
      <c r="KH338" s="120"/>
      <c r="KI338" s="120"/>
      <c r="KJ338" s="120"/>
      <c r="KK338" s="120"/>
      <c r="KL338" s="120"/>
      <c r="KM338" s="120"/>
      <c r="KN338" s="120"/>
      <c r="KO338" s="120"/>
      <c r="KP338" s="120"/>
      <c r="KQ338" s="120"/>
      <c r="KR338" s="120"/>
      <c r="KS338" s="120"/>
      <c r="KT338" s="120"/>
      <c r="KU338" s="120"/>
      <c r="KV338" s="120"/>
      <c r="KW338" s="120"/>
      <c r="KX338" s="120"/>
      <c r="KY338" s="120"/>
      <c r="KZ338" s="120"/>
      <c r="LA338" s="120"/>
      <c r="LB338" s="120"/>
      <c r="LC338" s="120"/>
      <c r="LD338" s="120"/>
      <c r="LE338" s="120"/>
      <c r="LF338" s="120"/>
      <c r="LG338" s="120"/>
      <c r="LH338" s="120"/>
      <c r="LI338" s="120"/>
      <c r="LJ338" s="120"/>
      <c r="LK338" s="120"/>
      <c r="LL338" s="120"/>
      <c r="LM338" s="120"/>
      <c r="LN338" s="120"/>
      <c r="LO338" s="120"/>
      <c r="LP338" s="120"/>
      <c r="LQ338" s="120"/>
      <c r="LR338" s="120"/>
      <c r="LS338" s="120"/>
      <c r="LT338" s="120"/>
      <c r="LU338" s="120"/>
      <c r="LV338" s="120"/>
      <c r="LW338" s="120"/>
      <c r="LX338" s="120"/>
      <c r="LY338" s="120"/>
      <c r="LZ338" s="120"/>
      <c r="MA338" s="120"/>
      <c r="MB338" s="120"/>
      <c r="MC338" s="120"/>
      <c r="MD338" s="120"/>
      <c r="ME338" s="120"/>
      <c r="MF338" s="120"/>
      <c r="MG338" s="120"/>
      <c r="MH338" s="120"/>
      <c r="MI338" s="120"/>
      <c r="MJ338" s="120"/>
      <c r="MK338" s="120"/>
      <c r="ML338" s="120"/>
      <c r="MM338" s="120"/>
      <c r="MN338" s="120"/>
      <c r="MO338" s="120"/>
      <c r="MP338" s="120"/>
      <c r="MQ338" s="120"/>
      <c r="MR338" s="120"/>
      <c r="MS338" s="120"/>
      <c r="MT338" s="120"/>
      <c r="MU338" s="120"/>
      <c r="MV338" s="120"/>
      <c r="MW338" s="120"/>
      <c r="MX338" s="120"/>
      <c r="MY338" s="120"/>
      <c r="MZ338" s="120"/>
      <c r="NA338" s="120"/>
      <c r="NB338" s="120"/>
      <c r="NC338" s="120"/>
      <c r="ND338" s="120"/>
      <c r="NE338" s="120"/>
      <c r="NF338" s="120"/>
      <c r="NG338" s="120"/>
      <c r="NH338" s="120"/>
      <c r="NI338" s="120"/>
      <c r="NJ338" s="120"/>
      <c r="NK338" s="120"/>
      <c r="NL338" s="120"/>
      <c r="NM338" s="120"/>
      <c r="NN338" s="120"/>
      <c r="NO338" s="120"/>
      <c r="NP338" s="120"/>
      <c r="NQ338" s="120"/>
      <c r="NR338" s="120"/>
      <c r="NS338" s="120"/>
      <c r="NT338" s="120"/>
      <c r="NU338" s="120"/>
      <c r="NV338" s="120"/>
      <c r="NW338" s="120"/>
      <c r="NX338" s="120"/>
      <c r="NY338" s="120"/>
      <c r="NZ338" s="120"/>
      <c r="OA338" s="120"/>
      <c r="OB338" s="120"/>
      <c r="OC338" s="120"/>
      <c r="OD338" s="120"/>
      <c r="OE338" s="120"/>
      <c r="OF338" s="120"/>
      <c r="OG338" s="120"/>
      <c r="OH338" s="120"/>
      <c r="OI338" s="120"/>
      <c r="OJ338" s="120"/>
      <c r="OK338" s="120"/>
      <c r="OL338" s="120"/>
      <c r="OM338" s="120"/>
      <c r="ON338" s="120"/>
      <c r="OO338" s="120"/>
      <c r="OP338" s="120"/>
      <c r="OQ338" s="120"/>
      <c r="OR338" s="120"/>
      <c r="OS338" s="120"/>
      <c r="OT338" s="120"/>
      <c r="OU338" s="120"/>
      <c r="OV338" s="120"/>
      <c r="OW338" s="120"/>
      <c r="OX338" s="120"/>
      <c r="OY338" s="120"/>
      <c r="OZ338" s="120"/>
      <c r="PA338" s="120"/>
      <c r="PB338" s="120"/>
      <c r="PC338" s="120"/>
      <c r="PD338" s="120"/>
      <c r="PE338" s="120"/>
      <c r="PF338" s="120"/>
      <c r="PG338" s="120"/>
      <c r="PH338" s="120"/>
      <c r="PI338" s="120"/>
      <c r="PJ338" s="120"/>
      <c r="PK338" s="120"/>
      <c r="PL338" s="120"/>
      <c r="PM338" s="120"/>
      <c r="PN338" s="120"/>
      <c r="PO338" s="120"/>
      <c r="PP338" s="120"/>
      <c r="PQ338" s="120"/>
      <c r="PR338" s="120"/>
      <c r="PS338" s="120"/>
      <c r="PT338" s="120"/>
      <c r="PU338" s="120"/>
      <c r="PV338" s="120"/>
      <c r="PW338" s="120"/>
      <c r="PX338" s="120"/>
      <c r="PY338" s="120"/>
      <c r="PZ338" s="120"/>
      <c r="QA338" s="120"/>
      <c r="QB338" s="120"/>
      <c r="QC338" s="120"/>
      <c r="QD338" s="120"/>
      <c r="QE338" s="120"/>
      <c r="QF338" s="120"/>
      <c r="QG338" s="120"/>
      <c r="QH338" s="120"/>
      <c r="QI338" s="120"/>
      <c r="QJ338" s="120"/>
      <c r="QK338" s="120"/>
      <c r="QL338" s="120"/>
      <c r="QM338" s="120"/>
      <c r="QN338" s="120"/>
      <c r="QO338" s="120"/>
      <c r="QP338" s="120"/>
      <c r="QQ338" s="120"/>
      <c r="QR338" s="120"/>
      <c r="QS338" s="120"/>
      <c r="QT338" s="120"/>
      <c r="QU338" s="120"/>
      <c r="QV338" s="120"/>
      <c r="QW338" s="120"/>
      <c r="QX338" s="120"/>
      <c r="QY338" s="120"/>
      <c r="QZ338" s="120"/>
      <c r="RA338" s="120"/>
      <c r="RB338" s="120"/>
      <c r="RC338" s="120"/>
      <c r="RD338" s="120"/>
      <c r="RE338" s="120"/>
      <c r="RF338" s="120"/>
      <c r="RG338" s="120"/>
      <c r="RH338" s="120"/>
      <c r="RI338" s="120"/>
      <c r="RJ338" s="120"/>
      <c r="RK338" s="120"/>
      <c r="RL338" s="120"/>
      <c r="RM338" s="120"/>
      <c r="RN338" s="120"/>
      <c r="RO338" s="120"/>
      <c r="RP338" s="120"/>
      <c r="RQ338" s="120"/>
      <c r="RR338" s="120"/>
      <c r="RS338" s="120"/>
      <c r="RT338" s="120"/>
      <c r="RU338" s="120"/>
      <c r="RV338" s="120"/>
      <c r="RW338" s="120"/>
      <c r="RX338" s="120"/>
      <c r="RY338" s="120"/>
      <c r="RZ338" s="120"/>
      <c r="SA338" s="120"/>
      <c r="SB338" s="120"/>
      <c r="SC338" s="120"/>
      <c r="SD338" s="120"/>
      <c r="SE338" s="120"/>
      <c r="SF338" s="120"/>
      <c r="SG338" s="120"/>
      <c r="SH338" s="120"/>
      <c r="SI338" s="120"/>
      <c r="SJ338" s="120"/>
      <c r="SK338" s="120"/>
      <c r="SL338" s="120"/>
      <c r="SM338" s="120"/>
      <c r="SN338" s="120"/>
      <c r="SO338" s="120"/>
      <c r="SP338" s="120"/>
      <c r="SQ338" s="120"/>
      <c r="SR338" s="120"/>
      <c r="SS338" s="120"/>
      <c r="ST338" s="120"/>
      <c r="SU338" s="120"/>
      <c r="SV338" s="120"/>
      <c r="SW338" s="120"/>
      <c r="SX338" s="120"/>
      <c r="SY338" s="120"/>
      <c r="SZ338" s="120"/>
      <c r="TA338" s="120"/>
      <c r="TB338" s="120"/>
      <c r="TC338" s="120"/>
      <c r="TD338" s="120"/>
      <c r="TE338" s="120"/>
    </row>
    <row r="339" spans="1:525" s="121" customFormat="1" ht="63.75" customHeight="1" x14ac:dyDescent="0.25">
      <c r="A339" s="117" t="s">
        <v>707</v>
      </c>
      <c r="B339" s="118">
        <v>1261</v>
      </c>
      <c r="C339" s="117" t="s">
        <v>57</v>
      </c>
      <c r="D339" s="122" t="s">
        <v>700</v>
      </c>
      <c r="E339" s="81">
        <f t="shared" si="158"/>
        <v>0</v>
      </c>
      <c r="F339" s="81"/>
      <c r="G339" s="81"/>
      <c r="H339" s="81"/>
      <c r="I339" s="81"/>
      <c r="J339" s="81">
        <f t="shared" si="160"/>
        <v>2924410</v>
      </c>
      <c r="K339" s="81">
        <v>2924410</v>
      </c>
      <c r="L339" s="81"/>
      <c r="M339" s="81"/>
      <c r="N339" s="81"/>
      <c r="O339" s="81">
        <v>2924410</v>
      </c>
      <c r="P339" s="81">
        <f t="shared" si="159"/>
        <v>2924410</v>
      </c>
      <c r="Q339" s="26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  <c r="IW339" s="120"/>
      <c r="IX339" s="120"/>
      <c r="IY339" s="120"/>
      <c r="IZ339" s="120"/>
      <c r="JA339" s="120"/>
      <c r="JB339" s="120"/>
      <c r="JC339" s="120"/>
      <c r="JD339" s="120"/>
      <c r="JE339" s="120"/>
      <c r="JF339" s="120"/>
      <c r="JG339" s="120"/>
      <c r="JH339" s="120"/>
      <c r="JI339" s="120"/>
      <c r="JJ339" s="120"/>
      <c r="JK339" s="120"/>
      <c r="JL339" s="120"/>
      <c r="JM339" s="120"/>
      <c r="JN339" s="120"/>
      <c r="JO339" s="120"/>
      <c r="JP339" s="120"/>
      <c r="JQ339" s="120"/>
      <c r="JR339" s="120"/>
      <c r="JS339" s="120"/>
      <c r="JT339" s="120"/>
      <c r="JU339" s="120"/>
      <c r="JV339" s="120"/>
      <c r="JW339" s="120"/>
      <c r="JX339" s="120"/>
      <c r="JY339" s="120"/>
      <c r="JZ339" s="120"/>
      <c r="KA339" s="120"/>
      <c r="KB339" s="120"/>
      <c r="KC339" s="120"/>
      <c r="KD339" s="120"/>
      <c r="KE339" s="120"/>
      <c r="KF339" s="120"/>
      <c r="KG339" s="120"/>
      <c r="KH339" s="120"/>
      <c r="KI339" s="120"/>
      <c r="KJ339" s="120"/>
      <c r="KK339" s="120"/>
      <c r="KL339" s="120"/>
      <c r="KM339" s="120"/>
      <c r="KN339" s="120"/>
      <c r="KO339" s="120"/>
      <c r="KP339" s="120"/>
      <c r="KQ339" s="120"/>
      <c r="KR339" s="120"/>
      <c r="KS339" s="120"/>
      <c r="KT339" s="120"/>
      <c r="KU339" s="120"/>
      <c r="KV339" s="120"/>
      <c r="KW339" s="120"/>
      <c r="KX339" s="120"/>
      <c r="KY339" s="120"/>
      <c r="KZ339" s="120"/>
      <c r="LA339" s="120"/>
      <c r="LB339" s="120"/>
      <c r="LC339" s="120"/>
      <c r="LD339" s="120"/>
      <c r="LE339" s="120"/>
      <c r="LF339" s="120"/>
      <c r="LG339" s="120"/>
      <c r="LH339" s="120"/>
      <c r="LI339" s="120"/>
      <c r="LJ339" s="120"/>
      <c r="LK339" s="120"/>
      <c r="LL339" s="120"/>
      <c r="LM339" s="120"/>
      <c r="LN339" s="120"/>
      <c r="LO339" s="120"/>
      <c r="LP339" s="120"/>
      <c r="LQ339" s="120"/>
      <c r="LR339" s="120"/>
      <c r="LS339" s="120"/>
      <c r="LT339" s="120"/>
      <c r="LU339" s="120"/>
      <c r="LV339" s="120"/>
      <c r="LW339" s="120"/>
      <c r="LX339" s="120"/>
      <c r="LY339" s="120"/>
      <c r="LZ339" s="120"/>
      <c r="MA339" s="120"/>
      <c r="MB339" s="120"/>
      <c r="MC339" s="120"/>
      <c r="MD339" s="120"/>
      <c r="ME339" s="120"/>
      <c r="MF339" s="120"/>
      <c r="MG339" s="120"/>
      <c r="MH339" s="120"/>
      <c r="MI339" s="120"/>
      <c r="MJ339" s="120"/>
      <c r="MK339" s="120"/>
      <c r="ML339" s="120"/>
      <c r="MM339" s="120"/>
      <c r="MN339" s="120"/>
      <c r="MO339" s="120"/>
      <c r="MP339" s="120"/>
      <c r="MQ339" s="120"/>
      <c r="MR339" s="120"/>
      <c r="MS339" s="120"/>
      <c r="MT339" s="120"/>
      <c r="MU339" s="120"/>
      <c r="MV339" s="120"/>
      <c r="MW339" s="120"/>
      <c r="MX339" s="120"/>
      <c r="MY339" s="120"/>
      <c r="MZ339" s="120"/>
      <c r="NA339" s="120"/>
      <c r="NB339" s="120"/>
      <c r="NC339" s="120"/>
      <c r="ND339" s="120"/>
      <c r="NE339" s="120"/>
      <c r="NF339" s="120"/>
      <c r="NG339" s="120"/>
      <c r="NH339" s="120"/>
      <c r="NI339" s="120"/>
      <c r="NJ339" s="120"/>
      <c r="NK339" s="120"/>
      <c r="NL339" s="120"/>
      <c r="NM339" s="120"/>
      <c r="NN339" s="120"/>
      <c r="NO339" s="120"/>
      <c r="NP339" s="120"/>
      <c r="NQ339" s="120"/>
      <c r="NR339" s="120"/>
      <c r="NS339" s="120"/>
      <c r="NT339" s="120"/>
      <c r="NU339" s="120"/>
      <c r="NV339" s="120"/>
      <c r="NW339" s="120"/>
      <c r="NX339" s="120"/>
      <c r="NY339" s="120"/>
      <c r="NZ339" s="120"/>
      <c r="OA339" s="120"/>
      <c r="OB339" s="120"/>
      <c r="OC339" s="120"/>
      <c r="OD339" s="120"/>
      <c r="OE339" s="120"/>
      <c r="OF339" s="120"/>
      <c r="OG339" s="120"/>
      <c r="OH339" s="120"/>
      <c r="OI339" s="120"/>
      <c r="OJ339" s="120"/>
      <c r="OK339" s="120"/>
      <c r="OL339" s="120"/>
      <c r="OM339" s="120"/>
      <c r="ON339" s="120"/>
      <c r="OO339" s="120"/>
      <c r="OP339" s="120"/>
      <c r="OQ339" s="120"/>
      <c r="OR339" s="120"/>
      <c r="OS339" s="120"/>
      <c r="OT339" s="120"/>
      <c r="OU339" s="120"/>
      <c r="OV339" s="120"/>
      <c r="OW339" s="120"/>
      <c r="OX339" s="120"/>
      <c r="OY339" s="120"/>
      <c r="OZ339" s="120"/>
      <c r="PA339" s="120"/>
      <c r="PB339" s="120"/>
      <c r="PC339" s="120"/>
      <c r="PD339" s="120"/>
      <c r="PE339" s="120"/>
      <c r="PF339" s="120"/>
      <c r="PG339" s="120"/>
      <c r="PH339" s="120"/>
      <c r="PI339" s="120"/>
      <c r="PJ339" s="120"/>
      <c r="PK339" s="120"/>
      <c r="PL339" s="120"/>
      <c r="PM339" s="120"/>
      <c r="PN339" s="120"/>
      <c r="PO339" s="120"/>
      <c r="PP339" s="120"/>
      <c r="PQ339" s="120"/>
      <c r="PR339" s="120"/>
      <c r="PS339" s="120"/>
      <c r="PT339" s="120"/>
      <c r="PU339" s="120"/>
      <c r="PV339" s="120"/>
      <c r="PW339" s="120"/>
      <c r="PX339" s="120"/>
      <c r="PY339" s="120"/>
      <c r="PZ339" s="120"/>
      <c r="QA339" s="120"/>
      <c r="QB339" s="120"/>
      <c r="QC339" s="120"/>
      <c r="QD339" s="120"/>
      <c r="QE339" s="120"/>
      <c r="QF339" s="120"/>
      <c r="QG339" s="120"/>
      <c r="QH339" s="120"/>
      <c r="QI339" s="120"/>
      <c r="QJ339" s="120"/>
      <c r="QK339" s="120"/>
      <c r="QL339" s="120"/>
      <c r="QM339" s="120"/>
      <c r="QN339" s="120"/>
      <c r="QO339" s="120"/>
      <c r="QP339" s="120"/>
      <c r="QQ339" s="120"/>
      <c r="QR339" s="120"/>
      <c r="QS339" s="120"/>
      <c r="QT339" s="120"/>
      <c r="QU339" s="120"/>
      <c r="QV339" s="120"/>
      <c r="QW339" s="120"/>
      <c r="QX339" s="120"/>
      <c r="QY339" s="120"/>
      <c r="QZ339" s="120"/>
      <c r="RA339" s="120"/>
      <c r="RB339" s="120"/>
      <c r="RC339" s="120"/>
      <c r="RD339" s="120"/>
      <c r="RE339" s="120"/>
      <c r="RF339" s="120"/>
      <c r="RG339" s="120"/>
      <c r="RH339" s="120"/>
      <c r="RI339" s="120"/>
      <c r="RJ339" s="120"/>
      <c r="RK339" s="120"/>
      <c r="RL339" s="120"/>
      <c r="RM339" s="120"/>
      <c r="RN339" s="120"/>
      <c r="RO339" s="120"/>
      <c r="RP339" s="120"/>
      <c r="RQ339" s="120"/>
      <c r="RR339" s="120"/>
      <c r="RS339" s="120"/>
      <c r="RT339" s="120"/>
      <c r="RU339" s="120"/>
      <c r="RV339" s="120"/>
      <c r="RW339" s="120"/>
      <c r="RX339" s="120"/>
      <c r="RY339" s="120"/>
      <c r="RZ339" s="120"/>
      <c r="SA339" s="120"/>
      <c r="SB339" s="120"/>
      <c r="SC339" s="120"/>
      <c r="SD339" s="120"/>
      <c r="SE339" s="120"/>
      <c r="SF339" s="120"/>
      <c r="SG339" s="120"/>
      <c r="SH339" s="120"/>
      <c r="SI339" s="120"/>
      <c r="SJ339" s="120"/>
      <c r="SK339" s="120"/>
      <c r="SL339" s="120"/>
      <c r="SM339" s="120"/>
      <c r="SN339" s="120"/>
      <c r="SO339" s="120"/>
      <c r="SP339" s="120"/>
      <c r="SQ339" s="120"/>
      <c r="SR339" s="120"/>
      <c r="SS339" s="120"/>
      <c r="ST339" s="120"/>
      <c r="SU339" s="120"/>
      <c r="SV339" s="120"/>
      <c r="SW339" s="120"/>
      <c r="SX339" s="120"/>
      <c r="SY339" s="120"/>
      <c r="SZ339" s="120"/>
      <c r="TA339" s="120"/>
      <c r="TB339" s="120"/>
      <c r="TC339" s="120"/>
      <c r="TD339" s="120"/>
      <c r="TE339" s="120"/>
    </row>
    <row r="340" spans="1:525" s="121" customFormat="1" ht="63.75" customHeight="1" x14ac:dyDescent="0.25">
      <c r="A340" s="117" t="s">
        <v>708</v>
      </c>
      <c r="B340" s="118">
        <v>1262</v>
      </c>
      <c r="C340" s="117" t="s">
        <v>57</v>
      </c>
      <c r="D340" s="122" t="s">
        <v>709</v>
      </c>
      <c r="E340" s="81">
        <f t="shared" si="158"/>
        <v>0</v>
      </c>
      <c r="F340" s="81"/>
      <c r="G340" s="81"/>
      <c r="H340" s="81"/>
      <c r="I340" s="81"/>
      <c r="J340" s="81">
        <f t="shared" si="160"/>
        <v>6800000</v>
      </c>
      <c r="K340" s="81">
        <v>6800000</v>
      </c>
      <c r="L340" s="81"/>
      <c r="M340" s="81"/>
      <c r="N340" s="81"/>
      <c r="O340" s="81">
        <v>6800000</v>
      </c>
      <c r="P340" s="81">
        <f t="shared" si="159"/>
        <v>6800000</v>
      </c>
      <c r="Q340" s="26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  <c r="IW340" s="120"/>
      <c r="IX340" s="120"/>
      <c r="IY340" s="120"/>
      <c r="IZ340" s="120"/>
      <c r="JA340" s="120"/>
      <c r="JB340" s="120"/>
      <c r="JC340" s="120"/>
      <c r="JD340" s="120"/>
      <c r="JE340" s="120"/>
      <c r="JF340" s="120"/>
      <c r="JG340" s="120"/>
      <c r="JH340" s="120"/>
      <c r="JI340" s="120"/>
      <c r="JJ340" s="120"/>
      <c r="JK340" s="120"/>
      <c r="JL340" s="120"/>
      <c r="JM340" s="120"/>
      <c r="JN340" s="120"/>
      <c r="JO340" s="120"/>
      <c r="JP340" s="120"/>
      <c r="JQ340" s="120"/>
      <c r="JR340" s="120"/>
      <c r="JS340" s="120"/>
      <c r="JT340" s="120"/>
      <c r="JU340" s="120"/>
      <c r="JV340" s="120"/>
      <c r="JW340" s="120"/>
      <c r="JX340" s="120"/>
      <c r="JY340" s="120"/>
      <c r="JZ340" s="120"/>
      <c r="KA340" s="120"/>
      <c r="KB340" s="120"/>
      <c r="KC340" s="120"/>
      <c r="KD340" s="120"/>
      <c r="KE340" s="120"/>
      <c r="KF340" s="120"/>
      <c r="KG340" s="120"/>
      <c r="KH340" s="120"/>
      <c r="KI340" s="120"/>
      <c r="KJ340" s="120"/>
      <c r="KK340" s="120"/>
      <c r="KL340" s="120"/>
      <c r="KM340" s="120"/>
      <c r="KN340" s="120"/>
      <c r="KO340" s="120"/>
      <c r="KP340" s="120"/>
      <c r="KQ340" s="120"/>
      <c r="KR340" s="120"/>
      <c r="KS340" s="120"/>
      <c r="KT340" s="120"/>
      <c r="KU340" s="120"/>
      <c r="KV340" s="120"/>
      <c r="KW340" s="120"/>
      <c r="KX340" s="120"/>
      <c r="KY340" s="120"/>
      <c r="KZ340" s="120"/>
      <c r="LA340" s="120"/>
      <c r="LB340" s="120"/>
      <c r="LC340" s="120"/>
      <c r="LD340" s="120"/>
      <c r="LE340" s="120"/>
      <c r="LF340" s="120"/>
      <c r="LG340" s="120"/>
      <c r="LH340" s="120"/>
      <c r="LI340" s="120"/>
      <c r="LJ340" s="120"/>
      <c r="LK340" s="120"/>
      <c r="LL340" s="120"/>
      <c r="LM340" s="120"/>
      <c r="LN340" s="120"/>
      <c r="LO340" s="120"/>
      <c r="LP340" s="120"/>
      <c r="LQ340" s="120"/>
      <c r="LR340" s="120"/>
      <c r="LS340" s="120"/>
      <c r="LT340" s="120"/>
      <c r="LU340" s="120"/>
      <c r="LV340" s="120"/>
      <c r="LW340" s="120"/>
      <c r="LX340" s="120"/>
      <c r="LY340" s="120"/>
      <c r="LZ340" s="120"/>
      <c r="MA340" s="120"/>
      <c r="MB340" s="120"/>
      <c r="MC340" s="120"/>
      <c r="MD340" s="120"/>
      <c r="ME340" s="120"/>
      <c r="MF340" s="120"/>
      <c r="MG340" s="120"/>
      <c r="MH340" s="120"/>
      <c r="MI340" s="120"/>
      <c r="MJ340" s="120"/>
      <c r="MK340" s="120"/>
      <c r="ML340" s="120"/>
      <c r="MM340" s="120"/>
      <c r="MN340" s="120"/>
      <c r="MO340" s="120"/>
      <c r="MP340" s="120"/>
      <c r="MQ340" s="120"/>
      <c r="MR340" s="120"/>
      <c r="MS340" s="120"/>
      <c r="MT340" s="120"/>
      <c r="MU340" s="120"/>
      <c r="MV340" s="120"/>
      <c r="MW340" s="120"/>
      <c r="MX340" s="120"/>
      <c r="MY340" s="120"/>
      <c r="MZ340" s="120"/>
      <c r="NA340" s="120"/>
      <c r="NB340" s="120"/>
      <c r="NC340" s="120"/>
      <c r="ND340" s="120"/>
      <c r="NE340" s="120"/>
      <c r="NF340" s="120"/>
      <c r="NG340" s="120"/>
      <c r="NH340" s="120"/>
      <c r="NI340" s="120"/>
      <c r="NJ340" s="120"/>
      <c r="NK340" s="120"/>
      <c r="NL340" s="120"/>
      <c r="NM340" s="120"/>
      <c r="NN340" s="120"/>
      <c r="NO340" s="120"/>
      <c r="NP340" s="120"/>
      <c r="NQ340" s="120"/>
      <c r="NR340" s="120"/>
      <c r="NS340" s="120"/>
      <c r="NT340" s="120"/>
      <c r="NU340" s="120"/>
      <c r="NV340" s="120"/>
      <c r="NW340" s="120"/>
      <c r="NX340" s="120"/>
      <c r="NY340" s="120"/>
      <c r="NZ340" s="120"/>
      <c r="OA340" s="120"/>
      <c r="OB340" s="120"/>
      <c r="OC340" s="120"/>
      <c r="OD340" s="120"/>
      <c r="OE340" s="120"/>
      <c r="OF340" s="120"/>
      <c r="OG340" s="120"/>
      <c r="OH340" s="120"/>
      <c r="OI340" s="120"/>
      <c r="OJ340" s="120"/>
      <c r="OK340" s="120"/>
      <c r="OL340" s="120"/>
      <c r="OM340" s="120"/>
      <c r="ON340" s="120"/>
      <c r="OO340" s="120"/>
      <c r="OP340" s="120"/>
      <c r="OQ340" s="120"/>
      <c r="OR340" s="120"/>
      <c r="OS340" s="120"/>
      <c r="OT340" s="120"/>
      <c r="OU340" s="120"/>
      <c r="OV340" s="120"/>
      <c r="OW340" s="120"/>
      <c r="OX340" s="120"/>
      <c r="OY340" s="120"/>
      <c r="OZ340" s="120"/>
      <c r="PA340" s="120"/>
      <c r="PB340" s="120"/>
      <c r="PC340" s="120"/>
      <c r="PD340" s="120"/>
      <c r="PE340" s="120"/>
      <c r="PF340" s="120"/>
      <c r="PG340" s="120"/>
      <c r="PH340" s="120"/>
      <c r="PI340" s="120"/>
      <c r="PJ340" s="120"/>
      <c r="PK340" s="120"/>
      <c r="PL340" s="120"/>
      <c r="PM340" s="120"/>
      <c r="PN340" s="120"/>
      <c r="PO340" s="120"/>
      <c r="PP340" s="120"/>
      <c r="PQ340" s="120"/>
      <c r="PR340" s="120"/>
      <c r="PS340" s="120"/>
      <c r="PT340" s="120"/>
      <c r="PU340" s="120"/>
      <c r="PV340" s="120"/>
      <c r="PW340" s="120"/>
      <c r="PX340" s="120"/>
      <c r="PY340" s="120"/>
      <c r="PZ340" s="120"/>
      <c r="QA340" s="120"/>
      <c r="QB340" s="120"/>
      <c r="QC340" s="120"/>
      <c r="QD340" s="120"/>
      <c r="QE340" s="120"/>
      <c r="QF340" s="120"/>
      <c r="QG340" s="120"/>
      <c r="QH340" s="120"/>
      <c r="QI340" s="120"/>
      <c r="QJ340" s="120"/>
      <c r="QK340" s="120"/>
      <c r="QL340" s="120"/>
      <c r="QM340" s="120"/>
      <c r="QN340" s="120"/>
      <c r="QO340" s="120"/>
      <c r="QP340" s="120"/>
      <c r="QQ340" s="120"/>
      <c r="QR340" s="120"/>
      <c r="QS340" s="120"/>
      <c r="QT340" s="120"/>
      <c r="QU340" s="120"/>
      <c r="QV340" s="120"/>
      <c r="QW340" s="120"/>
      <c r="QX340" s="120"/>
      <c r="QY340" s="120"/>
      <c r="QZ340" s="120"/>
      <c r="RA340" s="120"/>
      <c r="RB340" s="120"/>
      <c r="RC340" s="120"/>
      <c r="RD340" s="120"/>
      <c r="RE340" s="120"/>
      <c r="RF340" s="120"/>
      <c r="RG340" s="120"/>
      <c r="RH340" s="120"/>
      <c r="RI340" s="120"/>
      <c r="RJ340" s="120"/>
      <c r="RK340" s="120"/>
      <c r="RL340" s="120"/>
      <c r="RM340" s="120"/>
      <c r="RN340" s="120"/>
      <c r="RO340" s="120"/>
      <c r="RP340" s="120"/>
      <c r="RQ340" s="120"/>
      <c r="RR340" s="120"/>
      <c r="RS340" s="120"/>
      <c r="RT340" s="120"/>
      <c r="RU340" s="120"/>
      <c r="RV340" s="120"/>
      <c r="RW340" s="120"/>
      <c r="RX340" s="120"/>
      <c r="RY340" s="120"/>
      <c r="RZ340" s="120"/>
      <c r="SA340" s="120"/>
      <c r="SB340" s="120"/>
      <c r="SC340" s="120"/>
      <c r="SD340" s="120"/>
      <c r="SE340" s="120"/>
      <c r="SF340" s="120"/>
      <c r="SG340" s="120"/>
      <c r="SH340" s="120"/>
      <c r="SI340" s="120"/>
      <c r="SJ340" s="120"/>
      <c r="SK340" s="120"/>
      <c r="SL340" s="120"/>
      <c r="SM340" s="120"/>
      <c r="SN340" s="120"/>
      <c r="SO340" s="120"/>
      <c r="SP340" s="120"/>
      <c r="SQ340" s="120"/>
      <c r="SR340" s="120"/>
      <c r="SS340" s="120"/>
      <c r="ST340" s="120"/>
      <c r="SU340" s="120"/>
      <c r="SV340" s="120"/>
      <c r="SW340" s="120"/>
      <c r="SX340" s="120"/>
      <c r="SY340" s="120"/>
      <c r="SZ340" s="120"/>
      <c r="TA340" s="120"/>
      <c r="TB340" s="120"/>
      <c r="TC340" s="120"/>
      <c r="TD340" s="120"/>
      <c r="TE340" s="120"/>
    </row>
    <row r="341" spans="1:525" s="121" customFormat="1" ht="62.25" customHeight="1" x14ac:dyDescent="0.25">
      <c r="A341" s="117"/>
      <c r="B341" s="118"/>
      <c r="C341" s="117"/>
      <c r="D341" s="143" t="s">
        <v>704</v>
      </c>
      <c r="E341" s="81">
        <f t="shared" si="158"/>
        <v>0</v>
      </c>
      <c r="F341" s="81"/>
      <c r="G341" s="81"/>
      <c r="H341" s="81"/>
      <c r="I341" s="81"/>
      <c r="J341" s="82">
        <f>L341+O341</f>
        <v>6800000</v>
      </c>
      <c r="K341" s="82">
        <v>6800000</v>
      </c>
      <c r="L341" s="82"/>
      <c r="M341" s="82"/>
      <c r="N341" s="82"/>
      <c r="O341" s="82">
        <v>6800000</v>
      </c>
      <c r="P341" s="82">
        <f t="shared" si="159"/>
        <v>6800000</v>
      </c>
      <c r="Q341" s="26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  <c r="IW341" s="120"/>
      <c r="IX341" s="120"/>
      <c r="IY341" s="120"/>
      <c r="IZ341" s="120"/>
      <c r="JA341" s="120"/>
      <c r="JB341" s="120"/>
      <c r="JC341" s="120"/>
      <c r="JD341" s="120"/>
      <c r="JE341" s="120"/>
      <c r="JF341" s="120"/>
      <c r="JG341" s="120"/>
      <c r="JH341" s="120"/>
      <c r="JI341" s="120"/>
      <c r="JJ341" s="120"/>
      <c r="JK341" s="120"/>
      <c r="JL341" s="120"/>
      <c r="JM341" s="120"/>
      <c r="JN341" s="120"/>
      <c r="JO341" s="120"/>
      <c r="JP341" s="120"/>
      <c r="JQ341" s="120"/>
      <c r="JR341" s="120"/>
      <c r="JS341" s="120"/>
      <c r="JT341" s="120"/>
      <c r="JU341" s="120"/>
      <c r="JV341" s="120"/>
      <c r="JW341" s="120"/>
      <c r="JX341" s="120"/>
      <c r="JY341" s="120"/>
      <c r="JZ341" s="120"/>
      <c r="KA341" s="120"/>
      <c r="KB341" s="120"/>
      <c r="KC341" s="120"/>
      <c r="KD341" s="120"/>
      <c r="KE341" s="120"/>
      <c r="KF341" s="120"/>
      <c r="KG341" s="120"/>
      <c r="KH341" s="120"/>
      <c r="KI341" s="120"/>
      <c r="KJ341" s="120"/>
      <c r="KK341" s="120"/>
      <c r="KL341" s="120"/>
      <c r="KM341" s="120"/>
      <c r="KN341" s="120"/>
      <c r="KO341" s="120"/>
      <c r="KP341" s="120"/>
      <c r="KQ341" s="120"/>
      <c r="KR341" s="120"/>
      <c r="KS341" s="120"/>
      <c r="KT341" s="120"/>
      <c r="KU341" s="120"/>
      <c r="KV341" s="120"/>
      <c r="KW341" s="120"/>
      <c r="KX341" s="120"/>
      <c r="KY341" s="120"/>
      <c r="KZ341" s="120"/>
      <c r="LA341" s="120"/>
      <c r="LB341" s="120"/>
      <c r="LC341" s="120"/>
      <c r="LD341" s="120"/>
      <c r="LE341" s="120"/>
      <c r="LF341" s="120"/>
      <c r="LG341" s="120"/>
      <c r="LH341" s="120"/>
      <c r="LI341" s="120"/>
      <c r="LJ341" s="120"/>
      <c r="LK341" s="120"/>
      <c r="LL341" s="120"/>
      <c r="LM341" s="120"/>
      <c r="LN341" s="120"/>
      <c r="LO341" s="120"/>
      <c r="LP341" s="120"/>
      <c r="LQ341" s="120"/>
      <c r="LR341" s="120"/>
      <c r="LS341" s="120"/>
      <c r="LT341" s="120"/>
      <c r="LU341" s="120"/>
      <c r="LV341" s="120"/>
      <c r="LW341" s="120"/>
      <c r="LX341" s="120"/>
      <c r="LY341" s="120"/>
      <c r="LZ341" s="120"/>
      <c r="MA341" s="120"/>
      <c r="MB341" s="120"/>
      <c r="MC341" s="120"/>
      <c r="MD341" s="120"/>
      <c r="ME341" s="120"/>
      <c r="MF341" s="120"/>
      <c r="MG341" s="120"/>
      <c r="MH341" s="120"/>
      <c r="MI341" s="120"/>
      <c r="MJ341" s="120"/>
      <c r="MK341" s="120"/>
      <c r="ML341" s="120"/>
      <c r="MM341" s="120"/>
      <c r="MN341" s="120"/>
      <c r="MO341" s="120"/>
      <c r="MP341" s="120"/>
      <c r="MQ341" s="120"/>
      <c r="MR341" s="120"/>
      <c r="MS341" s="120"/>
      <c r="MT341" s="120"/>
      <c r="MU341" s="120"/>
      <c r="MV341" s="120"/>
      <c r="MW341" s="120"/>
      <c r="MX341" s="120"/>
      <c r="MY341" s="120"/>
      <c r="MZ341" s="120"/>
      <c r="NA341" s="120"/>
      <c r="NB341" s="120"/>
      <c r="NC341" s="120"/>
      <c r="ND341" s="120"/>
      <c r="NE341" s="120"/>
      <c r="NF341" s="120"/>
      <c r="NG341" s="120"/>
      <c r="NH341" s="120"/>
      <c r="NI341" s="120"/>
      <c r="NJ341" s="120"/>
      <c r="NK341" s="120"/>
      <c r="NL341" s="120"/>
      <c r="NM341" s="120"/>
      <c r="NN341" s="120"/>
      <c r="NO341" s="120"/>
      <c r="NP341" s="120"/>
      <c r="NQ341" s="120"/>
      <c r="NR341" s="120"/>
      <c r="NS341" s="120"/>
      <c r="NT341" s="120"/>
      <c r="NU341" s="120"/>
      <c r="NV341" s="120"/>
      <c r="NW341" s="120"/>
      <c r="NX341" s="120"/>
      <c r="NY341" s="120"/>
      <c r="NZ341" s="120"/>
      <c r="OA341" s="120"/>
      <c r="OB341" s="120"/>
      <c r="OC341" s="120"/>
      <c r="OD341" s="120"/>
      <c r="OE341" s="120"/>
      <c r="OF341" s="120"/>
      <c r="OG341" s="120"/>
      <c r="OH341" s="120"/>
      <c r="OI341" s="120"/>
      <c r="OJ341" s="120"/>
      <c r="OK341" s="120"/>
      <c r="OL341" s="120"/>
      <c r="OM341" s="120"/>
      <c r="ON341" s="120"/>
      <c r="OO341" s="120"/>
      <c r="OP341" s="120"/>
      <c r="OQ341" s="120"/>
      <c r="OR341" s="120"/>
      <c r="OS341" s="120"/>
      <c r="OT341" s="120"/>
      <c r="OU341" s="120"/>
      <c r="OV341" s="120"/>
      <c r="OW341" s="120"/>
      <c r="OX341" s="120"/>
      <c r="OY341" s="120"/>
      <c r="OZ341" s="120"/>
      <c r="PA341" s="120"/>
      <c r="PB341" s="120"/>
      <c r="PC341" s="120"/>
      <c r="PD341" s="120"/>
      <c r="PE341" s="120"/>
      <c r="PF341" s="120"/>
      <c r="PG341" s="120"/>
      <c r="PH341" s="120"/>
      <c r="PI341" s="120"/>
      <c r="PJ341" s="120"/>
      <c r="PK341" s="120"/>
      <c r="PL341" s="120"/>
      <c r="PM341" s="120"/>
      <c r="PN341" s="120"/>
      <c r="PO341" s="120"/>
      <c r="PP341" s="120"/>
      <c r="PQ341" s="120"/>
      <c r="PR341" s="120"/>
      <c r="PS341" s="120"/>
      <c r="PT341" s="120"/>
      <c r="PU341" s="120"/>
      <c r="PV341" s="120"/>
      <c r="PW341" s="120"/>
      <c r="PX341" s="120"/>
      <c r="PY341" s="120"/>
      <c r="PZ341" s="120"/>
      <c r="QA341" s="120"/>
      <c r="QB341" s="120"/>
      <c r="QC341" s="120"/>
      <c r="QD341" s="120"/>
      <c r="QE341" s="120"/>
      <c r="QF341" s="120"/>
      <c r="QG341" s="120"/>
      <c r="QH341" s="120"/>
      <c r="QI341" s="120"/>
      <c r="QJ341" s="120"/>
      <c r="QK341" s="120"/>
      <c r="QL341" s="120"/>
      <c r="QM341" s="120"/>
      <c r="QN341" s="120"/>
      <c r="QO341" s="120"/>
      <c r="QP341" s="120"/>
      <c r="QQ341" s="120"/>
      <c r="QR341" s="120"/>
      <c r="QS341" s="120"/>
      <c r="QT341" s="120"/>
      <c r="QU341" s="120"/>
      <c r="QV341" s="120"/>
      <c r="QW341" s="120"/>
      <c r="QX341" s="120"/>
      <c r="QY341" s="120"/>
      <c r="QZ341" s="120"/>
      <c r="RA341" s="120"/>
      <c r="RB341" s="120"/>
      <c r="RC341" s="120"/>
      <c r="RD341" s="120"/>
      <c r="RE341" s="120"/>
      <c r="RF341" s="120"/>
      <c r="RG341" s="120"/>
      <c r="RH341" s="120"/>
      <c r="RI341" s="120"/>
      <c r="RJ341" s="120"/>
      <c r="RK341" s="120"/>
      <c r="RL341" s="120"/>
      <c r="RM341" s="120"/>
      <c r="RN341" s="120"/>
      <c r="RO341" s="120"/>
      <c r="RP341" s="120"/>
      <c r="RQ341" s="120"/>
      <c r="RR341" s="120"/>
      <c r="RS341" s="120"/>
      <c r="RT341" s="120"/>
      <c r="RU341" s="120"/>
      <c r="RV341" s="120"/>
      <c r="RW341" s="120"/>
      <c r="RX341" s="120"/>
      <c r="RY341" s="120"/>
      <c r="RZ341" s="120"/>
      <c r="SA341" s="120"/>
      <c r="SB341" s="120"/>
      <c r="SC341" s="120"/>
      <c r="SD341" s="120"/>
      <c r="SE341" s="120"/>
      <c r="SF341" s="120"/>
      <c r="SG341" s="120"/>
      <c r="SH341" s="120"/>
      <c r="SI341" s="120"/>
      <c r="SJ341" s="120"/>
      <c r="SK341" s="120"/>
      <c r="SL341" s="120"/>
      <c r="SM341" s="120"/>
      <c r="SN341" s="120"/>
      <c r="SO341" s="120"/>
      <c r="SP341" s="120"/>
      <c r="SQ341" s="120"/>
      <c r="SR341" s="120"/>
      <c r="SS341" s="120"/>
      <c r="ST341" s="120"/>
      <c r="SU341" s="120"/>
      <c r="SV341" s="120"/>
      <c r="SW341" s="120"/>
      <c r="SX341" s="120"/>
      <c r="SY341" s="120"/>
      <c r="SZ341" s="120"/>
      <c r="TA341" s="120"/>
      <c r="TB341" s="120"/>
      <c r="TC341" s="120"/>
      <c r="TD341" s="120"/>
      <c r="TE341" s="120"/>
    </row>
    <row r="342" spans="1:525" s="121" customFormat="1" ht="65.25" customHeight="1" x14ac:dyDescent="0.25">
      <c r="A342" s="117" t="s">
        <v>203</v>
      </c>
      <c r="B342" s="118" t="str">
        <f>'дод 6'!A182</f>
        <v>6084</v>
      </c>
      <c r="C342" s="118" t="str">
        <f>'дод 6'!B182</f>
        <v>0610</v>
      </c>
      <c r="D342" s="122" t="str">
        <f>'дод 6'!C182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2" s="81">
        <f t="shared" si="158"/>
        <v>0</v>
      </c>
      <c r="F342" s="81"/>
      <c r="G342" s="81"/>
      <c r="H342" s="81"/>
      <c r="I342" s="81"/>
      <c r="J342" s="81">
        <f t="shared" ref="J342:J365" si="161">L342+O342</f>
        <v>130712.55</v>
      </c>
      <c r="K342" s="81"/>
      <c r="L342" s="81"/>
      <c r="M342" s="81"/>
      <c r="N342" s="81"/>
      <c r="O342" s="81">
        <f>104390+26322.55</f>
        <v>130712.55</v>
      </c>
      <c r="P342" s="81">
        <f t="shared" si="159"/>
        <v>130712.55</v>
      </c>
      <c r="Q342" s="26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  <c r="IW342" s="120"/>
      <c r="IX342" s="120"/>
      <c r="IY342" s="120"/>
      <c r="IZ342" s="120"/>
      <c r="JA342" s="120"/>
      <c r="JB342" s="120"/>
      <c r="JC342" s="120"/>
      <c r="JD342" s="120"/>
      <c r="JE342" s="120"/>
      <c r="JF342" s="120"/>
      <c r="JG342" s="120"/>
      <c r="JH342" s="120"/>
      <c r="JI342" s="120"/>
      <c r="JJ342" s="120"/>
      <c r="JK342" s="120"/>
      <c r="JL342" s="120"/>
      <c r="JM342" s="120"/>
      <c r="JN342" s="120"/>
      <c r="JO342" s="120"/>
      <c r="JP342" s="120"/>
      <c r="JQ342" s="120"/>
      <c r="JR342" s="120"/>
      <c r="JS342" s="120"/>
      <c r="JT342" s="120"/>
      <c r="JU342" s="120"/>
      <c r="JV342" s="120"/>
      <c r="JW342" s="120"/>
      <c r="JX342" s="120"/>
      <c r="JY342" s="120"/>
      <c r="JZ342" s="120"/>
      <c r="KA342" s="120"/>
      <c r="KB342" s="120"/>
      <c r="KC342" s="120"/>
      <c r="KD342" s="120"/>
      <c r="KE342" s="120"/>
      <c r="KF342" s="120"/>
      <c r="KG342" s="120"/>
      <c r="KH342" s="120"/>
      <c r="KI342" s="120"/>
      <c r="KJ342" s="120"/>
      <c r="KK342" s="120"/>
      <c r="KL342" s="120"/>
      <c r="KM342" s="120"/>
      <c r="KN342" s="120"/>
      <c r="KO342" s="120"/>
      <c r="KP342" s="120"/>
      <c r="KQ342" s="120"/>
      <c r="KR342" s="120"/>
      <c r="KS342" s="120"/>
      <c r="KT342" s="120"/>
      <c r="KU342" s="120"/>
      <c r="KV342" s="120"/>
      <c r="KW342" s="120"/>
      <c r="KX342" s="120"/>
      <c r="KY342" s="120"/>
      <c r="KZ342" s="120"/>
      <c r="LA342" s="120"/>
      <c r="LB342" s="120"/>
      <c r="LC342" s="120"/>
      <c r="LD342" s="120"/>
      <c r="LE342" s="120"/>
      <c r="LF342" s="120"/>
      <c r="LG342" s="120"/>
      <c r="LH342" s="120"/>
      <c r="LI342" s="120"/>
      <c r="LJ342" s="120"/>
      <c r="LK342" s="120"/>
      <c r="LL342" s="120"/>
      <c r="LM342" s="120"/>
      <c r="LN342" s="120"/>
      <c r="LO342" s="120"/>
      <c r="LP342" s="120"/>
      <c r="LQ342" s="120"/>
      <c r="LR342" s="120"/>
      <c r="LS342" s="120"/>
      <c r="LT342" s="120"/>
      <c r="LU342" s="120"/>
      <c r="LV342" s="120"/>
      <c r="LW342" s="120"/>
      <c r="LX342" s="120"/>
      <c r="LY342" s="120"/>
      <c r="LZ342" s="120"/>
      <c r="MA342" s="120"/>
      <c r="MB342" s="120"/>
      <c r="MC342" s="120"/>
      <c r="MD342" s="120"/>
      <c r="ME342" s="120"/>
      <c r="MF342" s="120"/>
      <c r="MG342" s="120"/>
      <c r="MH342" s="120"/>
      <c r="MI342" s="120"/>
      <c r="MJ342" s="120"/>
      <c r="MK342" s="120"/>
      <c r="ML342" s="120"/>
      <c r="MM342" s="120"/>
      <c r="MN342" s="120"/>
      <c r="MO342" s="120"/>
      <c r="MP342" s="120"/>
      <c r="MQ342" s="120"/>
      <c r="MR342" s="120"/>
      <c r="MS342" s="120"/>
      <c r="MT342" s="120"/>
      <c r="MU342" s="120"/>
      <c r="MV342" s="120"/>
      <c r="MW342" s="120"/>
      <c r="MX342" s="120"/>
      <c r="MY342" s="120"/>
      <c r="MZ342" s="120"/>
      <c r="NA342" s="120"/>
      <c r="NB342" s="120"/>
      <c r="NC342" s="120"/>
      <c r="ND342" s="120"/>
      <c r="NE342" s="120"/>
      <c r="NF342" s="120"/>
      <c r="NG342" s="120"/>
      <c r="NH342" s="120"/>
      <c r="NI342" s="120"/>
      <c r="NJ342" s="120"/>
      <c r="NK342" s="120"/>
      <c r="NL342" s="120"/>
      <c r="NM342" s="120"/>
      <c r="NN342" s="120"/>
      <c r="NO342" s="120"/>
      <c r="NP342" s="120"/>
      <c r="NQ342" s="120"/>
      <c r="NR342" s="120"/>
      <c r="NS342" s="120"/>
      <c r="NT342" s="120"/>
      <c r="NU342" s="120"/>
      <c r="NV342" s="120"/>
      <c r="NW342" s="120"/>
      <c r="NX342" s="120"/>
      <c r="NY342" s="120"/>
      <c r="NZ342" s="120"/>
      <c r="OA342" s="120"/>
      <c r="OB342" s="120"/>
      <c r="OC342" s="120"/>
      <c r="OD342" s="120"/>
      <c r="OE342" s="120"/>
      <c r="OF342" s="120"/>
      <c r="OG342" s="120"/>
      <c r="OH342" s="120"/>
      <c r="OI342" s="120"/>
      <c r="OJ342" s="120"/>
      <c r="OK342" s="120"/>
      <c r="OL342" s="120"/>
      <c r="OM342" s="120"/>
      <c r="ON342" s="120"/>
      <c r="OO342" s="120"/>
      <c r="OP342" s="120"/>
      <c r="OQ342" s="120"/>
      <c r="OR342" s="120"/>
      <c r="OS342" s="120"/>
      <c r="OT342" s="120"/>
      <c r="OU342" s="120"/>
      <c r="OV342" s="120"/>
      <c r="OW342" s="120"/>
      <c r="OX342" s="120"/>
      <c r="OY342" s="120"/>
      <c r="OZ342" s="120"/>
      <c r="PA342" s="120"/>
      <c r="PB342" s="120"/>
      <c r="PC342" s="120"/>
      <c r="PD342" s="120"/>
      <c r="PE342" s="120"/>
      <c r="PF342" s="120"/>
      <c r="PG342" s="120"/>
      <c r="PH342" s="120"/>
      <c r="PI342" s="120"/>
      <c r="PJ342" s="120"/>
      <c r="PK342" s="120"/>
      <c r="PL342" s="120"/>
      <c r="PM342" s="120"/>
      <c r="PN342" s="120"/>
      <c r="PO342" s="120"/>
      <c r="PP342" s="120"/>
      <c r="PQ342" s="120"/>
      <c r="PR342" s="120"/>
      <c r="PS342" s="120"/>
      <c r="PT342" s="120"/>
      <c r="PU342" s="120"/>
      <c r="PV342" s="120"/>
      <c r="PW342" s="120"/>
      <c r="PX342" s="120"/>
      <c r="PY342" s="120"/>
      <c r="PZ342" s="120"/>
      <c r="QA342" s="120"/>
      <c r="QB342" s="120"/>
      <c r="QC342" s="120"/>
      <c r="QD342" s="120"/>
      <c r="QE342" s="120"/>
      <c r="QF342" s="120"/>
      <c r="QG342" s="120"/>
      <c r="QH342" s="120"/>
      <c r="QI342" s="120"/>
      <c r="QJ342" s="120"/>
      <c r="QK342" s="120"/>
      <c r="QL342" s="120"/>
      <c r="QM342" s="120"/>
      <c r="QN342" s="120"/>
      <c r="QO342" s="120"/>
      <c r="QP342" s="120"/>
      <c r="QQ342" s="120"/>
      <c r="QR342" s="120"/>
      <c r="QS342" s="120"/>
      <c r="QT342" s="120"/>
      <c r="QU342" s="120"/>
      <c r="QV342" s="120"/>
      <c r="QW342" s="120"/>
      <c r="QX342" s="120"/>
      <c r="QY342" s="120"/>
      <c r="QZ342" s="120"/>
      <c r="RA342" s="120"/>
      <c r="RB342" s="120"/>
      <c r="RC342" s="120"/>
      <c r="RD342" s="120"/>
      <c r="RE342" s="120"/>
      <c r="RF342" s="120"/>
      <c r="RG342" s="120"/>
      <c r="RH342" s="120"/>
      <c r="RI342" s="120"/>
      <c r="RJ342" s="120"/>
      <c r="RK342" s="120"/>
      <c r="RL342" s="120"/>
      <c r="RM342" s="120"/>
      <c r="RN342" s="120"/>
      <c r="RO342" s="120"/>
      <c r="RP342" s="120"/>
      <c r="RQ342" s="120"/>
      <c r="RR342" s="120"/>
      <c r="RS342" s="120"/>
      <c r="RT342" s="120"/>
      <c r="RU342" s="120"/>
      <c r="RV342" s="120"/>
      <c r="RW342" s="120"/>
      <c r="RX342" s="120"/>
      <c r="RY342" s="120"/>
      <c r="RZ342" s="120"/>
      <c r="SA342" s="120"/>
      <c r="SB342" s="120"/>
      <c r="SC342" s="120"/>
      <c r="SD342" s="120"/>
      <c r="SE342" s="120"/>
      <c r="SF342" s="120"/>
      <c r="SG342" s="120"/>
      <c r="SH342" s="120"/>
      <c r="SI342" s="120"/>
      <c r="SJ342" s="120"/>
      <c r="SK342" s="120"/>
      <c r="SL342" s="120"/>
      <c r="SM342" s="120"/>
      <c r="SN342" s="120"/>
      <c r="SO342" s="120"/>
      <c r="SP342" s="120"/>
      <c r="SQ342" s="120"/>
      <c r="SR342" s="120"/>
      <c r="SS342" s="120"/>
      <c r="ST342" s="120"/>
      <c r="SU342" s="120"/>
      <c r="SV342" s="120"/>
      <c r="SW342" s="120"/>
      <c r="SX342" s="120"/>
      <c r="SY342" s="120"/>
      <c r="SZ342" s="120"/>
      <c r="TA342" s="120"/>
      <c r="TB342" s="120"/>
      <c r="TC342" s="120"/>
      <c r="TD342" s="120"/>
      <c r="TE342" s="120"/>
    </row>
    <row r="343" spans="1:525" s="121" customFormat="1" ht="31.5" x14ac:dyDescent="0.25">
      <c r="A343" s="117" t="s">
        <v>272</v>
      </c>
      <c r="B343" s="118" t="str">
        <f>'дод 6'!A198</f>
        <v>7310</v>
      </c>
      <c r="C343" s="118" t="str">
        <f>'дод 6'!B198</f>
        <v>0443</v>
      </c>
      <c r="D343" s="122" t="s">
        <v>695</v>
      </c>
      <c r="E343" s="81">
        <f t="shared" si="158"/>
        <v>0</v>
      </c>
      <c r="F343" s="81"/>
      <c r="G343" s="81"/>
      <c r="H343" s="81"/>
      <c r="I343" s="81"/>
      <c r="J343" s="81">
        <f t="shared" si="161"/>
        <v>6043714</v>
      </c>
      <c r="K343" s="81">
        <f>4200000+43714+200000+200000+500000+900000</f>
        <v>6043714</v>
      </c>
      <c r="L343" s="81"/>
      <c r="M343" s="81"/>
      <c r="N343" s="81"/>
      <c r="O343" s="81">
        <f>4200000+43714+200000+200000+500000+900000</f>
        <v>6043714</v>
      </c>
      <c r="P343" s="81">
        <f t="shared" si="159"/>
        <v>6043714</v>
      </c>
      <c r="Q343" s="26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  <c r="IW343" s="120"/>
      <c r="IX343" s="120"/>
      <c r="IY343" s="120"/>
      <c r="IZ343" s="120"/>
      <c r="JA343" s="120"/>
      <c r="JB343" s="120"/>
      <c r="JC343" s="120"/>
      <c r="JD343" s="120"/>
      <c r="JE343" s="120"/>
      <c r="JF343" s="120"/>
      <c r="JG343" s="120"/>
      <c r="JH343" s="120"/>
      <c r="JI343" s="120"/>
      <c r="JJ343" s="120"/>
      <c r="JK343" s="120"/>
      <c r="JL343" s="120"/>
      <c r="JM343" s="120"/>
      <c r="JN343" s="120"/>
      <c r="JO343" s="120"/>
      <c r="JP343" s="120"/>
      <c r="JQ343" s="120"/>
      <c r="JR343" s="120"/>
      <c r="JS343" s="120"/>
      <c r="JT343" s="120"/>
      <c r="JU343" s="120"/>
      <c r="JV343" s="120"/>
      <c r="JW343" s="120"/>
      <c r="JX343" s="120"/>
      <c r="JY343" s="120"/>
      <c r="JZ343" s="120"/>
      <c r="KA343" s="120"/>
      <c r="KB343" s="120"/>
      <c r="KC343" s="120"/>
      <c r="KD343" s="120"/>
      <c r="KE343" s="120"/>
      <c r="KF343" s="120"/>
      <c r="KG343" s="120"/>
      <c r="KH343" s="120"/>
      <c r="KI343" s="120"/>
      <c r="KJ343" s="120"/>
      <c r="KK343" s="120"/>
      <c r="KL343" s="120"/>
      <c r="KM343" s="120"/>
      <c r="KN343" s="120"/>
      <c r="KO343" s="120"/>
      <c r="KP343" s="120"/>
      <c r="KQ343" s="120"/>
      <c r="KR343" s="120"/>
      <c r="KS343" s="120"/>
      <c r="KT343" s="120"/>
      <c r="KU343" s="120"/>
      <c r="KV343" s="120"/>
      <c r="KW343" s="120"/>
      <c r="KX343" s="120"/>
      <c r="KY343" s="120"/>
      <c r="KZ343" s="120"/>
      <c r="LA343" s="120"/>
      <c r="LB343" s="120"/>
      <c r="LC343" s="120"/>
      <c r="LD343" s="120"/>
      <c r="LE343" s="120"/>
      <c r="LF343" s="120"/>
      <c r="LG343" s="120"/>
      <c r="LH343" s="120"/>
      <c r="LI343" s="120"/>
      <c r="LJ343" s="120"/>
      <c r="LK343" s="120"/>
      <c r="LL343" s="120"/>
      <c r="LM343" s="120"/>
      <c r="LN343" s="120"/>
      <c r="LO343" s="120"/>
      <c r="LP343" s="120"/>
      <c r="LQ343" s="120"/>
      <c r="LR343" s="120"/>
      <c r="LS343" s="120"/>
      <c r="LT343" s="120"/>
      <c r="LU343" s="120"/>
      <c r="LV343" s="120"/>
      <c r="LW343" s="120"/>
      <c r="LX343" s="120"/>
      <c r="LY343" s="120"/>
      <c r="LZ343" s="120"/>
      <c r="MA343" s="120"/>
      <c r="MB343" s="120"/>
      <c r="MC343" s="120"/>
      <c r="MD343" s="120"/>
      <c r="ME343" s="120"/>
      <c r="MF343" s="120"/>
      <c r="MG343" s="120"/>
      <c r="MH343" s="120"/>
      <c r="MI343" s="120"/>
      <c r="MJ343" s="120"/>
      <c r="MK343" s="120"/>
      <c r="ML343" s="120"/>
      <c r="MM343" s="120"/>
      <c r="MN343" s="120"/>
      <c r="MO343" s="120"/>
      <c r="MP343" s="120"/>
      <c r="MQ343" s="120"/>
      <c r="MR343" s="120"/>
      <c r="MS343" s="120"/>
      <c r="MT343" s="120"/>
      <c r="MU343" s="120"/>
      <c r="MV343" s="120"/>
      <c r="MW343" s="120"/>
      <c r="MX343" s="120"/>
      <c r="MY343" s="120"/>
      <c r="MZ343" s="120"/>
      <c r="NA343" s="120"/>
      <c r="NB343" s="120"/>
      <c r="NC343" s="120"/>
      <c r="ND343" s="120"/>
      <c r="NE343" s="120"/>
      <c r="NF343" s="120"/>
      <c r="NG343" s="120"/>
      <c r="NH343" s="120"/>
      <c r="NI343" s="120"/>
      <c r="NJ343" s="120"/>
      <c r="NK343" s="120"/>
      <c r="NL343" s="120"/>
      <c r="NM343" s="120"/>
      <c r="NN343" s="120"/>
      <c r="NO343" s="120"/>
      <c r="NP343" s="120"/>
      <c r="NQ343" s="120"/>
      <c r="NR343" s="120"/>
      <c r="NS343" s="120"/>
      <c r="NT343" s="120"/>
      <c r="NU343" s="120"/>
      <c r="NV343" s="120"/>
      <c r="NW343" s="120"/>
      <c r="NX343" s="120"/>
      <c r="NY343" s="120"/>
      <c r="NZ343" s="120"/>
      <c r="OA343" s="120"/>
      <c r="OB343" s="120"/>
      <c r="OC343" s="120"/>
      <c r="OD343" s="120"/>
      <c r="OE343" s="120"/>
      <c r="OF343" s="120"/>
      <c r="OG343" s="120"/>
      <c r="OH343" s="120"/>
      <c r="OI343" s="120"/>
      <c r="OJ343" s="120"/>
      <c r="OK343" s="120"/>
      <c r="OL343" s="120"/>
      <c r="OM343" s="120"/>
      <c r="ON343" s="120"/>
      <c r="OO343" s="120"/>
      <c r="OP343" s="120"/>
      <c r="OQ343" s="120"/>
      <c r="OR343" s="120"/>
      <c r="OS343" s="120"/>
      <c r="OT343" s="120"/>
      <c r="OU343" s="120"/>
      <c r="OV343" s="120"/>
      <c r="OW343" s="120"/>
      <c r="OX343" s="120"/>
      <c r="OY343" s="120"/>
      <c r="OZ343" s="120"/>
      <c r="PA343" s="120"/>
      <c r="PB343" s="120"/>
      <c r="PC343" s="120"/>
      <c r="PD343" s="120"/>
      <c r="PE343" s="120"/>
      <c r="PF343" s="120"/>
      <c r="PG343" s="120"/>
      <c r="PH343" s="120"/>
      <c r="PI343" s="120"/>
      <c r="PJ343" s="120"/>
      <c r="PK343" s="120"/>
      <c r="PL343" s="120"/>
      <c r="PM343" s="120"/>
      <c r="PN343" s="120"/>
      <c r="PO343" s="120"/>
      <c r="PP343" s="120"/>
      <c r="PQ343" s="120"/>
      <c r="PR343" s="120"/>
      <c r="PS343" s="120"/>
      <c r="PT343" s="120"/>
      <c r="PU343" s="120"/>
      <c r="PV343" s="120"/>
      <c r="PW343" s="120"/>
      <c r="PX343" s="120"/>
      <c r="PY343" s="120"/>
      <c r="PZ343" s="120"/>
      <c r="QA343" s="120"/>
      <c r="QB343" s="120"/>
      <c r="QC343" s="120"/>
      <c r="QD343" s="120"/>
      <c r="QE343" s="120"/>
      <c r="QF343" s="120"/>
      <c r="QG343" s="120"/>
      <c r="QH343" s="120"/>
      <c r="QI343" s="120"/>
      <c r="QJ343" s="120"/>
      <c r="QK343" s="120"/>
      <c r="QL343" s="120"/>
      <c r="QM343" s="120"/>
      <c r="QN343" s="120"/>
      <c r="QO343" s="120"/>
      <c r="QP343" s="120"/>
      <c r="QQ343" s="120"/>
      <c r="QR343" s="120"/>
      <c r="QS343" s="120"/>
      <c r="QT343" s="120"/>
      <c r="QU343" s="120"/>
      <c r="QV343" s="120"/>
      <c r="QW343" s="120"/>
      <c r="QX343" s="120"/>
      <c r="QY343" s="120"/>
      <c r="QZ343" s="120"/>
      <c r="RA343" s="120"/>
      <c r="RB343" s="120"/>
      <c r="RC343" s="120"/>
      <c r="RD343" s="120"/>
      <c r="RE343" s="120"/>
      <c r="RF343" s="120"/>
      <c r="RG343" s="120"/>
      <c r="RH343" s="120"/>
      <c r="RI343" s="120"/>
      <c r="RJ343" s="120"/>
      <c r="RK343" s="120"/>
      <c r="RL343" s="120"/>
      <c r="RM343" s="120"/>
      <c r="RN343" s="120"/>
      <c r="RO343" s="120"/>
      <c r="RP343" s="120"/>
      <c r="RQ343" s="120"/>
      <c r="RR343" s="120"/>
      <c r="RS343" s="120"/>
      <c r="RT343" s="120"/>
      <c r="RU343" s="120"/>
      <c r="RV343" s="120"/>
      <c r="RW343" s="120"/>
      <c r="RX343" s="120"/>
      <c r="RY343" s="120"/>
      <c r="RZ343" s="120"/>
      <c r="SA343" s="120"/>
      <c r="SB343" s="120"/>
      <c r="SC343" s="120"/>
      <c r="SD343" s="120"/>
      <c r="SE343" s="120"/>
      <c r="SF343" s="120"/>
      <c r="SG343" s="120"/>
      <c r="SH343" s="120"/>
      <c r="SI343" s="120"/>
      <c r="SJ343" s="120"/>
      <c r="SK343" s="120"/>
      <c r="SL343" s="120"/>
      <c r="SM343" s="120"/>
      <c r="SN343" s="120"/>
      <c r="SO343" s="120"/>
      <c r="SP343" s="120"/>
      <c r="SQ343" s="120"/>
      <c r="SR343" s="120"/>
      <c r="SS343" s="120"/>
      <c r="ST343" s="120"/>
      <c r="SU343" s="120"/>
      <c r="SV343" s="120"/>
      <c r="SW343" s="120"/>
      <c r="SX343" s="120"/>
      <c r="SY343" s="120"/>
      <c r="SZ343" s="120"/>
      <c r="TA343" s="120"/>
      <c r="TB343" s="120"/>
      <c r="TC343" s="120"/>
      <c r="TD343" s="120"/>
      <c r="TE343" s="120"/>
    </row>
    <row r="344" spans="1:525" s="121" customFormat="1" ht="30.75" customHeight="1" x14ac:dyDescent="0.25">
      <c r="A344" s="117" t="s">
        <v>273</v>
      </c>
      <c r="B344" s="118" t="str">
        <f>'дод 6'!A200</f>
        <v>7321</v>
      </c>
      <c r="C344" s="118" t="str">
        <f>'дод 6'!B200</f>
        <v>0443</v>
      </c>
      <c r="D344" s="132" t="str">
        <f>'дод 6'!C200</f>
        <v>Будівництво1 освітніх установ та закладів</v>
      </c>
      <c r="E344" s="81">
        <f t="shared" si="158"/>
        <v>0</v>
      </c>
      <c r="F344" s="81"/>
      <c r="G344" s="81"/>
      <c r="H344" s="81"/>
      <c r="I344" s="81"/>
      <c r="J344" s="81">
        <f t="shared" si="161"/>
        <v>4541407</v>
      </c>
      <c r="K344" s="81">
        <f>3000000+904392+1000000+100000+150000+150000+850000+500000-250000-3000000+100000+1500000+37015-500000</f>
        <v>4541407</v>
      </c>
      <c r="L344" s="81"/>
      <c r="M344" s="81"/>
      <c r="N344" s="81"/>
      <c r="O344" s="81">
        <f>3000000+904392+1000000+100000+150000+150000+850000+500000-250000-3000000+100000+1500000+37015-500000</f>
        <v>4541407</v>
      </c>
      <c r="P344" s="81">
        <f t="shared" si="159"/>
        <v>4541407</v>
      </c>
      <c r="Q344" s="26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  <c r="IW344" s="120"/>
      <c r="IX344" s="120"/>
      <c r="IY344" s="120"/>
      <c r="IZ344" s="120"/>
      <c r="JA344" s="120"/>
      <c r="JB344" s="120"/>
      <c r="JC344" s="120"/>
      <c r="JD344" s="120"/>
      <c r="JE344" s="120"/>
      <c r="JF344" s="120"/>
      <c r="JG344" s="120"/>
      <c r="JH344" s="120"/>
      <c r="JI344" s="120"/>
      <c r="JJ344" s="120"/>
      <c r="JK344" s="120"/>
      <c r="JL344" s="120"/>
      <c r="JM344" s="120"/>
      <c r="JN344" s="120"/>
      <c r="JO344" s="120"/>
      <c r="JP344" s="120"/>
      <c r="JQ344" s="120"/>
      <c r="JR344" s="120"/>
      <c r="JS344" s="120"/>
      <c r="JT344" s="120"/>
      <c r="JU344" s="120"/>
      <c r="JV344" s="120"/>
      <c r="JW344" s="120"/>
      <c r="JX344" s="120"/>
      <c r="JY344" s="120"/>
      <c r="JZ344" s="120"/>
      <c r="KA344" s="120"/>
      <c r="KB344" s="120"/>
      <c r="KC344" s="120"/>
      <c r="KD344" s="120"/>
      <c r="KE344" s="120"/>
      <c r="KF344" s="120"/>
      <c r="KG344" s="120"/>
      <c r="KH344" s="120"/>
      <c r="KI344" s="120"/>
      <c r="KJ344" s="120"/>
      <c r="KK344" s="120"/>
      <c r="KL344" s="120"/>
      <c r="KM344" s="120"/>
      <c r="KN344" s="120"/>
      <c r="KO344" s="120"/>
      <c r="KP344" s="120"/>
      <c r="KQ344" s="120"/>
      <c r="KR344" s="120"/>
      <c r="KS344" s="120"/>
      <c r="KT344" s="120"/>
      <c r="KU344" s="120"/>
      <c r="KV344" s="120"/>
      <c r="KW344" s="120"/>
      <c r="KX344" s="120"/>
      <c r="KY344" s="120"/>
      <c r="KZ344" s="120"/>
      <c r="LA344" s="120"/>
      <c r="LB344" s="120"/>
      <c r="LC344" s="120"/>
      <c r="LD344" s="120"/>
      <c r="LE344" s="120"/>
      <c r="LF344" s="120"/>
      <c r="LG344" s="120"/>
      <c r="LH344" s="120"/>
      <c r="LI344" s="120"/>
      <c r="LJ344" s="120"/>
      <c r="LK344" s="120"/>
      <c r="LL344" s="120"/>
      <c r="LM344" s="120"/>
      <c r="LN344" s="120"/>
      <c r="LO344" s="120"/>
      <c r="LP344" s="120"/>
      <c r="LQ344" s="120"/>
      <c r="LR344" s="120"/>
      <c r="LS344" s="120"/>
      <c r="LT344" s="120"/>
      <c r="LU344" s="120"/>
      <c r="LV344" s="120"/>
      <c r="LW344" s="120"/>
      <c r="LX344" s="120"/>
      <c r="LY344" s="120"/>
      <c r="LZ344" s="120"/>
      <c r="MA344" s="120"/>
      <c r="MB344" s="120"/>
      <c r="MC344" s="120"/>
      <c r="MD344" s="120"/>
      <c r="ME344" s="120"/>
      <c r="MF344" s="120"/>
      <c r="MG344" s="120"/>
      <c r="MH344" s="120"/>
      <c r="MI344" s="120"/>
      <c r="MJ344" s="120"/>
      <c r="MK344" s="120"/>
      <c r="ML344" s="120"/>
      <c r="MM344" s="120"/>
      <c r="MN344" s="120"/>
      <c r="MO344" s="120"/>
      <c r="MP344" s="120"/>
      <c r="MQ344" s="120"/>
      <c r="MR344" s="120"/>
      <c r="MS344" s="120"/>
      <c r="MT344" s="120"/>
      <c r="MU344" s="120"/>
      <c r="MV344" s="120"/>
      <c r="MW344" s="120"/>
      <c r="MX344" s="120"/>
      <c r="MY344" s="120"/>
      <c r="MZ344" s="120"/>
      <c r="NA344" s="120"/>
      <c r="NB344" s="120"/>
      <c r="NC344" s="120"/>
      <c r="ND344" s="120"/>
      <c r="NE344" s="120"/>
      <c r="NF344" s="120"/>
      <c r="NG344" s="120"/>
      <c r="NH344" s="120"/>
      <c r="NI344" s="120"/>
      <c r="NJ344" s="120"/>
      <c r="NK344" s="120"/>
      <c r="NL344" s="120"/>
      <c r="NM344" s="120"/>
      <c r="NN344" s="120"/>
      <c r="NO344" s="120"/>
      <c r="NP344" s="120"/>
      <c r="NQ344" s="120"/>
      <c r="NR344" s="120"/>
      <c r="NS344" s="120"/>
      <c r="NT344" s="120"/>
      <c r="NU344" s="120"/>
      <c r="NV344" s="120"/>
      <c r="NW344" s="120"/>
      <c r="NX344" s="120"/>
      <c r="NY344" s="120"/>
      <c r="NZ344" s="120"/>
      <c r="OA344" s="120"/>
      <c r="OB344" s="120"/>
      <c r="OC344" s="120"/>
      <c r="OD344" s="120"/>
      <c r="OE344" s="120"/>
      <c r="OF344" s="120"/>
      <c r="OG344" s="120"/>
      <c r="OH344" s="120"/>
      <c r="OI344" s="120"/>
      <c r="OJ344" s="120"/>
      <c r="OK344" s="120"/>
      <c r="OL344" s="120"/>
      <c r="OM344" s="120"/>
      <c r="ON344" s="120"/>
      <c r="OO344" s="120"/>
      <c r="OP344" s="120"/>
      <c r="OQ344" s="120"/>
      <c r="OR344" s="120"/>
      <c r="OS344" s="120"/>
      <c r="OT344" s="120"/>
      <c r="OU344" s="120"/>
      <c r="OV344" s="120"/>
      <c r="OW344" s="120"/>
      <c r="OX344" s="120"/>
      <c r="OY344" s="120"/>
      <c r="OZ344" s="120"/>
      <c r="PA344" s="120"/>
      <c r="PB344" s="120"/>
      <c r="PC344" s="120"/>
      <c r="PD344" s="120"/>
      <c r="PE344" s="120"/>
      <c r="PF344" s="120"/>
      <c r="PG344" s="120"/>
      <c r="PH344" s="120"/>
      <c r="PI344" s="120"/>
      <c r="PJ344" s="120"/>
      <c r="PK344" s="120"/>
      <c r="PL344" s="120"/>
      <c r="PM344" s="120"/>
      <c r="PN344" s="120"/>
      <c r="PO344" s="120"/>
      <c r="PP344" s="120"/>
      <c r="PQ344" s="120"/>
      <c r="PR344" s="120"/>
      <c r="PS344" s="120"/>
      <c r="PT344" s="120"/>
      <c r="PU344" s="120"/>
      <c r="PV344" s="120"/>
      <c r="PW344" s="120"/>
      <c r="PX344" s="120"/>
      <c r="PY344" s="120"/>
      <c r="PZ344" s="120"/>
      <c r="QA344" s="120"/>
      <c r="QB344" s="120"/>
      <c r="QC344" s="120"/>
      <c r="QD344" s="120"/>
      <c r="QE344" s="120"/>
      <c r="QF344" s="120"/>
      <c r="QG344" s="120"/>
      <c r="QH344" s="120"/>
      <c r="QI344" s="120"/>
      <c r="QJ344" s="120"/>
      <c r="QK344" s="120"/>
      <c r="QL344" s="120"/>
      <c r="QM344" s="120"/>
      <c r="QN344" s="120"/>
      <c r="QO344" s="120"/>
      <c r="QP344" s="120"/>
      <c r="QQ344" s="120"/>
      <c r="QR344" s="120"/>
      <c r="QS344" s="120"/>
      <c r="QT344" s="120"/>
      <c r="QU344" s="120"/>
      <c r="QV344" s="120"/>
      <c r="QW344" s="120"/>
      <c r="QX344" s="120"/>
      <c r="QY344" s="120"/>
      <c r="QZ344" s="120"/>
      <c r="RA344" s="120"/>
      <c r="RB344" s="120"/>
      <c r="RC344" s="120"/>
      <c r="RD344" s="120"/>
      <c r="RE344" s="120"/>
      <c r="RF344" s="120"/>
      <c r="RG344" s="120"/>
      <c r="RH344" s="120"/>
      <c r="RI344" s="120"/>
      <c r="RJ344" s="120"/>
      <c r="RK344" s="120"/>
      <c r="RL344" s="120"/>
      <c r="RM344" s="120"/>
      <c r="RN344" s="120"/>
      <c r="RO344" s="120"/>
      <c r="RP344" s="120"/>
      <c r="RQ344" s="120"/>
      <c r="RR344" s="120"/>
      <c r="RS344" s="120"/>
      <c r="RT344" s="120"/>
      <c r="RU344" s="120"/>
      <c r="RV344" s="120"/>
      <c r="RW344" s="120"/>
      <c r="RX344" s="120"/>
      <c r="RY344" s="120"/>
      <c r="RZ344" s="120"/>
      <c r="SA344" s="120"/>
      <c r="SB344" s="120"/>
      <c r="SC344" s="120"/>
      <c r="SD344" s="120"/>
      <c r="SE344" s="120"/>
      <c r="SF344" s="120"/>
      <c r="SG344" s="120"/>
      <c r="SH344" s="120"/>
      <c r="SI344" s="120"/>
      <c r="SJ344" s="120"/>
      <c r="SK344" s="120"/>
      <c r="SL344" s="120"/>
      <c r="SM344" s="120"/>
      <c r="SN344" s="120"/>
      <c r="SO344" s="120"/>
      <c r="SP344" s="120"/>
      <c r="SQ344" s="120"/>
      <c r="SR344" s="120"/>
      <c r="SS344" s="120"/>
      <c r="ST344" s="120"/>
      <c r="SU344" s="120"/>
      <c r="SV344" s="120"/>
      <c r="SW344" s="120"/>
      <c r="SX344" s="120"/>
      <c r="SY344" s="120"/>
      <c r="SZ344" s="120"/>
      <c r="TA344" s="120"/>
      <c r="TB344" s="120"/>
      <c r="TC344" s="120"/>
      <c r="TD344" s="120"/>
      <c r="TE344" s="120"/>
    </row>
    <row r="345" spans="1:525" s="121" customFormat="1" ht="31.5" customHeight="1" x14ac:dyDescent="0.25">
      <c r="A345" s="117" t="s">
        <v>275</v>
      </c>
      <c r="B345" s="118" t="str">
        <f>'дод 6'!A202</f>
        <v>7322</v>
      </c>
      <c r="C345" s="118" t="str">
        <f>'дод 6'!B202</f>
        <v>0443</v>
      </c>
      <c r="D345" s="132" t="str">
        <f>'дод 6'!C202</f>
        <v>Будівництво1 медичних установ та закладів</v>
      </c>
      <c r="E345" s="81">
        <f t="shared" si="158"/>
        <v>0</v>
      </c>
      <c r="F345" s="81"/>
      <c r="G345" s="81"/>
      <c r="H345" s="81"/>
      <c r="I345" s="81"/>
      <c r="J345" s="81">
        <f t="shared" si="161"/>
        <v>9071975</v>
      </c>
      <c r="K345" s="81">
        <f>71975+6900000+400000+1691100+1200000+308900-1500000</f>
        <v>9071975</v>
      </c>
      <c r="L345" s="81"/>
      <c r="M345" s="81"/>
      <c r="N345" s="81"/>
      <c r="O345" s="81">
        <f>71975+6900000+400000+1691100+1200000+308900-1500000</f>
        <v>9071975</v>
      </c>
      <c r="P345" s="81">
        <f t="shared" si="159"/>
        <v>9071975</v>
      </c>
      <c r="Q345" s="26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  <c r="IW345" s="120"/>
      <c r="IX345" s="120"/>
      <c r="IY345" s="120"/>
      <c r="IZ345" s="120"/>
      <c r="JA345" s="120"/>
      <c r="JB345" s="120"/>
      <c r="JC345" s="120"/>
      <c r="JD345" s="120"/>
      <c r="JE345" s="120"/>
      <c r="JF345" s="120"/>
      <c r="JG345" s="120"/>
      <c r="JH345" s="120"/>
      <c r="JI345" s="120"/>
      <c r="JJ345" s="120"/>
      <c r="JK345" s="120"/>
      <c r="JL345" s="120"/>
      <c r="JM345" s="120"/>
      <c r="JN345" s="120"/>
      <c r="JO345" s="120"/>
      <c r="JP345" s="120"/>
      <c r="JQ345" s="120"/>
      <c r="JR345" s="120"/>
      <c r="JS345" s="120"/>
      <c r="JT345" s="120"/>
      <c r="JU345" s="120"/>
      <c r="JV345" s="120"/>
      <c r="JW345" s="120"/>
      <c r="JX345" s="120"/>
      <c r="JY345" s="120"/>
      <c r="JZ345" s="120"/>
      <c r="KA345" s="120"/>
      <c r="KB345" s="120"/>
      <c r="KC345" s="120"/>
      <c r="KD345" s="120"/>
      <c r="KE345" s="120"/>
      <c r="KF345" s="120"/>
      <c r="KG345" s="120"/>
      <c r="KH345" s="120"/>
      <c r="KI345" s="120"/>
      <c r="KJ345" s="120"/>
      <c r="KK345" s="120"/>
      <c r="KL345" s="120"/>
      <c r="KM345" s="120"/>
      <c r="KN345" s="120"/>
      <c r="KO345" s="120"/>
      <c r="KP345" s="120"/>
      <c r="KQ345" s="120"/>
      <c r="KR345" s="120"/>
      <c r="KS345" s="120"/>
      <c r="KT345" s="120"/>
      <c r="KU345" s="120"/>
      <c r="KV345" s="120"/>
      <c r="KW345" s="120"/>
      <c r="KX345" s="120"/>
      <c r="KY345" s="120"/>
      <c r="KZ345" s="120"/>
      <c r="LA345" s="120"/>
      <c r="LB345" s="120"/>
      <c r="LC345" s="120"/>
      <c r="LD345" s="120"/>
      <c r="LE345" s="120"/>
      <c r="LF345" s="120"/>
      <c r="LG345" s="120"/>
      <c r="LH345" s="120"/>
      <c r="LI345" s="120"/>
      <c r="LJ345" s="120"/>
      <c r="LK345" s="120"/>
      <c r="LL345" s="120"/>
      <c r="LM345" s="120"/>
      <c r="LN345" s="120"/>
      <c r="LO345" s="120"/>
      <c r="LP345" s="120"/>
      <c r="LQ345" s="120"/>
      <c r="LR345" s="120"/>
      <c r="LS345" s="120"/>
      <c r="LT345" s="120"/>
      <c r="LU345" s="120"/>
      <c r="LV345" s="120"/>
      <c r="LW345" s="120"/>
      <c r="LX345" s="120"/>
      <c r="LY345" s="120"/>
      <c r="LZ345" s="120"/>
      <c r="MA345" s="120"/>
      <c r="MB345" s="120"/>
      <c r="MC345" s="120"/>
      <c r="MD345" s="120"/>
      <c r="ME345" s="120"/>
      <c r="MF345" s="120"/>
      <c r="MG345" s="120"/>
      <c r="MH345" s="120"/>
      <c r="MI345" s="120"/>
      <c r="MJ345" s="120"/>
      <c r="MK345" s="120"/>
      <c r="ML345" s="120"/>
      <c r="MM345" s="120"/>
      <c r="MN345" s="120"/>
      <c r="MO345" s="120"/>
      <c r="MP345" s="120"/>
      <c r="MQ345" s="120"/>
      <c r="MR345" s="120"/>
      <c r="MS345" s="120"/>
      <c r="MT345" s="120"/>
      <c r="MU345" s="120"/>
      <c r="MV345" s="120"/>
      <c r="MW345" s="120"/>
      <c r="MX345" s="120"/>
      <c r="MY345" s="120"/>
      <c r="MZ345" s="120"/>
      <c r="NA345" s="120"/>
      <c r="NB345" s="120"/>
      <c r="NC345" s="120"/>
      <c r="ND345" s="120"/>
      <c r="NE345" s="120"/>
      <c r="NF345" s="120"/>
      <c r="NG345" s="120"/>
      <c r="NH345" s="120"/>
      <c r="NI345" s="120"/>
      <c r="NJ345" s="120"/>
      <c r="NK345" s="120"/>
      <c r="NL345" s="120"/>
      <c r="NM345" s="120"/>
      <c r="NN345" s="120"/>
      <c r="NO345" s="120"/>
      <c r="NP345" s="120"/>
      <c r="NQ345" s="120"/>
      <c r="NR345" s="120"/>
      <c r="NS345" s="120"/>
      <c r="NT345" s="120"/>
      <c r="NU345" s="120"/>
      <c r="NV345" s="120"/>
      <c r="NW345" s="120"/>
      <c r="NX345" s="120"/>
      <c r="NY345" s="120"/>
      <c r="NZ345" s="120"/>
      <c r="OA345" s="120"/>
      <c r="OB345" s="120"/>
      <c r="OC345" s="120"/>
      <c r="OD345" s="120"/>
      <c r="OE345" s="120"/>
      <c r="OF345" s="120"/>
      <c r="OG345" s="120"/>
      <c r="OH345" s="120"/>
      <c r="OI345" s="120"/>
      <c r="OJ345" s="120"/>
      <c r="OK345" s="120"/>
      <c r="OL345" s="120"/>
      <c r="OM345" s="120"/>
      <c r="ON345" s="120"/>
      <c r="OO345" s="120"/>
      <c r="OP345" s="120"/>
      <c r="OQ345" s="120"/>
      <c r="OR345" s="120"/>
      <c r="OS345" s="120"/>
      <c r="OT345" s="120"/>
      <c r="OU345" s="120"/>
      <c r="OV345" s="120"/>
      <c r="OW345" s="120"/>
      <c r="OX345" s="120"/>
      <c r="OY345" s="120"/>
      <c r="OZ345" s="120"/>
      <c r="PA345" s="120"/>
      <c r="PB345" s="120"/>
      <c r="PC345" s="120"/>
      <c r="PD345" s="120"/>
      <c r="PE345" s="120"/>
      <c r="PF345" s="120"/>
      <c r="PG345" s="120"/>
      <c r="PH345" s="120"/>
      <c r="PI345" s="120"/>
      <c r="PJ345" s="120"/>
      <c r="PK345" s="120"/>
      <c r="PL345" s="120"/>
      <c r="PM345" s="120"/>
      <c r="PN345" s="120"/>
      <c r="PO345" s="120"/>
      <c r="PP345" s="120"/>
      <c r="PQ345" s="120"/>
      <c r="PR345" s="120"/>
      <c r="PS345" s="120"/>
      <c r="PT345" s="120"/>
      <c r="PU345" s="120"/>
      <c r="PV345" s="120"/>
      <c r="PW345" s="120"/>
      <c r="PX345" s="120"/>
      <c r="PY345" s="120"/>
      <c r="PZ345" s="120"/>
      <c r="QA345" s="120"/>
      <c r="QB345" s="120"/>
      <c r="QC345" s="120"/>
      <c r="QD345" s="120"/>
      <c r="QE345" s="120"/>
      <c r="QF345" s="120"/>
      <c r="QG345" s="120"/>
      <c r="QH345" s="120"/>
      <c r="QI345" s="120"/>
      <c r="QJ345" s="120"/>
      <c r="QK345" s="120"/>
      <c r="QL345" s="120"/>
      <c r="QM345" s="120"/>
      <c r="QN345" s="120"/>
      <c r="QO345" s="120"/>
      <c r="QP345" s="120"/>
      <c r="QQ345" s="120"/>
      <c r="QR345" s="120"/>
      <c r="QS345" s="120"/>
      <c r="QT345" s="120"/>
      <c r="QU345" s="120"/>
      <c r="QV345" s="120"/>
      <c r="QW345" s="120"/>
      <c r="QX345" s="120"/>
      <c r="QY345" s="120"/>
      <c r="QZ345" s="120"/>
      <c r="RA345" s="120"/>
      <c r="RB345" s="120"/>
      <c r="RC345" s="120"/>
      <c r="RD345" s="120"/>
      <c r="RE345" s="120"/>
      <c r="RF345" s="120"/>
      <c r="RG345" s="120"/>
      <c r="RH345" s="120"/>
      <c r="RI345" s="120"/>
      <c r="RJ345" s="120"/>
      <c r="RK345" s="120"/>
      <c r="RL345" s="120"/>
      <c r="RM345" s="120"/>
      <c r="RN345" s="120"/>
      <c r="RO345" s="120"/>
      <c r="RP345" s="120"/>
      <c r="RQ345" s="120"/>
      <c r="RR345" s="120"/>
      <c r="RS345" s="120"/>
      <c r="RT345" s="120"/>
      <c r="RU345" s="120"/>
      <c r="RV345" s="120"/>
      <c r="RW345" s="120"/>
      <c r="RX345" s="120"/>
      <c r="RY345" s="120"/>
      <c r="RZ345" s="120"/>
      <c r="SA345" s="120"/>
      <c r="SB345" s="120"/>
      <c r="SC345" s="120"/>
      <c r="SD345" s="120"/>
      <c r="SE345" s="120"/>
      <c r="SF345" s="120"/>
      <c r="SG345" s="120"/>
      <c r="SH345" s="120"/>
      <c r="SI345" s="120"/>
      <c r="SJ345" s="120"/>
      <c r="SK345" s="120"/>
      <c r="SL345" s="120"/>
      <c r="SM345" s="120"/>
      <c r="SN345" s="120"/>
      <c r="SO345" s="120"/>
      <c r="SP345" s="120"/>
      <c r="SQ345" s="120"/>
      <c r="SR345" s="120"/>
      <c r="SS345" s="120"/>
      <c r="ST345" s="120"/>
      <c r="SU345" s="120"/>
      <c r="SV345" s="120"/>
      <c r="SW345" s="120"/>
      <c r="SX345" s="120"/>
      <c r="SY345" s="120"/>
      <c r="SZ345" s="120"/>
      <c r="TA345" s="120"/>
      <c r="TB345" s="120"/>
      <c r="TC345" s="120"/>
      <c r="TD345" s="120"/>
      <c r="TE345" s="120"/>
    </row>
    <row r="346" spans="1:525" s="121" customFormat="1" ht="26.25" hidden="1" customHeight="1" x14ac:dyDescent="0.25">
      <c r="A346" s="117" t="s">
        <v>523</v>
      </c>
      <c r="B346" s="118">
        <v>7324</v>
      </c>
      <c r="C346" s="118">
        <v>443</v>
      </c>
      <c r="D346" s="132" t="str">
        <f>'дод 6'!C204</f>
        <v>Будівництво1 установ та закладів культури</v>
      </c>
      <c r="E346" s="81">
        <f t="shared" si="158"/>
        <v>0</v>
      </c>
      <c r="F346" s="81"/>
      <c r="G346" s="81"/>
      <c r="H346" s="81"/>
      <c r="I346" s="81"/>
      <c r="J346" s="81">
        <f t="shared" si="161"/>
        <v>0</v>
      </c>
      <c r="K346" s="81"/>
      <c r="L346" s="81"/>
      <c r="M346" s="81"/>
      <c r="N346" s="81"/>
      <c r="O346" s="81"/>
      <c r="P346" s="81">
        <f t="shared" si="159"/>
        <v>0</v>
      </c>
      <c r="Q346" s="26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  <c r="IW346" s="120"/>
      <c r="IX346" s="120"/>
      <c r="IY346" s="120"/>
      <c r="IZ346" s="120"/>
      <c r="JA346" s="120"/>
      <c r="JB346" s="120"/>
      <c r="JC346" s="120"/>
      <c r="JD346" s="120"/>
      <c r="JE346" s="120"/>
      <c r="JF346" s="120"/>
      <c r="JG346" s="120"/>
      <c r="JH346" s="120"/>
      <c r="JI346" s="120"/>
      <c r="JJ346" s="120"/>
      <c r="JK346" s="120"/>
      <c r="JL346" s="120"/>
      <c r="JM346" s="120"/>
      <c r="JN346" s="120"/>
      <c r="JO346" s="120"/>
      <c r="JP346" s="120"/>
      <c r="JQ346" s="120"/>
      <c r="JR346" s="120"/>
      <c r="JS346" s="120"/>
      <c r="JT346" s="120"/>
      <c r="JU346" s="120"/>
      <c r="JV346" s="120"/>
      <c r="JW346" s="120"/>
      <c r="JX346" s="120"/>
      <c r="JY346" s="120"/>
      <c r="JZ346" s="120"/>
      <c r="KA346" s="120"/>
      <c r="KB346" s="120"/>
      <c r="KC346" s="120"/>
      <c r="KD346" s="120"/>
      <c r="KE346" s="120"/>
      <c r="KF346" s="120"/>
      <c r="KG346" s="120"/>
      <c r="KH346" s="120"/>
      <c r="KI346" s="120"/>
      <c r="KJ346" s="120"/>
      <c r="KK346" s="120"/>
      <c r="KL346" s="120"/>
      <c r="KM346" s="120"/>
      <c r="KN346" s="120"/>
      <c r="KO346" s="120"/>
      <c r="KP346" s="120"/>
      <c r="KQ346" s="120"/>
      <c r="KR346" s="120"/>
      <c r="KS346" s="120"/>
      <c r="KT346" s="120"/>
      <c r="KU346" s="120"/>
      <c r="KV346" s="120"/>
      <c r="KW346" s="120"/>
      <c r="KX346" s="120"/>
      <c r="KY346" s="120"/>
      <c r="KZ346" s="120"/>
      <c r="LA346" s="120"/>
      <c r="LB346" s="120"/>
      <c r="LC346" s="120"/>
      <c r="LD346" s="120"/>
      <c r="LE346" s="120"/>
      <c r="LF346" s="120"/>
      <c r="LG346" s="120"/>
      <c r="LH346" s="120"/>
      <c r="LI346" s="120"/>
      <c r="LJ346" s="120"/>
      <c r="LK346" s="120"/>
      <c r="LL346" s="120"/>
      <c r="LM346" s="120"/>
      <c r="LN346" s="120"/>
      <c r="LO346" s="120"/>
      <c r="LP346" s="120"/>
      <c r="LQ346" s="120"/>
      <c r="LR346" s="120"/>
      <c r="LS346" s="120"/>
      <c r="LT346" s="120"/>
      <c r="LU346" s="120"/>
      <c r="LV346" s="120"/>
      <c r="LW346" s="120"/>
      <c r="LX346" s="120"/>
      <c r="LY346" s="120"/>
      <c r="LZ346" s="120"/>
      <c r="MA346" s="120"/>
      <c r="MB346" s="120"/>
      <c r="MC346" s="120"/>
      <c r="MD346" s="120"/>
      <c r="ME346" s="120"/>
      <c r="MF346" s="120"/>
      <c r="MG346" s="120"/>
      <c r="MH346" s="120"/>
      <c r="MI346" s="120"/>
      <c r="MJ346" s="120"/>
      <c r="MK346" s="120"/>
      <c r="ML346" s="120"/>
      <c r="MM346" s="120"/>
      <c r="MN346" s="120"/>
      <c r="MO346" s="120"/>
      <c r="MP346" s="120"/>
      <c r="MQ346" s="120"/>
      <c r="MR346" s="120"/>
      <c r="MS346" s="120"/>
      <c r="MT346" s="120"/>
      <c r="MU346" s="120"/>
      <c r="MV346" s="120"/>
      <c r="MW346" s="120"/>
      <c r="MX346" s="120"/>
      <c r="MY346" s="120"/>
      <c r="MZ346" s="120"/>
      <c r="NA346" s="120"/>
      <c r="NB346" s="120"/>
      <c r="NC346" s="120"/>
      <c r="ND346" s="120"/>
      <c r="NE346" s="120"/>
      <c r="NF346" s="120"/>
      <c r="NG346" s="120"/>
      <c r="NH346" s="120"/>
      <c r="NI346" s="120"/>
      <c r="NJ346" s="120"/>
      <c r="NK346" s="120"/>
      <c r="NL346" s="120"/>
      <c r="NM346" s="120"/>
      <c r="NN346" s="120"/>
      <c r="NO346" s="120"/>
      <c r="NP346" s="120"/>
      <c r="NQ346" s="120"/>
      <c r="NR346" s="120"/>
      <c r="NS346" s="120"/>
      <c r="NT346" s="120"/>
      <c r="NU346" s="120"/>
      <c r="NV346" s="120"/>
      <c r="NW346" s="120"/>
      <c r="NX346" s="120"/>
      <c r="NY346" s="120"/>
      <c r="NZ346" s="120"/>
      <c r="OA346" s="120"/>
      <c r="OB346" s="120"/>
      <c r="OC346" s="120"/>
      <c r="OD346" s="120"/>
      <c r="OE346" s="120"/>
      <c r="OF346" s="120"/>
      <c r="OG346" s="120"/>
      <c r="OH346" s="120"/>
      <c r="OI346" s="120"/>
      <c r="OJ346" s="120"/>
      <c r="OK346" s="120"/>
      <c r="OL346" s="120"/>
      <c r="OM346" s="120"/>
      <c r="ON346" s="120"/>
      <c r="OO346" s="120"/>
      <c r="OP346" s="120"/>
      <c r="OQ346" s="120"/>
      <c r="OR346" s="120"/>
      <c r="OS346" s="120"/>
      <c r="OT346" s="120"/>
      <c r="OU346" s="120"/>
      <c r="OV346" s="120"/>
      <c r="OW346" s="120"/>
      <c r="OX346" s="120"/>
      <c r="OY346" s="120"/>
      <c r="OZ346" s="120"/>
      <c r="PA346" s="120"/>
      <c r="PB346" s="120"/>
      <c r="PC346" s="120"/>
      <c r="PD346" s="120"/>
      <c r="PE346" s="120"/>
      <c r="PF346" s="120"/>
      <c r="PG346" s="120"/>
      <c r="PH346" s="120"/>
      <c r="PI346" s="120"/>
      <c r="PJ346" s="120"/>
      <c r="PK346" s="120"/>
      <c r="PL346" s="120"/>
      <c r="PM346" s="120"/>
      <c r="PN346" s="120"/>
      <c r="PO346" s="120"/>
      <c r="PP346" s="120"/>
      <c r="PQ346" s="120"/>
      <c r="PR346" s="120"/>
      <c r="PS346" s="120"/>
      <c r="PT346" s="120"/>
      <c r="PU346" s="120"/>
      <c r="PV346" s="120"/>
      <c r="PW346" s="120"/>
      <c r="PX346" s="120"/>
      <c r="PY346" s="120"/>
      <c r="PZ346" s="120"/>
      <c r="QA346" s="120"/>
      <c r="QB346" s="120"/>
      <c r="QC346" s="120"/>
      <c r="QD346" s="120"/>
      <c r="QE346" s="120"/>
      <c r="QF346" s="120"/>
      <c r="QG346" s="120"/>
      <c r="QH346" s="120"/>
      <c r="QI346" s="120"/>
      <c r="QJ346" s="120"/>
      <c r="QK346" s="120"/>
      <c r="QL346" s="120"/>
      <c r="QM346" s="120"/>
      <c r="QN346" s="120"/>
      <c r="QO346" s="120"/>
      <c r="QP346" s="120"/>
      <c r="QQ346" s="120"/>
      <c r="QR346" s="120"/>
      <c r="QS346" s="120"/>
      <c r="QT346" s="120"/>
      <c r="QU346" s="120"/>
      <c r="QV346" s="120"/>
      <c r="QW346" s="120"/>
      <c r="QX346" s="120"/>
      <c r="QY346" s="120"/>
      <c r="QZ346" s="120"/>
      <c r="RA346" s="120"/>
      <c r="RB346" s="120"/>
      <c r="RC346" s="120"/>
      <c r="RD346" s="120"/>
      <c r="RE346" s="120"/>
      <c r="RF346" s="120"/>
      <c r="RG346" s="120"/>
      <c r="RH346" s="120"/>
      <c r="RI346" s="120"/>
      <c r="RJ346" s="120"/>
      <c r="RK346" s="120"/>
      <c r="RL346" s="120"/>
      <c r="RM346" s="120"/>
      <c r="RN346" s="120"/>
      <c r="RO346" s="120"/>
      <c r="RP346" s="120"/>
      <c r="RQ346" s="120"/>
      <c r="RR346" s="120"/>
      <c r="RS346" s="120"/>
      <c r="RT346" s="120"/>
      <c r="RU346" s="120"/>
      <c r="RV346" s="120"/>
      <c r="RW346" s="120"/>
      <c r="RX346" s="120"/>
      <c r="RY346" s="120"/>
      <c r="RZ346" s="120"/>
      <c r="SA346" s="120"/>
      <c r="SB346" s="120"/>
      <c r="SC346" s="120"/>
      <c r="SD346" s="120"/>
      <c r="SE346" s="120"/>
      <c r="SF346" s="120"/>
      <c r="SG346" s="120"/>
      <c r="SH346" s="120"/>
      <c r="SI346" s="120"/>
      <c r="SJ346" s="120"/>
      <c r="SK346" s="120"/>
      <c r="SL346" s="120"/>
      <c r="SM346" s="120"/>
      <c r="SN346" s="120"/>
      <c r="SO346" s="120"/>
      <c r="SP346" s="120"/>
      <c r="SQ346" s="120"/>
      <c r="SR346" s="120"/>
      <c r="SS346" s="120"/>
      <c r="ST346" s="120"/>
      <c r="SU346" s="120"/>
      <c r="SV346" s="120"/>
      <c r="SW346" s="120"/>
      <c r="SX346" s="120"/>
      <c r="SY346" s="120"/>
      <c r="SZ346" s="120"/>
      <c r="TA346" s="120"/>
      <c r="TB346" s="120"/>
      <c r="TC346" s="120"/>
      <c r="TD346" s="120"/>
      <c r="TE346" s="120"/>
    </row>
    <row r="347" spans="1:525" s="121" customFormat="1" ht="32.25" customHeight="1" x14ac:dyDescent="0.25">
      <c r="A347" s="117" t="s">
        <v>354</v>
      </c>
      <c r="B347" s="118">
        <f>'дод 6'!A205</f>
        <v>7325</v>
      </c>
      <c r="C347" s="117" t="s">
        <v>110</v>
      </c>
      <c r="D347" s="132" t="str">
        <f>'дод 6'!C205</f>
        <v>Будівництво1 споруд, установ та закладів фізичної культури і спорту</v>
      </c>
      <c r="E347" s="81">
        <f t="shared" si="158"/>
        <v>0</v>
      </c>
      <c r="F347" s="81"/>
      <c r="G347" s="81"/>
      <c r="H347" s="81"/>
      <c r="I347" s="81"/>
      <c r="J347" s="81">
        <f t="shared" si="161"/>
        <v>293385</v>
      </c>
      <c r="K347" s="81">
        <v>293385</v>
      </c>
      <c r="L347" s="81"/>
      <c r="M347" s="81"/>
      <c r="N347" s="81"/>
      <c r="O347" s="81">
        <v>293385</v>
      </c>
      <c r="P347" s="81">
        <f t="shared" si="159"/>
        <v>293385</v>
      </c>
      <c r="Q347" s="26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  <c r="IW347" s="120"/>
      <c r="IX347" s="120"/>
      <c r="IY347" s="120"/>
      <c r="IZ347" s="120"/>
      <c r="JA347" s="120"/>
      <c r="JB347" s="120"/>
      <c r="JC347" s="120"/>
      <c r="JD347" s="120"/>
      <c r="JE347" s="120"/>
      <c r="JF347" s="120"/>
      <c r="JG347" s="120"/>
      <c r="JH347" s="120"/>
      <c r="JI347" s="120"/>
      <c r="JJ347" s="120"/>
      <c r="JK347" s="120"/>
      <c r="JL347" s="120"/>
      <c r="JM347" s="120"/>
      <c r="JN347" s="120"/>
      <c r="JO347" s="120"/>
      <c r="JP347" s="120"/>
      <c r="JQ347" s="120"/>
      <c r="JR347" s="120"/>
      <c r="JS347" s="120"/>
      <c r="JT347" s="120"/>
      <c r="JU347" s="120"/>
      <c r="JV347" s="120"/>
      <c r="JW347" s="120"/>
      <c r="JX347" s="120"/>
      <c r="JY347" s="120"/>
      <c r="JZ347" s="120"/>
      <c r="KA347" s="120"/>
      <c r="KB347" s="120"/>
      <c r="KC347" s="120"/>
      <c r="KD347" s="120"/>
      <c r="KE347" s="120"/>
      <c r="KF347" s="120"/>
      <c r="KG347" s="120"/>
      <c r="KH347" s="120"/>
      <c r="KI347" s="120"/>
      <c r="KJ347" s="120"/>
      <c r="KK347" s="120"/>
      <c r="KL347" s="120"/>
      <c r="KM347" s="120"/>
      <c r="KN347" s="120"/>
      <c r="KO347" s="120"/>
      <c r="KP347" s="120"/>
      <c r="KQ347" s="120"/>
      <c r="KR347" s="120"/>
      <c r="KS347" s="120"/>
      <c r="KT347" s="120"/>
      <c r="KU347" s="120"/>
      <c r="KV347" s="120"/>
      <c r="KW347" s="120"/>
      <c r="KX347" s="120"/>
      <c r="KY347" s="120"/>
      <c r="KZ347" s="120"/>
      <c r="LA347" s="120"/>
      <c r="LB347" s="120"/>
      <c r="LC347" s="120"/>
      <c r="LD347" s="120"/>
      <c r="LE347" s="120"/>
      <c r="LF347" s="120"/>
      <c r="LG347" s="120"/>
      <c r="LH347" s="120"/>
      <c r="LI347" s="120"/>
      <c r="LJ347" s="120"/>
      <c r="LK347" s="120"/>
      <c r="LL347" s="120"/>
      <c r="LM347" s="120"/>
      <c r="LN347" s="120"/>
      <c r="LO347" s="120"/>
      <c r="LP347" s="120"/>
      <c r="LQ347" s="120"/>
      <c r="LR347" s="120"/>
      <c r="LS347" s="120"/>
      <c r="LT347" s="120"/>
      <c r="LU347" s="120"/>
      <c r="LV347" s="120"/>
      <c r="LW347" s="120"/>
      <c r="LX347" s="120"/>
      <c r="LY347" s="120"/>
      <c r="LZ347" s="120"/>
      <c r="MA347" s="120"/>
      <c r="MB347" s="120"/>
      <c r="MC347" s="120"/>
      <c r="MD347" s="120"/>
      <c r="ME347" s="120"/>
      <c r="MF347" s="120"/>
      <c r="MG347" s="120"/>
      <c r="MH347" s="120"/>
      <c r="MI347" s="120"/>
      <c r="MJ347" s="120"/>
      <c r="MK347" s="120"/>
      <c r="ML347" s="120"/>
      <c r="MM347" s="120"/>
      <c r="MN347" s="120"/>
      <c r="MO347" s="120"/>
      <c r="MP347" s="120"/>
      <c r="MQ347" s="120"/>
      <c r="MR347" s="120"/>
      <c r="MS347" s="120"/>
      <c r="MT347" s="120"/>
      <c r="MU347" s="120"/>
      <c r="MV347" s="120"/>
      <c r="MW347" s="120"/>
      <c r="MX347" s="120"/>
      <c r="MY347" s="120"/>
      <c r="MZ347" s="120"/>
      <c r="NA347" s="120"/>
      <c r="NB347" s="120"/>
      <c r="NC347" s="120"/>
      <c r="ND347" s="120"/>
      <c r="NE347" s="120"/>
      <c r="NF347" s="120"/>
      <c r="NG347" s="120"/>
      <c r="NH347" s="120"/>
      <c r="NI347" s="120"/>
      <c r="NJ347" s="120"/>
      <c r="NK347" s="120"/>
      <c r="NL347" s="120"/>
      <c r="NM347" s="120"/>
      <c r="NN347" s="120"/>
      <c r="NO347" s="120"/>
      <c r="NP347" s="120"/>
      <c r="NQ347" s="120"/>
      <c r="NR347" s="120"/>
      <c r="NS347" s="120"/>
      <c r="NT347" s="120"/>
      <c r="NU347" s="120"/>
      <c r="NV347" s="120"/>
      <c r="NW347" s="120"/>
      <c r="NX347" s="120"/>
      <c r="NY347" s="120"/>
      <c r="NZ347" s="120"/>
      <c r="OA347" s="120"/>
      <c r="OB347" s="120"/>
      <c r="OC347" s="120"/>
      <c r="OD347" s="120"/>
      <c r="OE347" s="120"/>
      <c r="OF347" s="120"/>
      <c r="OG347" s="120"/>
      <c r="OH347" s="120"/>
      <c r="OI347" s="120"/>
      <c r="OJ347" s="120"/>
      <c r="OK347" s="120"/>
      <c r="OL347" s="120"/>
      <c r="OM347" s="120"/>
      <c r="ON347" s="120"/>
      <c r="OO347" s="120"/>
      <c r="OP347" s="120"/>
      <c r="OQ347" s="120"/>
      <c r="OR347" s="120"/>
      <c r="OS347" s="120"/>
      <c r="OT347" s="120"/>
      <c r="OU347" s="120"/>
      <c r="OV347" s="120"/>
      <c r="OW347" s="120"/>
      <c r="OX347" s="120"/>
      <c r="OY347" s="120"/>
      <c r="OZ347" s="120"/>
      <c r="PA347" s="120"/>
      <c r="PB347" s="120"/>
      <c r="PC347" s="120"/>
      <c r="PD347" s="120"/>
      <c r="PE347" s="120"/>
      <c r="PF347" s="120"/>
      <c r="PG347" s="120"/>
      <c r="PH347" s="120"/>
      <c r="PI347" s="120"/>
      <c r="PJ347" s="120"/>
      <c r="PK347" s="120"/>
      <c r="PL347" s="120"/>
      <c r="PM347" s="120"/>
      <c r="PN347" s="120"/>
      <c r="PO347" s="120"/>
      <c r="PP347" s="120"/>
      <c r="PQ347" s="120"/>
      <c r="PR347" s="120"/>
      <c r="PS347" s="120"/>
      <c r="PT347" s="120"/>
      <c r="PU347" s="120"/>
      <c r="PV347" s="120"/>
      <c r="PW347" s="120"/>
      <c r="PX347" s="120"/>
      <c r="PY347" s="120"/>
      <c r="PZ347" s="120"/>
      <c r="QA347" s="120"/>
      <c r="QB347" s="120"/>
      <c r="QC347" s="120"/>
      <c r="QD347" s="120"/>
      <c r="QE347" s="120"/>
      <c r="QF347" s="120"/>
      <c r="QG347" s="120"/>
      <c r="QH347" s="120"/>
      <c r="QI347" s="120"/>
      <c r="QJ347" s="120"/>
      <c r="QK347" s="120"/>
      <c r="QL347" s="120"/>
      <c r="QM347" s="120"/>
      <c r="QN347" s="120"/>
      <c r="QO347" s="120"/>
      <c r="QP347" s="120"/>
      <c r="QQ347" s="120"/>
      <c r="QR347" s="120"/>
      <c r="QS347" s="120"/>
      <c r="QT347" s="120"/>
      <c r="QU347" s="120"/>
      <c r="QV347" s="120"/>
      <c r="QW347" s="120"/>
      <c r="QX347" s="120"/>
      <c r="QY347" s="120"/>
      <c r="QZ347" s="120"/>
      <c r="RA347" s="120"/>
      <c r="RB347" s="120"/>
      <c r="RC347" s="120"/>
      <c r="RD347" s="120"/>
      <c r="RE347" s="120"/>
      <c r="RF347" s="120"/>
      <c r="RG347" s="120"/>
      <c r="RH347" s="120"/>
      <c r="RI347" s="120"/>
      <c r="RJ347" s="120"/>
      <c r="RK347" s="120"/>
      <c r="RL347" s="120"/>
      <c r="RM347" s="120"/>
      <c r="RN347" s="120"/>
      <c r="RO347" s="120"/>
      <c r="RP347" s="120"/>
      <c r="RQ347" s="120"/>
      <c r="RR347" s="120"/>
      <c r="RS347" s="120"/>
      <c r="RT347" s="120"/>
      <c r="RU347" s="120"/>
      <c r="RV347" s="120"/>
      <c r="RW347" s="120"/>
      <c r="RX347" s="120"/>
      <c r="RY347" s="120"/>
      <c r="RZ347" s="120"/>
      <c r="SA347" s="120"/>
      <c r="SB347" s="120"/>
      <c r="SC347" s="120"/>
      <c r="SD347" s="120"/>
      <c r="SE347" s="120"/>
      <c r="SF347" s="120"/>
      <c r="SG347" s="120"/>
      <c r="SH347" s="120"/>
      <c r="SI347" s="120"/>
      <c r="SJ347" s="120"/>
      <c r="SK347" s="120"/>
      <c r="SL347" s="120"/>
      <c r="SM347" s="120"/>
      <c r="SN347" s="120"/>
      <c r="SO347" s="120"/>
      <c r="SP347" s="120"/>
      <c r="SQ347" s="120"/>
      <c r="SR347" s="120"/>
      <c r="SS347" s="120"/>
      <c r="ST347" s="120"/>
      <c r="SU347" s="120"/>
      <c r="SV347" s="120"/>
      <c r="SW347" s="120"/>
      <c r="SX347" s="120"/>
      <c r="SY347" s="120"/>
      <c r="SZ347" s="120"/>
      <c r="TA347" s="120"/>
      <c r="TB347" s="120"/>
      <c r="TC347" s="120"/>
      <c r="TD347" s="120"/>
      <c r="TE347" s="120"/>
    </row>
    <row r="348" spans="1:525" s="121" customFormat="1" ht="30.75" customHeight="1" x14ac:dyDescent="0.25">
      <c r="A348" s="117" t="s">
        <v>277</v>
      </c>
      <c r="B348" s="118" t="str">
        <f>'дод 6'!A206</f>
        <v>7330</v>
      </c>
      <c r="C348" s="118" t="str">
        <f>'дод 6'!B206</f>
        <v>0443</v>
      </c>
      <c r="D348" s="132" t="str">
        <f>'дод 6'!C206</f>
        <v>Будівництво1 інших об'єктів комунальної власності</v>
      </c>
      <c r="E348" s="81">
        <f t="shared" si="158"/>
        <v>0</v>
      </c>
      <c r="F348" s="81"/>
      <c r="G348" s="81"/>
      <c r="H348" s="81"/>
      <c r="I348" s="81"/>
      <c r="J348" s="81">
        <f t="shared" si="161"/>
        <v>11811473</v>
      </c>
      <c r="K348" s="81">
        <f>5000000+1951473+30000+3000000+2000000+3000000+200000+930000-200000+100000-7000000+2300000+500000</f>
        <v>11811473</v>
      </c>
      <c r="L348" s="81"/>
      <c r="M348" s="81"/>
      <c r="N348" s="81"/>
      <c r="O348" s="81">
        <f>5000000+1951473+30000+3000000+2000000+3000000+200000+930000-200000+100000-7000000+2300000+500000</f>
        <v>11811473</v>
      </c>
      <c r="P348" s="81">
        <f t="shared" si="159"/>
        <v>11811473</v>
      </c>
      <c r="Q348" s="26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1" customFormat="1" ht="31.5" customHeight="1" x14ac:dyDescent="0.25">
      <c r="A349" s="117" t="s">
        <v>415</v>
      </c>
      <c r="B349" s="118">
        <v>7340</v>
      </c>
      <c r="C349" s="117" t="s">
        <v>110</v>
      </c>
      <c r="D349" s="122" t="s">
        <v>1</v>
      </c>
      <c r="E349" s="81">
        <f t="shared" si="158"/>
        <v>0</v>
      </c>
      <c r="F349" s="81"/>
      <c r="G349" s="81"/>
      <c r="H349" s="81"/>
      <c r="I349" s="81"/>
      <c r="J349" s="81">
        <f t="shared" si="161"/>
        <v>8709812</v>
      </c>
      <c r="K349" s="81">
        <f>100000+100000+100000+530266+6000000+1879546</f>
        <v>8709812</v>
      </c>
      <c r="L349" s="81"/>
      <c r="M349" s="81"/>
      <c r="N349" s="81"/>
      <c r="O349" s="81">
        <f>100000+100000+100000+530266+6000000+1879546</f>
        <v>8709812</v>
      </c>
      <c r="P349" s="81">
        <f t="shared" si="159"/>
        <v>8709812</v>
      </c>
      <c r="Q349" s="26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  <c r="IW349" s="120"/>
      <c r="IX349" s="120"/>
      <c r="IY349" s="120"/>
      <c r="IZ349" s="120"/>
      <c r="JA349" s="120"/>
      <c r="JB349" s="120"/>
      <c r="JC349" s="120"/>
      <c r="JD349" s="120"/>
      <c r="JE349" s="120"/>
      <c r="JF349" s="120"/>
      <c r="JG349" s="120"/>
      <c r="JH349" s="120"/>
      <c r="JI349" s="120"/>
      <c r="JJ349" s="120"/>
      <c r="JK349" s="120"/>
      <c r="JL349" s="120"/>
      <c r="JM349" s="120"/>
      <c r="JN349" s="120"/>
      <c r="JO349" s="120"/>
      <c r="JP349" s="120"/>
      <c r="JQ349" s="120"/>
      <c r="JR349" s="120"/>
      <c r="JS349" s="120"/>
      <c r="JT349" s="120"/>
      <c r="JU349" s="120"/>
      <c r="JV349" s="120"/>
      <c r="JW349" s="120"/>
      <c r="JX349" s="120"/>
      <c r="JY349" s="120"/>
      <c r="JZ349" s="120"/>
      <c r="KA349" s="120"/>
      <c r="KB349" s="120"/>
      <c r="KC349" s="120"/>
      <c r="KD349" s="120"/>
      <c r="KE349" s="120"/>
      <c r="KF349" s="120"/>
      <c r="KG349" s="120"/>
      <c r="KH349" s="120"/>
      <c r="KI349" s="120"/>
      <c r="KJ349" s="120"/>
      <c r="KK349" s="120"/>
      <c r="KL349" s="120"/>
      <c r="KM349" s="120"/>
      <c r="KN349" s="120"/>
      <c r="KO349" s="120"/>
      <c r="KP349" s="120"/>
      <c r="KQ349" s="120"/>
      <c r="KR349" s="120"/>
      <c r="KS349" s="120"/>
      <c r="KT349" s="120"/>
      <c r="KU349" s="120"/>
      <c r="KV349" s="120"/>
      <c r="KW349" s="120"/>
      <c r="KX349" s="120"/>
      <c r="KY349" s="120"/>
      <c r="KZ349" s="120"/>
      <c r="LA349" s="120"/>
      <c r="LB349" s="120"/>
      <c r="LC349" s="120"/>
      <c r="LD349" s="120"/>
      <c r="LE349" s="120"/>
      <c r="LF349" s="120"/>
      <c r="LG349" s="120"/>
      <c r="LH349" s="120"/>
      <c r="LI349" s="120"/>
      <c r="LJ349" s="120"/>
      <c r="LK349" s="120"/>
      <c r="LL349" s="120"/>
      <c r="LM349" s="120"/>
      <c r="LN349" s="120"/>
      <c r="LO349" s="120"/>
      <c r="LP349" s="120"/>
      <c r="LQ349" s="120"/>
      <c r="LR349" s="120"/>
      <c r="LS349" s="120"/>
      <c r="LT349" s="120"/>
      <c r="LU349" s="120"/>
      <c r="LV349" s="120"/>
      <c r="LW349" s="120"/>
      <c r="LX349" s="120"/>
      <c r="LY349" s="120"/>
      <c r="LZ349" s="120"/>
      <c r="MA349" s="120"/>
      <c r="MB349" s="120"/>
      <c r="MC349" s="120"/>
      <c r="MD349" s="120"/>
      <c r="ME349" s="120"/>
      <c r="MF349" s="120"/>
      <c r="MG349" s="120"/>
      <c r="MH349" s="120"/>
      <c r="MI349" s="120"/>
      <c r="MJ349" s="120"/>
      <c r="MK349" s="120"/>
      <c r="ML349" s="120"/>
      <c r="MM349" s="120"/>
      <c r="MN349" s="120"/>
      <c r="MO349" s="120"/>
      <c r="MP349" s="120"/>
      <c r="MQ349" s="120"/>
      <c r="MR349" s="120"/>
      <c r="MS349" s="120"/>
      <c r="MT349" s="120"/>
      <c r="MU349" s="120"/>
      <c r="MV349" s="120"/>
      <c r="MW349" s="120"/>
      <c r="MX349" s="120"/>
      <c r="MY349" s="120"/>
      <c r="MZ349" s="120"/>
      <c r="NA349" s="120"/>
      <c r="NB349" s="120"/>
      <c r="NC349" s="120"/>
      <c r="ND349" s="120"/>
      <c r="NE349" s="120"/>
      <c r="NF349" s="120"/>
      <c r="NG349" s="120"/>
      <c r="NH349" s="120"/>
      <c r="NI349" s="120"/>
      <c r="NJ349" s="120"/>
      <c r="NK349" s="120"/>
      <c r="NL349" s="120"/>
      <c r="NM349" s="120"/>
      <c r="NN349" s="120"/>
      <c r="NO349" s="120"/>
      <c r="NP349" s="120"/>
      <c r="NQ349" s="120"/>
      <c r="NR349" s="120"/>
      <c r="NS349" s="120"/>
      <c r="NT349" s="120"/>
      <c r="NU349" s="120"/>
      <c r="NV349" s="120"/>
      <c r="NW349" s="120"/>
      <c r="NX349" s="120"/>
      <c r="NY349" s="120"/>
      <c r="NZ349" s="120"/>
      <c r="OA349" s="120"/>
      <c r="OB349" s="120"/>
      <c r="OC349" s="120"/>
      <c r="OD349" s="120"/>
      <c r="OE349" s="120"/>
      <c r="OF349" s="120"/>
      <c r="OG349" s="120"/>
      <c r="OH349" s="120"/>
      <c r="OI349" s="120"/>
      <c r="OJ349" s="120"/>
      <c r="OK349" s="120"/>
      <c r="OL349" s="120"/>
      <c r="OM349" s="120"/>
      <c r="ON349" s="120"/>
      <c r="OO349" s="120"/>
      <c r="OP349" s="120"/>
      <c r="OQ349" s="120"/>
      <c r="OR349" s="120"/>
      <c r="OS349" s="120"/>
      <c r="OT349" s="120"/>
      <c r="OU349" s="120"/>
      <c r="OV349" s="120"/>
      <c r="OW349" s="120"/>
      <c r="OX349" s="120"/>
      <c r="OY349" s="120"/>
      <c r="OZ349" s="120"/>
      <c r="PA349" s="120"/>
      <c r="PB349" s="120"/>
      <c r="PC349" s="120"/>
      <c r="PD349" s="120"/>
      <c r="PE349" s="120"/>
      <c r="PF349" s="120"/>
      <c r="PG349" s="120"/>
      <c r="PH349" s="120"/>
      <c r="PI349" s="120"/>
      <c r="PJ349" s="120"/>
      <c r="PK349" s="120"/>
      <c r="PL349" s="120"/>
      <c r="PM349" s="120"/>
      <c r="PN349" s="120"/>
      <c r="PO349" s="120"/>
      <c r="PP349" s="120"/>
      <c r="PQ349" s="120"/>
      <c r="PR349" s="120"/>
      <c r="PS349" s="120"/>
      <c r="PT349" s="120"/>
      <c r="PU349" s="120"/>
      <c r="PV349" s="120"/>
      <c r="PW349" s="120"/>
      <c r="PX349" s="120"/>
      <c r="PY349" s="120"/>
      <c r="PZ349" s="120"/>
      <c r="QA349" s="120"/>
      <c r="QB349" s="120"/>
      <c r="QC349" s="120"/>
      <c r="QD349" s="120"/>
      <c r="QE349" s="120"/>
      <c r="QF349" s="120"/>
      <c r="QG349" s="120"/>
      <c r="QH349" s="120"/>
      <c r="QI349" s="120"/>
      <c r="QJ349" s="120"/>
      <c r="QK349" s="120"/>
      <c r="QL349" s="120"/>
      <c r="QM349" s="120"/>
      <c r="QN349" s="120"/>
      <c r="QO349" s="120"/>
      <c r="QP349" s="120"/>
      <c r="QQ349" s="120"/>
      <c r="QR349" s="120"/>
      <c r="QS349" s="120"/>
      <c r="QT349" s="120"/>
      <c r="QU349" s="120"/>
      <c r="QV349" s="120"/>
      <c r="QW349" s="120"/>
      <c r="QX349" s="120"/>
      <c r="QY349" s="120"/>
      <c r="QZ349" s="120"/>
      <c r="RA349" s="120"/>
      <c r="RB349" s="120"/>
      <c r="RC349" s="120"/>
      <c r="RD349" s="120"/>
      <c r="RE349" s="120"/>
      <c r="RF349" s="120"/>
      <c r="RG349" s="120"/>
      <c r="RH349" s="120"/>
      <c r="RI349" s="120"/>
      <c r="RJ349" s="120"/>
      <c r="RK349" s="120"/>
      <c r="RL349" s="120"/>
      <c r="RM349" s="120"/>
      <c r="RN349" s="120"/>
      <c r="RO349" s="120"/>
      <c r="RP349" s="120"/>
      <c r="RQ349" s="120"/>
      <c r="RR349" s="120"/>
      <c r="RS349" s="120"/>
      <c r="RT349" s="120"/>
      <c r="RU349" s="120"/>
      <c r="RV349" s="120"/>
      <c r="RW349" s="120"/>
      <c r="RX349" s="120"/>
      <c r="RY349" s="120"/>
      <c r="RZ349" s="120"/>
      <c r="SA349" s="120"/>
      <c r="SB349" s="120"/>
      <c r="SC349" s="120"/>
      <c r="SD349" s="120"/>
      <c r="SE349" s="120"/>
      <c r="SF349" s="120"/>
      <c r="SG349" s="120"/>
      <c r="SH349" s="120"/>
      <c r="SI349" s="120"/>
      <c r="SJ349" s="120"/>
      <c r="SK349" s="120"/>
      <c r="SL349" s="120"/>
      <c r="SM349" s="120"/>
      <c r="SN349" s="120"/>
      <c r="SO349" s="120"/>
      <c r="SP349" s="120"/>
      <c r="SQ349" s="120"/>
      <c r="SR349" s="120"/>
      <c r="SS349" s="120"/>
      <c r="ST349" s="120"/>
      <c r="SU349" s="120"/>
      <c r="SV349" s="120"/>
      <c r="SW349" s="120"/>
      <c r="SX349" s="120"/>
      <c r="SY349" s="120"/>
      <c r="SZ349" s="120"/>
      <c r="TA349" s="120"/>
      <c r="TB349" s="120"/>
      <c r="TC349" s="120"/>
      <c r="TD349" s="120"/>
      <c r="TE349" s="120"/>
    </row>
    <row r="350" spans="1:525" s="121" customFormat="1" ht="53.25" customHeight="1" x14ac:dyDescent="0.25">
      <c r="A350" s="117" t="s">
        <v>366</v>
      </c>
      <c r="B350" s="118">
        <f>'дод 6'!A209</f>
        <v>7361</v>
      </c>
      <c r="C350" s="118" t="str">
        <f>'дод 6'!B209</f>
        <v>0490</v>
      </c>
      <c r="D350" s="122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350" s="81">
        <f t="shared" ref="E350" si="162">F350+I350</f>
        <v>0</v>
      </c>
      <c r="F350" s="81"/>
      <c r="G350" s="81"/>
      <c r="H350" s="81"/>
      <c r="I350" s="81"/>
      <c r="J350" s="81">
        <f t="shared" ref="J350" si="163">L350+O350</f>
        <v>16683471</v>
      </c>
      <c r="K350" s="81">
        <f>4500000+183471+5000000+6000000+1000000</f>
        <v>16683471</v>
      </c>
      <c r="L350" s="81"/>
      <c r="M350" s="81"/>
      <c r="N350" s="81"/>
      <c r="O350" s="81">
        <f>4500000+183471+5000000+6000000+1000000</f>
        <v>16683471</v>
      </c>
      <c r="P350" s="81">
        <f t="shared" si="159"/>
        <v>16683471</v>
      </c>
      <c r="Q350" s="26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  <c r="IW350" s="120"/>
      <c r="IX350" s="120"/>
      <c r="IY350" s="120"/>
      <c r="IZ350" s="120"/>
      <c r="JA350" s="120"/>
      <c r="JB350" s="120"/>
      <c r="JC350" s="120"/>
      <c r="JD350" s="120"/>
      <c r="JE350" s="120"/>
      <c r="JF350" s="120"/>
      <c r="JG350" s="120"/>
      <c r="JH350" s="120"/>
      <c r="JI350" s="120"/>
      <c r="JJ350" s="120"/>
      <c r="JK350" s="120"/>
      <c r="JL350" s="120"/>
      <c r="JM350" s="120"/>
      <c r="JN350" s="120"/>
      <c r="JO350" s="120"/>
      <c r="JP350" s="120"/>
      <c r="JQ350" s="120"/>
      <c r="JR350" s="120"/>
      <c r="JS350" s="120"/>
      <c r="JT350" s="120"/>
      <c r="JU350" s="120"/>
      <c r="JV350" s="120"/>
      <c r="JW350" s="120"/>
      <c r="JX350" s="120"/>
      <c r="JY350" s="120"/>
      <c r="JZ350" s="120"/>
      <c r="KA350" s="120"/>
      <c r="KB350" s="120"/>
      <c r="KC350" s="120"/>
      <c r="KD350" s="120"/>
      <c r="KE350" s="120"/>
      <c r="KF350" s="120"/>
      <c r="KG350" s="120"/>
      <c r="KH350" s="120"/>
      <c r="KI350" s="120"/>
      <c r="KJ350" s="120"/>
      <c r="KK350" s="120"/>
      <c r="KL350" s="120"/>
      <c r="KM350" s="120"/>
      <c r="KN350" s="120"/>
      <c r="KO350" s="120"/>
      <c r="KP350" s="120"/>
      <c r="KQ350" s="120"/>
      <c r="KR350" s="120"/>
      <c r="KS350" s="120"/>
      <c r="KT350" s="120"/>
      <c r="KU350" s="120"/>
      <c r="KV350" s="120"/>
      <c r="KW350" s="120"/>
      <c r="KX350" s="120"/>
      <c r="KY350" s="120"/>
      <c r="KZ350" s="120"/>
      <c r="LA350" s="120"/>
      <c r="LB350" s="120"/>
      <c r="LC350" s="120"/>
      <c r="LD350" s="120"/>
      <c r="LE350" s="120"/>
      <c r="LF350" s="120"/>
      <c r="LG350" s="120"/>
      <c r="LH350" s="120"/>
      <c r="LI350" s="120"/>
      <c r="LJ350" s="120"/>
      <c r="LK350" s="120"/>
      <c r="LL350" s="120"/>
      <c r="LM350" s="120"/>
      <c r="LN350" s="120"/>
      <c r="LO350" s="120"/>
      <c r="LP350" s="120"/>
      <c r="LQ350" s="120"/>
      <c r="LR350" s="120"/>
      <c r="LS350" s="120"/>
      <c r="LT350" s="120"/>
      <c r="LU350" s="120"/>
      <c r="LV350" s="120"/>
      <c r="LW350" s="120"/>
      <c r="LX350" s="120"/>
      <c r="LY350" s="120"/>
      <c r="LZ350" s="120"/>
      <c r="MA350" s="120"/>
      <c r="MB350" s="120"/>
      <c r="MC350" s="120"/>
      <c r="MD350" s="120"/>
      <c r="ME350" s="120"/>
      <c r="MF350" s="120"/>
      <c r="MG350" s="120"/>
      <c r="MH350" s="120"/>
      <c r="MI350" s="120"/>
      <c r="MJ350" s="120"/>
      <c r="MK350" s="120"/>
      <c r="ML350" s="120"/>
      <c r="MM350" s="120"/>
      <c r="MN350" s="120"/>
      <c r="MO350" s="120"/>
      <c r="MP350" s="120"/>
      <c r="MQ350" s="120"/>
      <c r="MR350" s="120"/>
      <c r="MS350" s="120"/>
      <c r="MT350" s="120"/>
      <c r="MU350" s="120"/>
      <c r="MV350" s="120"/>
      <c r="MW350" s="120"/>
      <c r="MX350" s="120"/>
      <c r="MY350" s="120"/>
      <c r="MZ350" s="120"/>
      <c r="NA350" s="120"/>
      <c r="NB350" s="120"/>
      <c r="NC350" s="120"/>
      <c r="ND350" s="120"/>
      <c r="NE350" s="120"/>
      <c r="NF350" s="120"/>
      <c r="NG350" s="120"/>
      <c r="NH350" s="120"/>
      <c r="NI350" s="120"/>
      <c r="NJ350" s="120"/>
      <c r="NK350" s="120"/>
      <c r="NL350" s="120"/>
      <c r="NM350" s="120"/>
      <c r="NN350" s="120"/>
      <c r="NO350" s="120"/>
      <c r="NP350" s="120"/>
      <c r="NQ350" s="120"/>
      <c r="NR350" s="120"/>
      <c r="NS350" s="120"/>
      <c r="NT350" s="120"/>
      <c r="NU350" s="120"/>
      <c r="NV350" s="120"/>
      <c r="NW350" s="120"/>
      <c r="NX350" s="120"/>
      <c r="NY350" s="120"/>
      <c r="NZ350" s="120"/>
      <c r="OA350" s="120"/>
      <c r="OB350" s="120"/>
      <c r="OC350" s="120"/>
      <c r="OD350" s="120"/>
      <c r="OE350" s="120"/>
      <c r="OF350" s="120"/>
      <c r="OG350" s="120"/>
      <c r="OH350" s="120"/>
      <c r="OI350" s="120"/>
      <c r="OJ350" s="120"/>
      <c r="OK350" s="120"/>
      <c r="OL350" s="120"/>
      <c r="OM350" s="120"/>
      <c r="ON350" s="120"/>
      <c r="OO350" s="120"/>
      <c r="OP350" s="120"/>
      <c r="OQ350" s="120"/>
      <c r="OR350" s="120"/>
      <c r="OS350" s="120"/>
      <c r="OT350" s="120"/>
      <c r="OU350" s="120"/>
      <c r="OV350" s="120"/>
      <c r="OW350" s="120"/>
      <c r="OX350" s="120"/>
      <c r="OY350" s="120"/>
      <c r="OZ350" s="120"/>
      <c r="PA350" s="120"/>
      <c r="PB350" s="120"/>
      <c r="PC350" s="120"/>
      <c r="PD350" s="120"/>
      <c r="PE350" s="120"/>
      <c r="PF350" s="120"/>
      <c r="PG350" s="120"/>
      <c r="PH350" s="120"/>
      <c r="PI350" s="120"/>
      <c r="PJ350" s="120"/>
      <c r="PK350" s="120"/>
      <c r="PL350" s="120"/>
      <c r="PM350" s="120"/>
      <c r="PN350" s="120"/>
      <c r="PO350" s="120"/>
      <c r="PP350" s="120"/>
      <c r="PQ350" s="120"/>
      <c r="PR350" s="120"/>
      <c r="PS350" s="120"/>
      <c r="PT350" s="120"/>
      <c r="PU350" s="120"/>
      <c r="PV350" s="120"/>
      <c r="PW350" s="120"/>
      <c r="PX350" s="120"/>
      <c r="PY350" s="120"/>
      <c r="PZ350" s="120"/>
      <c r="QA350" s="120"/>
      <c r="QB350" s="120"/>
      <c r="QC350" s="120"/>
      <c r="QD350" s="120"/>
      <c r="QE350" s="120"/>
      <c r="QF350" s="120"/>
      <c r="QG350" s="120"/>
      <c r="QH350" s="120"/>
      <c r="QI350" s="120"/>
      <c r="QJ350" s="120"/>
      <c r="QK350" s="120"/>
      <c r="QL350" s="120"/>
      <c r="QM350" s="120"/>
      <c r="QN350" s="120"/>
      <c r="QO350" s="120"/>
      <c r="QP350" s="120"/>
      <c r="QQ350" s="120"/>
      <c r="QR350" s="120"/>
      <c r="QS350" s="120"/>
      <c r="QT350" s="120"/>
      <c r="QU350" s="120"/>
      <c r="QV350" s="120"/>
      <c r="QW350" s="120"/>
      <c r="QX350" s="120"/>
      <c r="QY350" s="120"/>
      <c r="QZ350" s="120"/>
      <c r="RA350" s="120"/>
      <c r="RB350" s="120"/>
      <c r="RC350" s="120"/>
      <c r="RD350" s="120"/>
      <c r="RE350" s="120"/>
      <c r="RF350" s="120"/>
      <c r="RG350" s="120"/>
      <c r="RH350" s="120"/>
      <c r="RI350" s="120"/>
      <c r="RJ350" s="120"/>
      <c r="RK350" s="120"/>
      <c r="RL350" s="120"/>
      <c r="RM350" s="120"/>
      <c r="RN350" s="120"/>
      <c r="RO350" s="120"/>
      <c r="RP350" s="120"/>
      <c r="RQ350" s="120"/>
      <c r="RR350" s="120"/>
      <c r="RS350" s="120"/>
      <c r="RT350" s="120"/>
      <c r="RU350" s="120"/>
      <c r="RV350" s="120"/>
      <c r="RW350" s="120"/>
      <c r="RX350" s="120"/>
      <c r="RY350" s="120"/>
      <c r="RZ350" s="120"/>
      <c r="SA350" s="120"/>
      <c r="SB350" s="120"/>
      <c r="SC350" s="120"/>
      <c r="SD350" s="120"/>
      <c r="SE350" s="120"/>
      <c r="SF350" s="120"/>
      <c r="SG350" s="120"/>
      <c r="SH350" s="120"/>
      <c r="SI350" s="120"/>
      <c r="SJ350" s="120"/>
      <c r="SK350" s="120"/>
      <c r="SL350" s="120"/>
      <c r="SM350" s="120"/>
      <c r="SN350" s="120"/>
      <c r="SO350" s="120"/>
      <c r="SP350" s="120"/>
      <c r="SQ350" s="120"/>
      <c r="SR350" s="120"/>
      <c r="SS350" s="120"/>
      <c r="ST350" s="120"/>
      <c r="SU350" s="120"/>
      <c r="SV350" s="120"/>
      <c r="SW350" s="120"/>
      <c r="SX350" s="120"/>
      <c r="SY350" s="120"/>
      <c r="SZ350" s="120"/>
      <c r="TA350" s="120"/>
      <c r="TB350" s="120"/>
      <c r="TC350" s="120"/>
      <c r="TD350" s="120"/>
      <c r="TE350" s="120"/>
    </row>
    <row r="351" spans="1:525" s="121" customFormat="1" ht="47.25" hidden="1" customHeight="1" x14ac:dyDescent="0.25">
      <c r="A351" s="117" t="s">
        <v>361</v>
      </c>
      <c r="B351" s="118">
        <v>7363</v>
      </c>
      <c r="C351" s="117" t="s">
        <v>81</v>
      </c>
      <c r="D351" s="122" t="s">
        <v>635</v>
      </c>
      <c r="E351" s="81">
        <f t="shared" si="158"/>
        <v>0</v>
      </c>
      <c r="F351" s="81"/>
      <c r="G351" s="81"/>
      <c r="H351" s="81"/>
      <c r="I351" s="81"/>
      <c r="J351" s="81">
        <f t="shared" si="161"/>
        <v>0</v>
      </c>
      <c r="K351" s="81"/>
      <c r="L351" s="81"/>
      <c r="M351" s="81"/>
      <c r="N351" s="81"/>
      <c r="O351" s="81"/>
      <c r="P351" s="81">
        <f t="shared" si="159"/>
        <v>0</v>
      </c>
      <c r="Q351" s="26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  <c r="IW351" s="120"/>
      <c r="IX351" s="120"/>
      <c r="IY351" s="120"/>
      <c r="IZ351" s="120"/>
      <c r="JA351" s="120"/>
      <c r="JB351" s="120"/>
      <c r="JC351" s="120"/>
      <c r="JD351" s="120"/>
      <c r="JE351" s="120"/>
      <c r="JF351" s="120"/>
      <c r="JG351" s="120"/>
      <c r="JH351" s="120"/>
      <c r="JI351" s="120"/>
      <c r="JJ351" s="120"/>
      <c r="JK351" s="120"/>
      <c r="JL351" s="120"/>
      <c r="JM351" s="120"/>
      <c r="JN351" s="120"/>
      <c r="JO351" s="120"/>
      <c r="JP351" s="120"/>
      <c r="JQ351" s="120"/>
      <c r="JR351" s="120"/>
      <c r="JS351" s="120"/>
      <c r="JT351" s="120"/>
      <c r="JU351" s="120"/>
      <c r="JV351" s="120"/>
      <c r="JW351" s="120"/>
      <c r="JX351" s="120"/>
      <c r="JY351" s="120"/>
      <c r="JZ351" s="120"/>
      <c r="KA351" s="120"/>
      <c r="KB351" s="120"/>
      <c r="KC351" s="120"/>
      <c r="KD351" s="120"/>
      <c r="KE351" s="120"/>
      <c r="KF351" s="120"/>
      <c r="KG351" s="120"/>
      <c r="KH351" s="120"/>
      <c r="KI351" s="120"/>
      <c r="KJ351" s="120"/>
      <c r="KK351" s="120"/>
      <c r="KL351" s="120"/>
      <c r="KM351" s="120"/>
      <c r="KN351" s="120"/>
      <c r="KO351" s="120"/>
      <c r="KP351" s="120"/>
      <c r="KQ351" s="120"/>
      <c r="KR351" s="120"/>
      <c r="KS351" s="120"/>
      <c r="KT351" s="120"/>
      <c r="KU351" s="120"/>
      <c r="KV351" s="120"/>
      <c r="KW351" s="120"/>
      <c r="KX351" s="120"/>
      <c r="KY351" s="120"/>
      <c r="KZ351" s="120"/>
      <c r="LA351" s="120"/>
      <c r="LB351" s="120"/>
      <c r="LC351" s="120"/>
      <c r="LD351" s="120"/>
      <c r="LE351" s="120"/>
      <c r="LF351" s="120"/>
      <c r="LG351" s="120"/>
      <c r="LH351" s="120"/>
      <c r="LI351" s="120"/>
      <c r="LJ351" s="120"/>
      <c r="LK351" s="120"/>
      <c r="LL351" s="120"/>
      <c r="LM351" s="120"/>
      <c r="LN351" s="120"/>
      <c r="LO351" s="120"/>
      <c r="LP351" s="120"/>
      <c r="LQ351" s="120"/>
      <c r="LR351" s="120"/>
      <c r="LS351" s="120"/>
      <c r="LT351" s="120"/>
      <c r="LU351" s="120"/>
      <c r="LV351" s="120"/>
      <c r="LW351" s="120"/>
      <c r="LX351" s="120"/>
      <c r="LY351" s="120"/>
      <c r="LZ351" s="120"/>
      <c r="MA351" s="120"/>
      <c r="MB351" s="120"/>
      <c r="MC351" s="120"/>
      <c r="MD351" s="120"/>
      <c r="ME351" s="120"/>
      <c r="MF351" s="120"/>
      <c r="MG351" s="120"/>
      <c r="MH351" s="120"/>
      <c r="MI351" s="120"/>
      <c r="MJ351" s="120"/>
      <c r="MK351" s="120"/>
      <c r="ML351" s="120"/>
      <c r="MM351" s="120"/>
      <c r="MN351" s="120"/>
      <c r="MO351" s="120"/>
      <c r="MP351" s="120"/>
      <c r="MQ351" s="120"/>
      <c r="MR351" s="120"/>
      <c r="MS351" s="120"/>
      <c r="MT351" s="120"/>
      <c r="MU351" s="120"/>
      <c r="MV351" s="120"/>
      <c r="MW351" s="120"/>
      <c r="MX351" s="120"/>
      <c r="MY351" s="120"/>
      <c r="MZ351" s="120"/>
      <c r="NA351" s="120"/>
      <c r="NB351" s="120"/>
      <c r="NC351" s="120"/>
      <c r="ND351" s="120"/>
      <c r="NE351" s="120"/>
      <c r="NF351" s="120"/>
      <c r="NG351" s="120"/>
      <c r="NH351" s="120"/>
      <c r="NI351" s="120"/>
      <c r="NJ351" s="120"/>
      <c r="NK351" s="120"/>
      <c r="NL351" s="120"/>
      <c r="NM351" s="120"/>
      <c r="NN351" s="120"/>
      <c r="NO351" s="120"/>
      <c r="NP351" s="120"/>
      <c r="NQ351" s="120"/>
      <c r="NR351" s="120"/>
      <c r="NS351" s="120"/>
      <c r="NT351" s="120"/>
      <c r="NU351" s="120"/>
      <c r="NV351" s="120"/>
      <c r="NW351" s="120"/>
      <c r="NX351" s="120"/>
      <c r="NY351" s="120"/>
      <c r="NZ351" s="120"/>
      <c r="OA351" s="120"/>
      <c r="OB351" s="120"/>
      <c r="OC351" s="120"/>
      <c r="OD351" s="120"/>
      <c r="OE351" s="120"/>
      <c r="OF351" s="120"/>
      <c r="OG351" s="120"/>
      <c r="OH351" s="120"/>
      <c r="OI351" s="120"/>
      <c r="OJ351" s="120"/>
      <c r="OK351" s="120"/>
      <c r="OL351" s="120"/>
      <c r="OM351" s="120"/>
      <c r="ON351" s="120"/>
      <c r="OO351" s="120"/>
      <c r="OP351" s="120"/>
      <c r="OQ351" s="120"/>
      <c r="OR351" s="120"/>
      <c r="OS351" s="120"/>
      <c r="OT351" s="120"/>
      <c r="OU351" s="120"/>
      <c r="OV351" s="120"/>
      <c r="OW351" s="120"/>
      <c r="OX351" s="120"/>
      <c r="OY351" s="120"/>
      <c r="OZ351" s="120"/>
      <c r="PA351" s="120"/>
      <c r="PB351" s="120"/>
      <c r="PC351" s="120"/>
      <c r="PD351" s="120"/>
      <c r="PE351" s="120"/>
      <c r="PF351" s="120"/>
      <c r="PG351" s="120"/>
      <c r="PH351" s="120"/>
      <c r="PI351" s="120"/>
      <c r="PJ351" s="120"/>
      <c r="PK351" s="120"/>
      <c r="PL351" s="120"/>
      <c r="PM351" s="120"/>
      <c r="PN351" s="120"/>
      <c r="PO351" s="120"/>
      <c r="PP351" s="120"/>
      <c r="PQ351" s="120"/>
      <c r="PR351" s="120"/>
      <c r="PS351" s="120"/>
      <c r="PT351" s="120"/>
      <c r="PU351" s="120"/>
      <c r="PV351" s="120"/>
      <c r="PW351" s="120"/>
      <c r="PX351" s="120"/>
      <c r="PY351" s="120"/>
      <c r="PZ351" s="120"/>
      <c r="QA351" s="120"/>
      <c r="QB351" s="120"/>
      <c r="QC351" s="120"/>
      <c r="QD351" s="120"/>
      <c r="QE351" s="120"/>
      <c r="QF351" s="120"/>
      <c r="QG351" s="120"/>
      <c r="QH351" s="120"/>
      <c r="QI351" s="120"/>
      <c r="QJ351" s="120"/>
      <c r="QK351" s="120"/>
      <c r="QL351" s="120"/>
      <c r="QM351" s="120"/>
      <c r="QN351" s="120"/>
      <c r="QO351" s="120"/>
      <c r="QP351" s="120"/>
      <c r="QQ351" s="120"/>
      <c r="QR351" s="120"/>
      <c r="QS351" s="120"/>
      <c r="QT351" s="120"/>
      <c r="QU351" s="120"/>
      <c r="QV351" s="120"/>
      <c r="QW351" s="120"/>
      <c r="QX351" s="120"/>
      <c r="QY351" s="120"/>
      <c r="QZ351" s="120"/>
      <c r="RA351" s="120"/>
      <c r="RB351" s="120"/>
      <c r="RC351" s="120"/>
      <c r="RD351" s="120"/>
      <c r="RE351" s="120"/>
      <c r="RF351" s="120"/>
      <c r="RG351" s="120"/>
      <c r="RH351" s="120"/>
      <c r="RI351" s="120"/>
      <c r="RJ351" s="120"/>
      <c r="RK351" s="120"/>
      <c r="RL351" s="120"/>
      <c r="RM351" s="120"/>
      <c r="RN351" s="120"/>
      <c r="RO351" s="120"/>
      <c r="RP351" s="120"/>
      <c r="RQ351" s="120"/>
      <c r="RR351" s="120"/>
      <c r="RS351" s="120"/>
      <c r="RT351" s="120"/>
      <c r="RU351" s="120"/>
      <c r="RV351" s="120"/>
      <c r="RW351" s="120"/>
      <c r="RX351" s="120"/>
      <c r="RY351" s="120"/>
      <c r="RZ351" s="120"/>
      <c r="SA351" s="120"/>
      <c r="SB351" s="120"/>
      <c r="SC351" s="120"/>
      <c r="SD351" s="120"/>
      <c r="SE351" s="120"/>
      <c r="SF351" s="120"/>
      <c r="SG351" s="120"/>
      <c r="SH351" s="120"/>
      <c r="SI351" s="120"/>
      <c r="SJ351" s="120"/>
      <c r="SK351" s="120"/>
      <c r="SL351" s="120"/>
      <c r="SM351" s="120"/>
      <c r="SN351" s="120"/>
      <c r="SO351" s="120"/>
      <c r="SP351" s="120"/>
      <c r="SQ351" s="120"/>
      <c r="SR351" s="120"/>
      <c r="SS351" s="120"/>
      <c r="ST351" s="120"/>
      <c r="SU351" s="120"/>
      <c r="SV351" s="120"/>
      <c r="SW351" s="120"/>
      <c r="SX351" s="120"/>
      <c r="SY351" s="120"/>
      <c r="SZ351" s="120"/>
      <c r="TA351" s="120"/>
      <c r="TB351" s="120"/>
      <c r="TC351" s="120"/>
      <c r="TD351" s="120"/>
      <c r="TE351" s="120"/>
    </row>
    <row r="352" spans="1:525" s="127" customFormat="1" ht="63" hidden="1" customHeight="1" x14ac:dyDescent="0.25">
      <c r="A352" s="123"/>
      <c r="B352" s="144"/>
      <c r="C352" s="123"/>
      <c r="D352" s="125" t="s">
        <v>602</v>
      </c>
      <c r="E352" s="82">
        <f t="shared" si="158"/>
        <v>0</v>
      </c>
      <c r="F352" s="82"/>
      <c r="G352" s="82"/>
      <c r="H352" s="82"/>
      <c r="I352" s="82"/>
      <c r="J352" s="82">
        <f t="shared" ref="J352" si="164">L352+O352</f>
        <v>0</v>
      </c>
      <c r="K352" s="82"/>
      <c r="L352" s="82"/>
      <c r="M352" s="82"/>
      <c r="N352" s="82"/>
      <c r="O352" s="82"/>
      <c r="P352" s="82">
        <f t="shared" ref="P352" si="165">E352+J352</f>
        <v>0</v>
      </c>
      <c r="Q352" s="260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  <c r="HN352" s="126"/>
      <c r="HO352" s="126"/>
      <c r="HP352" s="126"/>
      <c r="HQ352" s="126"/>
      <c r="HR352" s="126"/>
      <c r="HS352" s="126"/>
      <c r="HT352" s="126"/>
      <c r="HU352" s="126"/>
      <c r="HV352" s="126"/>
      <c r="HW352" s="126"/>
      <c r="HX352" s="126"/>
      <c r="HY352" s="126"/>
      <c r="HZ352" s="126"/>
      <c r="IA352" s="126"/>
      <c r="IB352" s="126"/>
      <c r="IC352" s="126"/>
      <c r="ID352" s="126"/>
      <c r="IE352" s="126"/>
      <c r="IF352" s="126"/>
      <c r="IG352" s="126"/>
      <c r="IH352" s="126"/>
      <c r="II352" s="126"/>
      <c r="IJ352" s="126"/>
      <c r="IK352" s="126"/>
      <c r="IL352" s="126"/>
      <c r="IM352" s="126"/>
      <c r="IN352" s="126"/>
      <c r="IO352" s="126"/>
      <c r="IP352" s="126"/>
      <c r="IQ352" s="126"/>
      <c r="IR352" s="126"/>
      <c r="IS352" s="126"/>
      <c r="IT352" s="126"/>
      <c r="IU352" s="126"/>
      <c r="IV352" s="126"/>
      <c r="IW352" s="126"/>
      <c r="IX352" s="126"/>
      <c r="IY352" s="126"/>
      <c r="IZ352" s="126"/>
      <c r="JA352" s="126"/>
      <c r="JB352" s="126"/>
      <c r="JC352" s="126"/>
      <c r="JD352" s="126"/>
      <c r="JE352" s="126"/>
      <c r="JF352" s="126"/>
      <c r="JG352" s="126"/>
      <c r="JH352" s="126"/>
      <c r="JI352" s="126"/>
      <c r="JJ352" s="126"/>
      <c r="JK352" s="126"/>
      <c r="JL352" s="126"/>
      <c r="JM352" s="126"/>
      <c r="JN352" s="126"/>
      <c r="JO352" s="126"/>
      <c r="JP352" s="126"/>
      <c r="JQ352" s="126"/>
      <c r="JR352" s="126"/>
      <c r="JS352" s="126"/>
      <c r="JT352" s="126"/>
      <c r="JU352" s="126"/>
      <c r="JV352" s="126"/>
      <c r="JW352" s="126"/>
      <c r="JX352" s="126"/>
      <c r="JY352" s="126"/>
      <c r="JZ352" s="126"/>
      <c r="KA352" s="126"/>
      <c r="KB352" s="126"/>
      <c r="KC352" s="126"/>
      <c r="KD352" s="126"/>
      <c r="KE352" s="126"/>
      <c r="KF352" s="126"/>
      <c r="KG352" s="126"/>
      <c r="KH352" s="126"/>
      <c r="KI352" s="126"/>
      <c r="KJ352" s="126"/>
      <c r="KK352" s="126"/>
      <c r="KL352" s="126"/>
      <c r="KM352" s="126"/>
      <c r="KN352" s="126"/>
      <c r="KO352" s="126"/>
      <c r="KP352" s="126"/>
      <c r="KQ352" s="126"/>
      <c r="KR352" s="126"/>
      <c r="KS352" s="126"/>
      <c r="KT352" s="126"/>
      <c r="KU352" s="126"/>
      <c r="KV352" s="126"/>
      <c r="KW352" s="126"/>
      <c r="KX352" s="126"/>
      <c r="KY352" s="126"/>
      <c r="KZ352" s="126"/>
      <c r="LA352" s="126"/>
      <c r="LB352" s="126"/>
      <c r="LC352" s="126"/>
      <c r="LD352" s="126"/>
      <c r="LE352" s="126"/>
      <c r="LF352" s="126"/>
      <c r="LG352" s="126"/>
      <c r="LH352" s="126"/>
      <c r="LI352" s="126"/>
      <c r="LJ352" s="126"/>
      <c r="LK352" s="126"/>
      <c r="LL352" s="126"/>
      <c r="LM352" s="126"/>
      <c r="LN352" s="126"/>
      <c r="LO352" s="126"/>
      <c r="LP352" s="126"/>
      <c r="LQ352" s="126"/>
      <c r="LR352" s="126"/>
      <c r="LS352" s="126"/>
      <c r="LT352" s="126"/>
      <c r="LU352" s="126"/>
      <c r="LV352" s="126"/>
      <c r="LW352" s="126"/>
      <c r="LX352" s="126"/>
      <c r="LY352" s="126"/>
      <c r="LZ352" s="126"/>
      <c r="MA352" s="126"/>
      <c r="MB352" s="126"/>
      <c r="MC352" s="126"/>
      <c r="MD352" s="126"/>
      <c r="ME352" s="126"/>
      <c r="MF352" s="126"/>
      <c r="MG352" s="126"/>
      <c r="MH352" s="126"/>
      <c r="MI352" s="126"/>
      <c r="MJ352" s="126"/>
      <c r="MK352" s="126"/>
      <c r="ML352" s="126"/>
      <c r="MM352" s="126"/>
      <c r="MN352" s="126"/>
      <c r="MO352" s="126"/>
      <c r="MP352" s="126"/>
      <c r="MQ352" s="126"/>
      <c r="MR352" s="126"/>
      <c r="MS352" s="126"/>
      <c r="MT352" s="126"/>
      <c r="MU352" s="126"/>
      <c r="MV352" s="126"/>
      <c r="MW352" s="126"/>
      <c r="MX352" s="126"/>
      <c r="MY352" s="126"/>
      <c r="MZ352" s="126"/>
      <c r="NA352" s="126"/>
      <c r="NB352" s="126"/>
      <c r="NC352" s="126"/>
      <c r="ND352" s="126"/>
      <c r="NE352" s="126"/>
      <c r="NF352" s="126"/>
      <c r="NG352" s="126"/>
      <c r="NH352" s="126"/>
      <c r="NI352" s="126"/>
      <c r="NJ352" s="126"/>
      <c r="NK352" s="126"/>
      <c r="NL352" s="126"/>
      <c r="NM352" s="126"/>
      <c r="NN352" s="126"/>
      <c r="NO352" s="126"/>
      <c r="NP352" s="126"/>
      <c r="NQ352" s="126"/>
      <c r="NR352" s="126"/>
      <c r="NS352" s="126"/>
      <c r="NT352" s="126"/>
      <c r="NU352" s="126"/>
      <c r="NV352" s="126"/>
      <c r="NW352" s="126"/>
      <c r="NX352" s="126"/>
      <c r="NY352" s="126"/>
      <c r="NZ352" s="126"/>
      <c r="OA352" s="126"/>
      <c r="OB352" s="126"/>
      <c r="OC352" s="126"/>
      <c r="OD352" s="126"/>
      <c r="OE352" s="126"/>
      <c r="OF352" s="126"/>
      <c r="OG352" s="126"/>
      <c r="OH352" s="126"/>
      <c r="OI352" s="126"/>
      <c r="OJ352" s="126"/>
      <c r="OK352" s="126"/>
      <c r="OL352" s="126"/>
      <c r="OM352" s="126"/>
      <c r="ON352" s="126"/>
      <c r="OO352" s="126"/>
      <c r="OP352" s="126"/>
      <c r="OQ352" s="126"/>
      <c r="OR352" s="126"/>
      <c r="OS352" s="126"/>
      <c r="OT352" s="126"/>
      <c r="OU352" s="126"/>
      <c r="OV352" s="126"/>
      <c r="OW352" s="126"/>
      <c r="OX352" s="126"/>
      <c r="OY352" s="126"/>
      <c r="OZ352" s="126"/>
      <c r="PA352" s="126"/>
      <c r="PB352" s="126"/>
      <c r="PC352" s="126"/>
      <c r="PD352" s="126"/>
      <c r="PE352" s="126"/>
      <c r="PF352" s="126"/>
      <c r="PG352" s="126"/>
      <c r="PH352" s="126"/>
      <c r="PI352" s="126"/>
      <c r="PJ352" s="126"/>
      <c r="PK352" s="126"/>
      <c r="PL352" s="126"/>
      <c r="PM352" s="126"/>
      <c r="PN352" s="126"/>
      <c r="PO352" s="126"/>
      <c r="PP352" s="126"/>
      <c r="PQ352" s="126"/>
      <c r="PR352" s="126"/>
      <c r="PS352" s="126"/>
      <c r="PT352" s="126"/>
      <c r="PU352" s="126"/>
      <c r="PV352" s="126"/>
      <c r="PW352" s="126"/>
      <c r="PX352" s="126"/>
      <c r="PY352" s="126"/>
      <c r="PZ352" s="126"/>
      <c r="QA352" s="126"/>
      <c r="QB352" s="126"/>
      <c r="QC352" s="126"/>
      <c r="QD352" s="126"/>
      <c r="QE352" s="126"/>
      <c r="QF352" s="126"/>
      <c r="QG352" s="126"/>
      <c r="QH352" s="126"/>
      <c r="QI352" s="126"/>
      <c r="QJ352" s="126"/>
      <c r="QK352" s="126"/>
      <c r="QL352" s="126"/>
      <c r="QM352" s="126"/>
      <c r="QN352" s="126"/>
      <c r="QO352" s="126"/>
      <c r="QP352" s="126"/>
      <c r="QQ352" s="126"/>
      <c r="QR352" s="126"/>
      <c r="QS352" s="126"/>
      <c r="QT352" s="126"/>
      <c r="QU352" s="126"/>
      <c r="QV352" s="126"/>
      <c r="QW352" s="126"/>
      <c r="QX352" s="126"/>
      <c r="QY352" s="126"/>
      <c r="QZ352" s="126"/>
      <c r="RA352" s="126"/>
      <c r="RB352" s="126"/>
      <c r="RC352" s="126"/>
      <c r="RD352" s="126"/>
      <c r="RE352" s="126"/>
      <c r="RF352" s="126"/>
      <c r="RG352" s="126"/>
      <c r="RH352" s="126"/>
      <c r="RI352" s="126"/>
      <c r="RJ352" s="126"/>
      <c r="RK352" s="126"/>
      <c r="RL352" s="126"/>
      <c r="RM352" s="126"/>
      <c r="RN352" s="126"/>
      <c r="RO352" s="126"/>
      <c r="RP352" s="126"/>
      <c r="RQ352" s="126"/>
      <c r="RR352" s="126"/>
      <c r="RS352" s="126"/>
      <c r="RT352" s="126"/>
      <c r="RU352" s="126"/>
      <c r="RV352" s="126"/>
      <c r="RW352" s="126"/>
      <c r="RX352" s="126"/>
      <c r="RY352" s="126"/>
      <c r="RZ352" s="126"/>
      <c r="SA352" s="126"/>
      <c r="SB352" s="126"/>
      <c r="SC352" s="126"/>
      <c r="SD352" s="126"/>
      <c r="SE352" s="126"/>
      <c r="SF352" s="126"/>
      <c r="SG352" s="126"/>
      <c r="SH352" s="126"/>
      <c r="SI352" s="126"/>
      <c r="SJ352" s="126"/>
      <c r="SK352" s="126"/>
      <c r="SL352" s="126"/>
      <c r="SM352" s="126"/>
      <c r="SN352" s="126"/>
      <c r="SO352" s="126"/>
      <c r="SP352" s="126"/>
      <c r="SQ352" s="126"/>
      <c r="SR352" s="126"/>
      <c r="SS352" s="126"/>
      <c r="ST352" s="126"/>
      <c r="SU352" s="126"/>
      <c r="SV352" s="126"/>
      <c r="SW352" s="126"/>
      <c r="SX352" s="126"/>
      <c r="SY352" s="126"/>
      <c r="SZ352" s="126"/>
      <c r="TA352" s="126"/>
      <c r="TB352" s="126"/>
      <c r="TC352" s="126"/>
      <c r="TD352" s="126"/>
      <c r="TE352" s="126"/>
    </row>
    <row r="353" spans="1:525" s="121" customFormat="1" ht="31.5" hidden="1" customHeight="1" x14ac:dyDescent="0.25">
      <c r="A353" s="117" t="s">
        <v>417</v>
      </c>
      <c r="B353" s="118">
        <v>7370</v>
      </c>
      <c r="C353" s="117" t="s">
        <v>81</v>
      </c>
      <c r="D353" s="122" t="s">
        <v>418</v>
      </c>
      <c r="E353" s="81">
        <f>F353+I353</f>
        <v>0</v>
      </c>
      <c r="F353" s="81"/>
      <c r="G353" s="81"/>
      <c r="H353" s="81"/>
      <c r="I353" s="81"/>
      <c r="J353" s="81">
        <f t="shared" si="161"/>
        <v>0</v>
      </c>
      <c r="K353" s="81"/>
      <c r="L353" s="81"/>
      <c r="M353" s="81"/>
      <c r="N353" s="81"/>
      <c r="O353" s="81"/>
      <c r="P353" s="81">
        <f t="shared" si="159"/>
        <v>0</v>
      </c>
      <c r="Q353" s="26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  <c r="IW353" s="120"/>
      <c r="IX353" s="120"/>
      <c r="IY353" s="120"/>
      <c r="IZ353" s="120"/>
      <c r="JA353" s="120"/>
      <c r="JB353" s="120"/>
      <c r="JC353" s="120"/>
      <c r="JD353" s="120"/>
      <c r="JE353" s="120"/>
      <c r="JF353" s="120"/>
      <c r="JG353" s="120"/>
      <c r="JH353" s="120"/>
      <c r="JI353" s="120"/>
      <c r="JJ353" s="120"/>
      <c r="JK353" s="120"/>
      <c r="JL353" s="120"/>
      <c r="JM353" s="120"/>
      <c r="JN353" s="120"/>
      <c r="JO353" s="120"/>
      <c r="JP353" s="120"/>
      <c r="JQ353" s="120"/>
      <c r="JR353" s="120"/>
      <c r="JS353" s="120"/>
      <c r="JT353" s="120"/>
      <c r="JU353" s="120"/>
      <c r="JV353" s="120"/>
      <c r="JW353" s="120"/>
      <c r="JX353" s="120"/>
      <c r="JY353" s="120"/>
      <c r="JZ353" s="120"/>
      <c r="KA353" s="120"/>
      <c r="KB353" s="120"/>
      <c r="KC353" s="120"/>
      <c r="KD353" s="120"/>
      <c r="KE353" s="120"/>
      <c r="KF353" s="120"/>
      <c r="KG353" s="120"/>
      <c r="KH353" s="120"/>
      <c r="KI353" s="120"/>
      <c r="KJ353" s="120"/>
      <c r="KK353" s="120"/>
      <c r="KL353" s="120"/>
      <c r="KM353" s="120"/>
      <c r="KN353" s="120"/>
      <c r="KO353" s="120"/>
      <c r="KP353" s="120"/>
      <c r="KQ353" s="120"/>
      <c r="KR353" s="120"/>
      <c r="KS353" s="120"/>
      <c r="KT353" s="120"/>
      <c r="KU353" s="120"/>
      <c r="KV353" s="120"/>
      <c r="KW353" s="120"/>
      <c r="KX353" s="120"/>
      <c r="KY353" s="120"/>
      <c r="KZ353" s="120"/>
      <c r="LA353" s="120"/>
      <c r="LB353" s="120"/>
      <c r="LC353" s="120"/>
      <c r="LD353" s="120"/>
      <c r="LE353" s="120"/>
      <c r="LF353" s="120"/>
      <c r="LG353" s="120"/>
      <c r="LH353" s="120"/>
      <c r="LI353" s="120"/>
      <c r="LJ353" s="120"/>
      <c r="LK353" s="120"/>
      <c r="LL353" s="120"/>
      <c r="LM353" s="120"/>
      <c r="LN353" s="120"/>
      <c r="LO353" s="120"/>
      <c r="LP353" s="120"/>
      <c r="LQ353" s="120"/>
      <c r="LR353" s="120"/>
      <c r="LS353" s="120"/>
      <c r="LT353" s="120"/>
      <c r="LU353" s="120"/>
      <c r="LV353" s="120"/>
      <c r="LW353" s="120"/>
      <c r="LX353" s="120"/>
      <c r="LY353" s="120"/>
      <c r="LZ353" s="120"/>
      <c r="MA353" s="120"/>
      <c r="MB353" s="120"/>
      <c r="MC353" s="120"/>
      <c r="MD353" s="120"/>
      <c r="ME353" s="120"/>
      <c r="MF353" s="120"/>
      <c r="MG353" s="120"/>
      <c r="MH353" s="120"/>
      <c r="MI353" s="120"/>
      <c r="MJ353" s="120"/>
      <c r="MK353" s="120"/>
      <c r="ML353" s="120"/>
      <c r="MM353" s="120"/>
      <c r="MN353" s="120"/>
      <c r="MO353" s="120"/>
      <c r="MP353" s="120"/>
      <c r="MQ353" s="120"/>
      <c r="MR353" s="120"/>
      <c r="MS353" s="120"/>
      <c r="MT353" s="120"/>
      <c r="MU353" s="120"/>
      <c r="MV353" s="120"/>
      <c r="MW353" s="120"/>
      <c r="MX353" s="120"/>
      <c r="MY353" s="120"/>
      <c r="MZ353" s="120"/>
      <c r="NA353" s="120"/>
      <c r="NB353" s="120"/>
      <c r="NC353" s="120"/>
      <c r="ND353" s="120"/>
      <c r="NE353" s="120"/>
      <c r="NF353" s="120"/>
      <c r="NG353" s="120"/>
      <c r="NH353" s="120"/>
      <c r="NI353" s="120"/>
      <c r="NJ353" s="120"/>
      <c r="NK353" s="120"/>
      <c r="NL353" s="120"/>
      <c r="NM353" s="120"/>
      <c r="NN353" s="120"/>
      <c r="NO353" s="120"/>
      <c r="NP353" s="120"/>
      <c r="NQ353" s="120"/>
      <c r="NR353" s="120"/>
      <c r="NS353" s="120"/>
      <c r="NT353" s="120"/>
      <c r="NU353" s="120"/>
      <c r="NV353" s="120"/>
      <c r="NW353" s="120"/>
      <c r="NX353" s="120"/>
      <c r="NY353" s="120"/>
      <c r="NZ353" s="120"/>
      <c r="OA353" s="120"/>
      <c r="OB353" s="120"/>
      <c r="OC353" s="120"/>
      <c r="OD353" s="120"/>
      <c r="OE353" s="120"/>
      <c r="OF353" s="120"/>
      <c r="OG353" s="120"/>
      <c r="OH353" s="120"/>
      <c r="OI353" s="120"/>
      <c r="OJ353" s="120"/>
      <c r="OK353" s="120"/>
      <c r="OL353" s="120"/>
      <c r="OM353" s="120"/>
      <c r="ON353" s="120"/>
      <c r="OO353" s="120"/>
      <c r="OP353" s="120"/>
      <c r="OQ353" s="120"/>
      <c r="OR353" s="120"/>
      <c r="OS353" s="120"/>
      <c r="OT353" s="120"/>
      <c r="OU353" s="120"/>
      <c r="OV353" s="120"/>
      <c r="OW353" s="120"/>
      <c r="OX353" s="120"/>
      <c r="OY353" s="120"/>
      <c r="OZ353" s="120"/>
      <c r="PA353" s="120"/>
      <c r="PB353" s="120"/>
      <c r="PC353" s="120"/>
      <c r="PD353" s="120"/>
      <c r="PE353" s="120"/>
      <c r="PF353" s="120"/>
      <c r="PG353" s="120"/>
      <c r="PH353" s="120"/>
      <c r="PI353" s="120"/>
      <c r="PJ353" s="120"/>
      <c r="PK353" s="120"/>
      <c r="PL353" s="120"/>
      <c r="PM353" s="120"/>
      <c r="PN353" s="120"/>
      <c r="PO353" s="120"/>
      <c r="PP353" s="120"/>
      <c r="PQ353" s="120"/>
      <c r="PR353" s="120"/>
      <c r="PS353" s="120"/>
      <c r="PT353" s="120"/>
      <c r="PU353" s="120"/>
      <c r="PV353" s="120"/>
      <c r="PW353" s="120"/>
      <c r="PX353" s="120"/>
      <c r="PY353" s="120"/>
      <c r="PZ353" s="120"/>
      <c r="QA353" s="120"/>
      <c r="QB353" s="120"/>
      <c r="QC353" s="120"/>
      <c r="QD353" s="120"/>
      <c r="QE353" s="120"/>
      <c r="QF353" s="120"/>
      <c r="QG353" s="120"/>
      <c r="QH353" s="120"/>
      <c r="QI353" s="120"/>
      <c r="QJ353" s="120"/>
      <c r="QK353" s="120"/>
      <c r="QL353" s="120"/>
      <c r="QM353" s="120"/>
      <c r="QN353" s="120"/>
      <c r="QO353" s="120"/>
      <c r="QP353" s="120"/>
      <c r="QQ353" s="120"/>
      <c r="QR353" s="120"/>
      <c r="QS353" s="120"/>
      <c r="QT353" s="120"/>
      <c r="QU353" s="120"/>
      <c r="QV353" s="120"/>
      <c r="QW353" s="120"/>
      <c r="QX353" s="120"/>
      <c r="QY353" s="120"/>
      <c r="QZ353" s="120"/>
      <c r="RA353" s="120"/>
      <c r="RB353" s="120"/>
      <c r="RC353" s="120"/>
      <c r="RD353" s="120"/>
      <c r="RE353" s="120"/>
      <c r="RF353" s="120"/>
      <c r="RG353" s="120"/>
      <c r="RH353" s="120"/>
      <c r="RI353" s="120"/>
      <c r="RJ353" s="120"/>
      <c r="RK353" s="120"/>
      <c r="RL353" s="120"/>
      <c r="RM353" s="120"/>
      <c r="RN353" s="120"/>
      <c r="RO353" s="120"/>
      <c r="RP353" s="120"/>
      <c r="RQ353" s="120"/>
      <c r="RR353" s="120"/>
      <c r="RS353" s="120"/>
      <c r="RT353" s="120"/>
      <c r="RU353" s="120"/>
      <c r="RV353" s="120"/>
      <c r="RW353" s="120"/>
      <c r="RX353" s="120"/>
      <c r="RY353" s="120"/>
      <c r="RZ353" s="120"/>
      <c r="SA353" s="120"/>
      <c r="SB353" s="120"/>
      <c r="SC353" s="120"/>
      <c r="SD353" s="120"/>
      <c r="SE353" s="120"/>
      <c r="SF353" s="120"/>
      <c r="SG353" s="120"/>
      <c r="SH353" s="120"/>
      <c r="SI353" s="120"/>
      <c r="SJ353" s="120"/>
      <c r="SK353" s="120"/>
      <c r="SL353" s="120"/>
      <c r="SM353" s="120"/>
      <c r="SN353" s="120"/>
      <c r="SO353" s="120"/>
      <c r="SP353" s="120"/>
      <c r="SQ353" s="120"/>
      <c r="SR353" s="120"/>
      <c r="SS353" s="120"/>
      <c r="ST353" s="120"/>
      <c r="SU353" s="120"/>
      <c r="SV353" s="120"/>
      <c r="SW353" s="120"/>
      <c r="SX353" s="120"/>
      <c r="SY353" s="120"/>
      <c r="SZ353" s="120"/>
      <c r="TA353" s="120"/>
      <c r="TB353" s="120"/>
      <c r="TC353" s="120"/>
      <c r="TD353" s="120"/>
      <c r="TE353" s="120"/>
    </row>
    <row r="354" spans="1:525" s="121" customFormat="1" ht="21" customHeight="1" x14ac:dyDescent="0.25">
      <c r="A354" s="117" t="s">
        <v>143</v>
      </c>
      <c r="B354" s="118" t="str">
        <f>'дод 6'!A239</f>
        <v>7640</v>
      </c>
      <c r="C354" s="118" t="str">
        <f>'дод 6'!B239</f>
        <v>0470</v>
      </c>
      <c r="D354" s="122" t="str">
        <f>'дод 6'!C239</f>
        <v>Заходи з енергозбереження, у т. ч. за рахунок:</v>
      </c>
      <c r="E354" s="81">
        <f t="shared" si="158"/>
        <v>1661080</v>
      </c>
      <c r="F354" s="81">
        <f>461080+1200000</f>
        <v>1661080</v>
      </c>
      <c r="G354" s="81"/>
      <c r="H354" s="81"/>
      <c r="I354" s="81"/>
      <c r="J354" s="81">
        <f t="shared" si="161"/>
        <v>121554013</v>
      </c>
      <c r="K354" s="81">
        <f>92214546+18442909+15000000+400000+273558+800000+650000-10000000+155000+3800000-182000</f>
        <v>121554013</v>
      </c>
      <c r="L354" s="81"/>
      <c r="M354" s="81"/>
      <c r="N354" s="81"/>
      <c r="O354" s="81">
        <f>92214546+18442909+15000000+400000+273558+800000+650000-10000000+155000+3800000-182000</f>
        <v>121554013</v>
      </c>
      <c r="P354" s="81">
        <f t="shared" si="159"/>
        <v>123215093</v>
      </c>
      <c r="Q354" s="26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  <c r="IW354" s="120"/>
      <c r="IX354" s="120"/>
      <c r="IY354" s="120"/>
      <c r="IZ354" s="120"/>
      <c r="JA354" s="120"/>
      <c r="JB354" s="120"/>
      <c r="JC354" s="120"/>
      <c r="JD354" s="120"/>
      <c r="JE354" s="120"/>
      <c r="JF354" s="120"/>
      <c r="JG354" s="120"/>
      <c r="JH354" s="120"/>
      <c r="JI354" s="120"/>
      <c r="JJ354" s="120"/>
      <c r="JK354" s="120"/>
      <c r="JL354" s="120"/>
      <c r="JM354" s="120"/>
      <c r="JN354" s="120"/>
      <c r="JO354" s="120"/>
      <c r="JP354" s="120"/>
      <c r="JQ354" s="120"/>
      <c r="JR354" s="120"/>
      <c r="JS354" s="120"/>
      <c r="JT354" s="120"/>
      <c r="JU354" s="120"/>
      <c r="JV354" s="120"/>
      <c r="JW354" s="120"/>
      <c r="JX354" s="120"/>
      <c r="JY354" s="120"/>
      <c r="JZ354" s="120"/>
      <c r="KA354" s="120"/>
      <c r="KB354" s="120"/>
      <c r="KC354" s="120"/>
      <c r="KD354" s="120"/>
      <c r="KE354" s="120"/>
      <c r="KF354" s="120"/>
      <c r="KG354" s="120"/>
      <c r="KH354" s="120"/>
      <c r="KI354" s="120"/>
      <c r="KJ354" s="120"/>
      <c r="KK354" s="120"/>
      <c r="KL354" s="120"/>
      <c r="KM354" s="120"/>
      <c r="KN354" s="120"/>
      <c r="KO354" s="120"/>
      <c r="KP354" s="120"/>
      <c r="KQ354" s="120"/>
      <c r="KR354" s="120"/>
      <c r="KS354" s="120"/>
      <c r="KT354" s="120"/>
      <c r="KU354" s="120"/>
      <c r="KV354" s="120"/>
      <c r="KW354" s="120"/>
      <c r="KX354" s="120"/>
      <c r="KY354" s="120"/>
      <c r="KZ354" s="120"/>
      <c r="LA354" s="120"/>
      <c r="LB354" s="120"/>
      <c r="LC354" s="120"/>
      <c r="LD354" s="120"/>
      <c r="LE354" s="120"/>
      <c r="LF354" s="120"/>
      <c r="LG354" s="120"/>
      <c r="LH354" s="120"/>
      <c r="LI354" s="120"/>
      <c r="LJ354" s="120"/>
      <c r="LK354" s="120"/>
      <c r="LL354" s="120"/>
      <c r="LM354" s="120"/>
      <c r="LN354" s="120"/>
      <c r="LO354" s="120"/>
      <c r="LP354" s="120"/>
      <c r="LQ354" s="120"/>
      <c r="LR354" s="120"/>
      <c r="LS354" s="120"/>
      <c r="LT354" s="120"/>
      <c r="LU354" s="120"/>
      <c r="LV354" s="120"/>
      <c r="LW354" s="120"/>
      <c r="LX354" s="120"/>
      <c r="LY354" s="120"/>
      <c r="LZ354" s="120"/>
      <c r="MA354" s="120"/>
      <c r="MB354" s="120"/>
      <c r="MC354" s="120"/>
      <c r="MD354" s="120"/>
      <c r="ME354" s="120"/>
      <c r="MF354" s="120"/>
      <c r="MG354" s="120"/>
      <c r="MH354" s="120"/>
      <c r="MI354" s="120"/>
      <c r="MJ354" s="120"/>
      <c r="MK354" s="120"/>
      <c r="ML354" s="120"/>
      <c r="MM354" s="120"/>
      <c r="MN354" s="120"/>
      <c r="MO354" s="120"/>
      <c r="MP354" s="120"/>
      <c r="MQ354" s="120"/>
      <c r="MR354" s="120"/>
      <c r="MS354" s="120"/>
      <c r="MT354" s="120"/>
      <c r="MU354" s="120"/>
      <c r="MV354" s="120"/>
      <c r="MW354" s="120"/>
      <c r="MX354" s="120"/>
      <c r="MY354" s="120"/>
      <c r="MZ354" s="120"/>
      <c r="NA354" s="120"/>
      <c r="NB354" s="120"/>
      <c r="NC354" s="120"/>
      <c r="ND354" s="120"/>
      <c r="NE354" s="120"/>
      <c r="NF354" s="120"/>
      <c r="NG354" s="120"/>
      <c r="NH354" s="120"/>
      <c r="NI354" s="120"/>
      <c r="NJ354" s="120"/>
      <c r="NK354" s="120"/>
      <c r="NL354" s="120"/>
      <c r="NM354" s="120"/>
      <c r="NN354" s="120"/>
      <c r="NO354" s="120"/>
      <c r="NP354" s="120"/>
      <c r="NQ354" s="120"/>
      <c r="NR354" s="120"/>
      <c r="NS354" s="120"/>
      <c r="NT354" s="120"/>
      <c r="NU354" s="120"/>
      <c r="NV354" s="120"/>
      <c r="NW354" s="120"/>
      <c r="NX354" s="120"/>
      <c r="NY354" s="120"/>
      <c r="NZ354" s="120"/>
      <c r="OA354" s="120"/>
      <c r="OB354" s="120"/>
      <c r="OC354" s="120"/>
      <c r="OD354" s="120"/>
      <c r="OE354" s="120"/>
      <c r="OF354" s="120"/>
      <c r="OG354" s="120"/>
      <c r="OH354" s="120"/>
      <c r="OI354" s="120"/>
      <c r="OJ354" s="120"/>
      <c r="OK354" s="120"/>
      <c r="OL354" s="120"/>
      <c r="OM354" s="120"/>
      <c r="ON354" s="120"/>
      <c r="OO354" s="120"/>
      <c r="OP354" s="120"/>
      <c r="OQ354" s="120"/>
      <c r="OR354" s="120"/>
      <c r="OS354" s="120"/>
      <c r="OT354" s="120"/>
      <c r="OU354" s="120"/>
      <c r="OV354" s="120"/>
      <c r="OW354" s="120"/>
      <c r="OX354" s="120"/>
      <c r="OY354" s="120"/>
      <c r="OZ354" s="120"/>
      <c r="PA354" s="120"/>
      <c r="PB354" s="120"/>
      <c r="PC354" s="120"/>
      <c r="PD354" s="120"/>
      <c r="PE354" s="120"/>
      <c r="PF354" s="120"/>
      <c r="PG354" s="120"/>
      <c r="PH354" s="120"/>
      <c r="PI354" s="120"/>
      <c r="PJ354" s="120"/>
      <c r="PK354" s="120"/>
      <c r="PL354" s="120"/>
      <c r="PM354" s="120"/>
      <c r="PN354" s="120"/>
      <c r="PO354" s="120"/>
      <c r="PP354" s="120"/>
      <c r="PQ354" s="120"/>
      <c r="PR354" s="120"/>
      <c r="PS354" s="120"/>
      <c r="PT354" s="120"/>
      <c r="PU354" s="120"/>
      <c r="PV354" s="120"/>
      <c r="PW354" s="120"/>
      <c r="PX354" s="120"/>
      <c r="PY354" s="120"/>
      <c r="PZ354" s="120"/>
      <c r="QA354" s="120"/>
      <c r="QB354" s="120"/>
      <c r="QC354" s="120"/>
      <c r="QD354" s="120"/>
      <c r="QE354" s="120"/>
      <c r="QF354" s="120"/>
      <c r="QG354" s="120"/>
      <c r="QH354" s="120"/>
      <c r="QI354" s="120"/>
      <c r="QJ354" s="120"/>
      <c r="QK354" s="120"/>
      <c r="QL354" s="120"/>
      <c r="QM354" s="120"/>
      <c r="QN354" s="120"/>
      <c r="QO354" s="120"/>
      <c r="QP354" s="120"/>
      <c r="QQ354" s="120"/>
      <c r="QR354" s="120"/>
      <c r="QS354" s="120"/>
      <c r="QT354" s="120"/>
      <c r="QU354" s="120"/>
      <c r="QV354" s="120"/>
      <c r="QW354" s="120"/>
      <c r="QX354" s="120"/>
      <c r="QY354" s="120"/>
      <c r="QZ354" s="120"/>
      <c r="RA354" s="120"/>
      <c r="RB354" s="120"/>
      <c r="RC354" s="120"/>
      <c r="RD354" s="120"/>
      <c r="RE354" s="120"/>
      <c r="RF354" s="120"/>
      <c r="RG354" s="120"/>
      <c r="RH354" s="120"/>
      <c r="RI354" s="120"/>
      <c r="RJ354" s="120"/>
      <c r="RK354" s="120"/>
      <c r="RL354" s="120"/>
      <c r="RM354" s="120"/>
      <c r="RN354" s="120"/>
      <c r="RO354" s="120"/>
      <c r="RP354" s="120"/>
      <c r="RQ354" s="120"/>
      <c r="RR354" s="120"/>
      <c r="RS354" s="120"/>
      <c r="RT354" s="120"/>
      <c r="RU354" s="120"/>
      <c r="RV354" s="120"/>
      <c r="RW354" s="120"/>
      <c r="RX354" s="120"/>
      <c r="RY354" s="120"/>
      <c r="RZ354" s="120"/>
      <c r="SA354" s="120"/>
      <c r="SB354" s="120"/>
      <c r="SC354" s="120"/>
      <c r="SD354" s="120"/>
      <c r="SE354" s="120"/>
      <c r="SF354" s="120"/>
      <c r="SG354" s="120"/>
      <c r="SH354" s="120"/>
      <c r="SI354" s="120"/>
      <c r="SJ354" s="120"/>
      <c r="SK354" s="120"/>
      <c r="SL354" s="120"/>
      <c r="SM354" s="120"/>
      <c r="SN354" s="120"/>
      <c r="SO354" s="120"/>
      <c r="SP354" s="120"/>
      <c r="SQ354" s="120"/>
      <c r="SR354" s="120"/>
      <c r="SS354" s="120"/>
      <c r="ST354" s="120"/>
      <c r="SU354" s="120"/>
      <c r="SV354" s="120"/>
      <c r="SW354" s="120"/>
      <c r="SX354" s="120"/>
      <c r="SY354" s="120"/>
      <c r="SZ354" s="120"/>
      <c r="TA354" s="120"/>
      <c r="TB354" s="120"/>
      <c r="TC354" s="120"/>
      <c r="TD354" s="120"/>
      <c r="TE354" s="120"/>
    </row>
    <row r="355" spans="1:525" s="127" customFormat="1" ht="17.25" customHeight="1" x14ac:dyDescent="0.25">
      <c r="A355" s="123"/>
      <c r="B355" s="144"/>
      <c r="C355" s="144"/>
      <c r="D355" s="143" t="s">
        <v>410</v>
      </c>
      <c r="E355" s="82">
        <f t="shared" si="158"/>
        <v>0</v>
      </c>
      <c r="F355" s="82"/>
      <c r="G355" s="82"/>
      <c r="H355" s="82"/>
      <c r="I355" s="82"/>
      <c r="J355" s="82">
        <f t="shared" si="161"/>
        <v>92214546</v>
      </c>
      <c r="K355" s="82">
        <v>92214546</v>
      </c>
      <c r="L355" s="82"/>
      <c r="M355" s="82"/>
      <c r="N355" s="82"/>
      <c r="O355" s="82">
        <v>92214546</v>
      </c>
      <c r="P355" s="82">
        <f t="shared" si="159"/>
        <v>92214546</v>
      </c>
      <c r="Q355" s="260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  <c r="IU355" s="126"/>
      <c r="IV355" s="126"/>
      <c r="IW355" s="126"/>
      <c r="IX355" s="126"/>
      <c r="IY355" s="126"/>
      <c r="IZ355" s="126"/>
      <c r="JA355" s="126"/>
      <c r="JB355" s="126"/>
      <c r="JC355" s="126"/>
      <c r="JD355" s="126"/>
      <c r="JE355" s="126"/>
      <c r="JF355" s="126"/>
      <c r="JG355" s="126"/>
      <c r="JH355" s="126"/>
      <c r="JI355" s="126"/>
      <c r="JJ355" s="126"/>
      <c r="JK355" s="126"/>
      <c r="JL355" s="126"/>
      <c r="JM355" s="126"/>
      <c r="JN355" s="126"/>
      <c r="JO355" s="126"/>
      <c r="JP355" s="126"/>
      <c r="JQ355" s="126"/>
      <c r="JR355" s="126"/>
      <c r="JS355" s="126"/>
      <c r="JT355" s="126"/>
      <c r="JU355" s="126"/>
      <c r="JV355" s="126"/>
      <c r="JW355" s="126"/>
      <c r="JX355" s="126"/>
      <c r="JY355" s="126"/>
      <c r="JZ355" s="126"/>
      <c r="KA355" s="126"/>
      <c r="KB355" s="126"/>
      <c r="KC355" s="126"/>
      <c r="KD355" s="126"/>
      <c r="KE355" s="126"/>
      <c r="KF355" s="126"/>
      <c r="KG355" s="126"/>
      <c r="KH355" s="126"/>
      <c r="KI355" s="126"/>
      <c r="KJ355" s="126"/>
      <c r="KK355" s="126"/>
      <c r="KL355" s="126"/>
      <c r="KM355" s="126"/>
      <c r="KN355" s="126"/>
      <c r="KO355" s="126"/>
      <c r="KP355" s="126"/>
      <c r="KQ355" s="126"/>
      <c r="KR355" s="126"/>
      <c r="KS355" s="126"/>
      <c r="KT355" s="126"/>
      <c r="KU355" s="126"/>
      <c r="KV355" s="126"/>
      <c r="KW355" s="126"/>
      <c r="KX355" s="126"/>
      <c r="KY355" s="126"/>
      <c r="KZ355" s="126"/>
      <c r="LA355" s="126"/>
      <c r="LB355" s="126"/>
      <c r="LC355" s="126"/>
      <c r="LD355" s="126"/>
      <c r="LE355" s="126"/>
      <c r="LF355" s="126"/>
      <c r="LG355" s="126"/>
      <c r="LH355" s="126"/>
      <c r="LI355" s="126"/>
      <c r="LJ355" s="126"/>
      <c r="LK355" s="126"/>
      <c r="LL355" s="126"/>
      <c r="LM355" s="126"/>
      <c r="LN355" s="126"/>
      <c r="LO355" s="126"/>
      <c r="LP355" s="126"/>
      <c r="LQ355" s="126"/>
      <c r="LR355" s="126"/>
      <c r="LS355" s="126"/>
      <c r="LT355" s="126"/>
      <c r="LU355" s="126"/>
      <c r="LV355" s="126"/>
      <c r="LW355" s="126"/>
      <c r="LX355" s="126"/>
      <c r="LY355" s="126"/>
      <c r="LZ355" s="126"/>
      <c r="MA355" s="126"/>
      <c r="MB355" s="126"/>
      <c r="MC355" s="126"/>
      <c r="MD355" s="126"/>
      <c r="ME355" s="126"/>
      <c r="MF355" s="126"/>
      <c r="MG355" s="126"/>
      <c r="MH355" s="126"/>
      <c r="MI355" s="126"/>
      <c r="MJ355" s="126"/>
      <c r="MK355" s="126"/>
      <c r="ML355" s="126"/>
      <c r="MM355" s="126"/>
      <c r="MN355" s="126"/>
      <c r="MO355" s="126"/>
      <c r="MP355" s="126"/>
      <c r="MQ355" s="126"/>
      <c r="MR355" s="126"/>
      <c r="MS355" s="126"/>
      <c r="MT355" s="126"/>
      <c r="MU355" s="126"/>
      <c r="MV355" s="126"/>
      <c r="MW355" s="126"/>
      <c r="MX355" s="126"/>
      <c r="MY355" s="126"/>
      <c r="MZ355" s="126"/>
      <c r="NA355" s="126"/>
      <c r="NB355" s="126"/>
      <c r="NC355" s="126"/>
      <c r="ND355" s="126"/>
      <c r="NE355" s="126"/>
      <c r="NF355" s="126"/>
      <c r="NG355" s="126"/>
      <c r="NH355" s="126"/>
      <c r="NI355" s="126"/>
      <c r="NJ355" s="126"/>
      <c r="NK355" s="126"/>
      <c r="NL355" s="126"/>
      <c r="NM355" s="126"/>
      <c r="NN355" s="126"/>
      <c r="NO355" s="126"/>
      <c r="NP355" s="126"/>
      <c r="NQ355" s="126"/>
      <c r="NR355" s="126"/>
      <c r="NS355" s="126"/>
      <c r="NT355" s="126"/>
      <c r="NU355" s="126"/>
      <c r="NV355" s="126"/>
      <c r="NW355" s="126"/>
      <c r="NX355" s="126"/>
      <c r="NY355" s="126"/>
      <c r="NZ355" s="126"/>
      <c r="OA355" s="126"/>
      <c r="OB355" s="126"/>
      <c r="OC355" s="126"/>
      <c r="OD355" s="126"/>
      <c r="OE355" s="126"/>
      <c r="OF355" s="126"/>
      <c r="OG355" s="126"/>
      <c r="OH355" s="126"/>
      <c r="OI355" s="126"/>
      <c r="OJ355" s="126"/>
      <c r="OK355" s="126"/>
      <c r="OL355" s="126"/>
      <c r="OM355" s="126"/>
      <c r="ON355" s="126"/>
      <c r="OO355" s="126"/>
      <c r="OP355" s="126"/>
      <c r="OQ355" s="126"/>
      <c r="OR355" s="126"/>
      <c r="OS355" s="126"/>
      <c r="OT355" s="126"/>
      <c r="OU355" s="126"/>
      <c r="OV355" s="126"/>
      <c r="OW355" s="126"/>
      <c r="OX355" s="126"/>
      <c r="OY355" s="126"/>
      <c r="OZ355" s="126"/>
      <c r="PA355" s="126"/>
      <c r="PB355" s="126"/>
      <c r="PC355" s="126"/>
      <c r="PD355" s="126"/>
      <c r="PE355" s="126"/>
      <c r="PF355" s="126"/>
      <c r="PG355" s="126"/>
      <c r="PH355" s="126"/>
      <c r="PI355" s="126"/>
      <c r="PJ355" s="126"/>
      <c r="PK355" s="126"/>
      <c r="PL355" s="126"/>
      <c r="PM355" s="126"/>
      <c r="PN355" s="126"/>
      <c r="PO355" s="126"/>
      <c r="PP355" s="126"/>
      <c r="PQ355" s="126"/>
      <c r="PR355" s="126"/>
      <c r="PS355" s="126"/>
      <c r="PT355" s="126"/>
      <c r="PU355" s="126"/>
      <c r="PV355" s="126"/>
      <c r="PW355" s="126"/>
      <c r="PX355" s="126"/>
      <c r="PY355" s="126"/>
      <c r="PZ355" s="126"/>
      <c r="QA355" s="126"/>
      <c r="QB355" s="126"/>
      <c r="QC355" s="126"/>
      <c r="QD355" s="126"/>
      <c r="QE355" s="126"/>
      <c r="QF355" s="126"/>
      <c r="QG355" s="126"/>
      <c r="QH355" s="126"/>
      <c r="QI355" s="126"/>
      <c r="QJ355" s="126"/>
      <c r="QK355" s="126"/>
      <c r="QL355" s="126"/>
      <c r="QM355" s="126"/>
      <c r="QN355" s="126"/>
      <c r="QO355" s="126"/>
      <c r="QP355" s="126"/>
      <c r="QQ355" s="126"/>
      <c r="QR355" s="126"/>
      <c r="QS355" s="126"/>
      <c r="QT355" s="126"/>
      <c r="QU355" s="126"/>
      <c r="QV355" s="126"/>
      <c r="QW355" s="126"/>
      <c r="QX355" s="126"/>
      <c r="QY355" s="126"/>
      <c r="QZ355" s="126"/>
      <c r="RA355" s="126"/>
      <c r="RB355" s="126"/>
      <c r="RC355" s="126"/>
      <c r="RD355" s="126"/>
      <c r="RE355" s="126"/>
      <c r="RF355" s="126"/>
      <c r="RG355" s="126"/>
      <c r="RH355" s="126"/>
      <c r="RI355" s="126"/>
      <c r="RJ355" s="126"/>
      <c r="RK355" s="126"/>
      <c r="RL355" s="126"/>
      <c r="RM355" s="126"/>
      <c r="RN355" s="126"/>
      <c r="RO355" s="126"/>
      <c r="RP355" s="126"/>
      <c r="RQ355" s="126"/>
      <c r="RR355" s="126"/>
      <c r="RS355" s="126"/>
      <c r="RT355" s="126"/>
      <c r="RU355" s="126"/>
      <c r="RV355" s="126"/>
      <c r="RW355" s="126"/>
      <c r="RX355" s="126"/>
      <c r="RY355" s="126"/>
      <c r="RZ355" s="126"/>
      <c r="SA355" s="126"/>
      <c r="SB355" s="126"/>
      <c r="SC355" s="126"/>
      <c r="SD355" s="126"/>
      <c r="SE355" s="126"/>
      <c r="SF355" s="126"/>
      <c r="SG355" s="126"/>
      <c r="SH355" s="126"/>
      <c r="SI355" s="126"/>
      <c r="SJ355" s="126"/>
      <c r="SK355" s="126"/>
      <c r="SL355" s="126"/>
      <c r="SM355" s="126"/>
      <c r="SN355" s="126"/>
      <c r="SO355" s="126"/>
      <c r="SP355" s="126"/>
      <c r="SQ355" s="126"/>
      <c r="SR355" s="126"/>
      <c r="SS355" s="126"/>
      <c r="ST355" s="126"/>
      <c r="SU355" s="126"/>
      <c r="SV355" s="126"/>
      <c r="SW355" s="126"/>
      <c r="SX355" s="126"/>
      <c r="SY355" s="126"/>
      <c r="SZ355" s="126"/>
      <c r="TA355" s="126"/>
      <c r="TB355" s="126"/>
      <c r="TC355" s="126"/>
      <c r="TD355" s="126"/>
      <c r="TE355" s="126"/>
    </row>
    <row r="356" spans="1:525" s="121" customFormat="1" ht="126" hidden="1" customHeight="1" x14ac:dyDescent="0.25">
      <c r="A356" s="117" t="s">
        <v>364</v>
      </c>
      <c r="B356" s="118">
        <v>7691</v>
      </c>
      <c r="C356" s="147" t="s">
        <v>81</v>
      </c>
      <c r="D356" s="122" t="s">
        <v>309</v>
      </c>
      <c r="E356" s="81">
        <f t="shared" si="158"/>
        <v>0</v>
      </c>
      <c r="F356" s="81"/>
      <c r="G356" s="81"/>
      <c r="H356" s="81"/>
      <c r="I356" s="81"/>
      <c r="J356" s="81">
        <f t="shared" si="161"/>
        <v>0</v>
      </c>
      <c r="K356" s="81"/>
      <c r="L356" s="81"/>
      <c r="M356" s="81"/>
      <c r="N356" s="81"/>
      <c r="O356" s="81"/>
      <c r="P356" s="81">
        <f t="shared" si="159"/>
        <v>0</v>
      </c>
      <c r="Q356" s="26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1" customFormat="1" ht="31.5" hidden="1" customHeight="1" x14ac:dyDescent="0.25">
      <c r="A357" s="117" t="s">
        <v>494</v>
      </c>
      <c r="B357" s="118">
        <v>9750</v>
      </c>
      <c r="C357" s="117" t="s">
        <v>44</v>
      </c>
      <c r="D357" s="122" t="s">
        <v>495</v>
      </c>
      <c r="E357" s="81">
        <f t="shared" ref="E357" si="166">F357+I357</f>
        <v>0</v>
      </c>
      <c r="F357" s="81"/>
      <c r="G357" s="81"/>
      <c r="H357" s="81"/>
      <c r="I357" s="81"/>
      <c r="J357" s="81">
        <f t="shared" ref="J357" si="167">L357+O357</f>
        <v>0</v>
      </c>
      <c r="K357" s="81"/>
      <c r="L357" s="81"/>
      <c r="M357" s="81"/>
      <c r="N357" s="81"/>
      <c r="O357" s="81"/>
      <c r="P357" s="81">
        <f t="shared" ref="P357" si="168">E357+J357</f>
        <v>0</v>
      </c>
      <c r="Q357" s="26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  <c r="IW357" s="120"/>
      <c r="IX357" s="120"/>
      <c r="IY357" s="120"/>
      <c r="IZ357" s="120"/>
      <c r="JA357" s="120"/>
      <c r="JB357" s="120"/>
      <c r="JC357" s="120"/>
      <c r="JD357" s="120"/>
      <c r="JE357" s="120"/>
      <c r="JF357" s="120"/>
      <c r="JG357" s="120"/>
      <c r="JH357" s="120"/>
      <c r="JI357" s="120"/>
      <c r="JJ357" s="120"/>
      <c r="JK357" s="120"/>
      <c r="JL357" s="120"/>
      <c r="JM357" s="120"/>
      <c r="JN357" s="120"/>
      <c r="JO357" s="120"/>
      <c r="JP357" s="120"/>
      <c r="JQ357" s="120"/>
      <c r="JR357" s="120"/>
      <c r="JS357" s="120"/>
      <c r="JT357" s="120"/>
      <c r="JU357" s="120"/>
      <c r="JV357" s="120"/>
      <c r="JW357" s="120"/>
      <c r="JX357" s="120"/>
      <c r="JY357" s="120"/>
      <c r="JZ357" s="120"/>
      <c r="KA357" s="120"/>
      <c r="KB357" s="120"/>
      <c r="KC357" s="120"/>
      <c r="KD357" s="120"/>
      <c r="KE357" s="120"/>
      <c r="KF357" s="120"/>
      <c r="KG357" s="120"/>
      <c r="KH357" s="120"/>
      <c r="KI357" s="120"/>
      <c r="KJ357" s="120"/>
      <c r="KK357" s="120"/>
      <c r="KL357" s="120"/>
      <c r="KM357" s="120"/>
      <c r="KN357" s="120"/>
      <c r="KO357" s="120"/>
      <c r="KP357" s="120"/>
      <c r="KQ357" s="120"/>
      <c r="KR357" s="120"/>
      <c r="KS357" s="120"/>
      <c r="KT357" s="120"/>
      <c r="KU357" s="120"/>
      <c r="KV357" s="120"/>
      <c r="KW357" s="120"/>
      <c r="KX357" s="120"/>
      <c r="KY357" s="120"/>
      <c r="KZ357" s="120"/>
      <c r="LA357" s="120"/>
      <c r="LB357" s="120"/>
      <c r="LC357" s="120"/>
      <c r="LD357" s="120"/>
      <c r="LE357" s="120"/>
      <c r="LF357" s="120"/>
      <c r="LG357" s="120"/>
      <c r="LH357" s="120"/>
      <c r="LI357" s="120"/>
      <c r="LJ357" s="120"/>
      <c r="LK357" s="120"/>
      <c r="LL357" s="120"/>
      <c r="LM357" s="120"/>
      <c r="LN357" s="120"/>
      <c r="LO357" s="120"/>
      <c r="LP357" s="120"/>
      <c r="LQ357" s="120"/>
      <c r="LR357" s="120"/>
      <c r="LS357" s="120"/>
      <c r="LT357" s="120"/>
      <c r="LU357" s="120"/>
      <c r="LV357" s="120"/>
      <c r="LW357" s="120"/>
      <c r="LX357" s="120"/>
      <c r="LY357" s="120"/>
      <c r="LZ357" s="120"/>
      <c r="MA357" s="120"/>
      <c r="MB357" s="120"/>
      <c r="MC357" s="120"/>
      <c r="MD357" s="120"/>
      <c r="ME357" s="120"/>
      <c r="MF357" s="120"/>
      <c r="MG357" s="120"/>
      <c r="MH357" s="120"/>
      <c r="MI357" s="120"/>
      <c r="MJ357" s="120"/>
      <c r="MK357" s="120"/>
      <c r="ML357" s="120"/>
      <c r="MM357" s="120"/>
      <c r="MN357" s="120"/>
      <c r="MO357" s="120"/>
      <c r="MP357" s="120"/>
      <c r="MQ357" s="120"/>
      <c r="MR357" s="120"/>
      <c r="MS357" s="120"/>
      <c r="MT357" s="120"/>
      <c r="MU357" s="120"/>
      <c r="MV357" s="120"/>
      <c r="MW357" s="120"/>
      <c r="MX357" s="120"/>
      <c r="MY357" s="120"/>
      <c r="MZ357" s="120"/>
      <c r="NA357" s="120"/>
      <c r="NB357" s="120"/>
      <c r="NC357" s="120"/>
      <c r="ND357" s="120"/>
      <c r="NE357" s="120"/>
      <c r="NF357" s="120"/>
      <c r="NG357" s="120"/>
      <c r="NH357" s="120"/>
      <c r="NI357" s="120"/>
      <c r="NJ357" s="120"/>
      <c r="NK357" s="120"/>
      <c r="NL357" s="120"/>
      <c r="NM357" s="120"/>
      <c r="NN357" s="120"/>
      <c r="NO357" s="120"/>
      <c r="NP357" s="120"/>
      <c r="NQ357" s="120"/>
      <c r="NR357" s="120"/>
      <c r="NS357" s="120"/>
      <c r="NT357" s="120"/>
      <c r="NU357" s="120"/>
      <c r="NV357" s="120"/>
      <c r="NW357" s="120"/>
      <c r="NX357" s="120"/>
      <c r="NY357" s="120"/>
      <c r="NZ357" s="120"/>
      <c r="OA357" s="120"/>
      <c r="OB357" s="120"/>
      <c r="OC357" s="120"/>
      <c r="OD357" s="120"/>
      <c r="OE357" s="120"/>
      <c r="OF357" s="120"/>
      <c r="OG357" s="120"/>
      <c r="OH357" s="120"/>
      <c r="OI357" s="120"/>
      <c r="OJ357" s="120"/>
      <c r="OK357" s="120"/>
      <c r="OL357" s="120"/>
      <c r="OM357" s="120"/>
      <c r="ON357" s="120"/>
      <c r="OO357" s="120"/>
      <c r="OP357" s="120"/>
      <c r="OQ357" s="120"/>
      <c r="OR357" s="120"/>
      <c r="OS357" s="120"/>
      <c r="OT357" s="120"/>
      <c r="OU357" s="120"/>
      <c r="OV357" s="120"/>
      <c r="OW357" s="120"/>
      <c r="OX357" s="120"/>
      <c r="OY357" s="120"/>
      <c r="OZ357" s="120"/>
      <c r="PA357" s="120"/>
      <c r="PB357" s="120"/>
      <c r="PC357" s="120"/>
      <c r="PD357" s="120"/>
      <c r="PE357" s="120"/>
      <c r="PF357" s="120"/>
      <c r="PG357" s="120"/>
      <c r="PH357" s="120"/>
      <c r="PI357" s="120"/>
      <c r="PJ357" s="120"/>
      <c r="PK357" s="120"/>
      <c r="PL357" s="120"/>
      <c r="PM357" s="120"/>
      <c r="PN357" s="120"/>
      <c r="PO357" s="120"/>
      <c r="PP357" s="120"/>
      <c r="PQ357" s="120"/>
      <c r="PR357" s="120"/>
      <c r="PS357" s="120"/>
      <c r="PT357" s="120"/>
      <c r="PU357" s="120"/>
      <c r="PV357" s="120"/>
      <c r="PW357" s="120"/>
      <c r="PX357" s="120"/>
      <c r="PY357" s="120"/>
      <c r="PZ357" s="120"/>
      <c r="QA357" s="120"/>
      <c r="QB357" s="120"/>
      <c r="QC357" s="120"/>
      <c r="QD357" s="120"/>
      <c r="QE357" s="120"/>
      <c r="QF357" s="120"/>
      <c r="QG357" s="120"/>
      <c r="QH357" s="120"/>
      <c r="QI357" s="120"/>
      <c r="QJ357" s="120"/>
      <c r="QK357" s="120"/>
      <c r="QL357" s="120"/>
      <c r="QM357" s="120"/>
      <c r="QN357" s="120"/>
      <c r="QO357" s="120"/>
      <c r="QP357" s="120"/>
      <c r="QQ357" s="120"/>
      <c r="QR357" s="120"/>
      <c r="QS357" s="120"/>
      <c r="QT357" s="120"/>
      <c r="QU357" s="120"/>
      <c r="QV357" s="120"/>
      <c r="QW357" s="120"/>
      <c r="QX357" s="120"/>
      <c r="QY357" s="120"/>
      <c r="QZ357" s="120"/>
      <c r="RA357" s="120"/>
      <c r="RB357" s="120"/>
      <c r="RC357" s="120"/>
      <c r="RD357" s="120"/>
      <c r="RE357" s="120"/>
      <c r="RF357" s="120"/>
      <c r="RG357" s="120"/>
      <c r="RH357" s="120"/>
      <c r="RI357" s="120"/>
      <c r="RJ357" s="120"/>
      <c r="RK357" s="120"/>
      <c r="RL357" s="120"/>
      <c r="RM357" s="120"/>
      <c r="RN357" s="120"/>
      <c r="RO357" s="120"/>
      <c r="RP357" s="120"/>
      <c r="RQ357" s="120"/>
      <c r="RR357" s="120"/>
      <c r="RS357" s="120"/>
      <c r="RT357" s="120"/>
      <c r="RU357" s="120"/>
      <c r="RV357" s="120"/>
      <c r="RW357" s="120"/>
      <c r="RX357" s="120"/>
      <c r="RY357" s="120"/>
      <c r="RZ357" s="120"/>
      <c r="SA357" s="120"/>
      <c r="SB357" s="120"/>
      <c r="SC357" s="120"/>
      <c r="SD357" s="120"/>
      <c r="SE357" s="120"/>
      <c r="SF357" s="120"/>
      <c r="SG357" s="120"/>
      <c r="SH357" s="120"/>
      <c r="SI357" s="120"/>
      <c r="SJ357" s="120"/>
      <c r="SK357" s="120"/>
      <c r="SL357" s="120"/>
      <c r="SM357" s="120"/>
      <c r="SN357" s="120"/>
      <c r="SO357" s="120"/>
      <c r="SP357" s="120"/>
      <c r="SQ357" s="120"/>
      <c r="SR357" s="120"/>
      <c r="SS357" s="120"/>
      <c r="ST357" s="120"/>
      <c r="SU357" s="120"/>
      <c r="SV357" s="120"/>
      <c r="SW357" s="120"/>
      <c r="SX357" s="120"/>
      <c r="SY357" s="120"/>
      <c r="SZ357" s="120"/>
      <c r="TA357" s="120"/>
      <c r="TB357" s="120"/>
      <c r="TC357" s="120"/>
      <c r="TD357" s="120"/>
      <c r="TE357" s="120"/>
    </row>
    <row r="358" spans="1:525" s="111" customFormat="1" ht="33.75" customHeight="1" x14ac:dyDescent="0.25">
      <c r="A358" s="142" t="s">
        <v>204</v>
      </c>
      <c r="B358" s="148"/>
      <c r="C358" s="148"/>
      <c r="D358" s="138" t="s">
        <v>39</v>
      </c>
      <c r="E358" s="79">
        <f>E359</f>
        <v>1185642.93</v>
      </c>
      <c r="F358" s="79">
        <f t="shared" ref="F358:J358" si="169">F359</f>
        <v>1185642.93</v>
      </c>
      <c r="G358" s="79">
        <f t="shared" si="169"/>
        <v>947021.56</v>
      </c>
      <c r="H358" s="79">
        <f t="shared" si="169"/>
        <v>31827.29</v>
      </c>
      <c r="I358" s="79">
        <f t="shared" si="169"/>
        <v>0</v>
      </c>
      <c r="J358" s="79">
        <f t="shared" si="169"/>
        <v>0</v>
      </c>
      <c r="K358" s="79">
        <f t="shared" ref="K358" si="170">K359</f>
        <v>0</v>
      </c>
      <c r="L358" s="79">
        <f t="shared" ref="L358" si="171">L359</f>
        <v>0</v>
      </c>
      <c r="M358" s="79">
        <f t="shared" ref="M358" si="172">M359</f>
        <v>0</v>
      </c>
      <c r="N358" s="79">
        <f t="shared" ref="N358" si="173">N359</f>
        <v>0</v>
      </c>
      <c r="O358" s="79">
        <f t="shared" ref="O358:P358" si="174">O359</f>
        <v>0</v>
      </c>
      <c r="P358" s="79">
        <f t="shared" si="174"/>
        <v>1185642.93</v>
      </c>
      <c r="Q358" s="26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/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/>
      <c r="CW358" s="110"/>
      <c r="CX358" s="110"/>
      <c r="CY358" s="110"/>
      <c r="CZ358" s="110"/>
      <c r="DA358" s="110"/>
      <c r="DB358" s="110"/>
      <c r="DC358" s="110"/>
      <c r="DD358" s="110"/>
      <c r="DE358" s="110"/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/>
      <c r="DQ358" s="110"/>
      <c r="DR358" s="110"/>
      <c r="DS358" s="110"/>
      <c r="DT358" s="110"/>
      <c r="DU358" s="110"/>
      <c r="DV358" s="110"/>
      <c r="DW358" s="110"/>
      <c r="DX358" s="110"/>
      <c r="DY358" s="110"/>
      <c r="DZ358" s="110"/>
      <c r="EA358" s="110"/>
      <c r="EB358" s="110"/>
      <c r="EC358" s="110"/>
      <c r="ED358" s="110"/>
      <c r="EE358" s="110"/>
      <c r="EF358" s="110"/>
      <c r="EG358" s="110"/>
      <c r="EH358" s="110"/>
      <c r="EI358" s="110"/>
      <c r="EJ358" s="110"/>
      <c r="EK358" s="110"/>
      <c r="EL358" s="110"/>
      <c r="EM358" s="110"/>
      <c r="EN358" s="110"/>
      <c r="EO358" s="110"/>
      <c r="EP358" s="110"/>
      <c r="EQ358" s="110"/>
      <c r="ER358" s="110"/>
      <c r="ES358" s="110"/>
      <c r="ET358" s="110"/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/>
      <c r="FE358" s="110"/>
      <c r="FF358" s="110"/>
      <c r="FG358" s="110"/>
      <c r="FH358" s="110"/>
      <c r="FI358" s="110"/>
      <c r="FJ358" s="110"/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/>
      <c r="FV358" s="110"/>
      <c r="FW358" s="110"/>
      <c r="FX358" s="110"/>
      <c r="FY358" s="110"/>
      <c r="FZ358" s="110"/>
      <c r="GA358" s="110"/>
      <c r="GB358" s="110"/>
      <c r="GC358" s="110"/>
      <c r="GD358" s="110"/>
      <c r="GE358" s="110"/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/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/>
      <c r="HN358" s="110"/>
      <c r="HO358" s="110"/>
      <c r="HP358" s="110"/>
      <c r="HQ358" s="110"/>
      <c r="HR358" s="110"/>
      <c r="HS358" s="110"/>
      <c r="HT358" s="110"/>
      <c r="HU358" s="110"/>
      <c r="HV358" s="110"/>
      <c r="HW358" s="110"/>
      <c r="HX358" s="110"/>
      <c r="HY358" s="110"/>
      <c r="HZ358" s="110"/>
      <c r="IA358" s="110"/>
      <c r="IB358" s="110"/>
      <c r="IC358" s="110"/>
      <c r="ID358" s="110"/>
      <c r="IE358" s="110"/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/>
      <c r="IT358" s="110"/>
      <c r="IU358" s="110"/>
      <c r="IV358" s="110"/>
      <c r="IW358" s="110"/>
      <c r="IX358" s="110"/>
      <c r="IY358" s="110"/>
      <c r="IZ358" s="110"/>
      <c r="JA358" s="110"/>
      <c r="JB358" s="110"/>
      <c r="JC358" s="110"/>
      <c r="JD358" s="110"/>
      <c r="JE358" s="110"/>
      <c r="JF358" s="110"/>
      <c r="JG358" s="110"/>
      <c r="JH358" s="110"/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/>
      <c r="JT358" s="110"/>
      <c r="JU358" s="110"/>
      <c r="JV358" s="110"/>
      <c r="JW358" s="110"/>
      <c r="JX358" s="110"/>
      <c r="JY358" s="110"/>
      <c r="JZ358" s="110"/>
      <c r="KA358" s="110"/>
      <c r="KB358" s="110"/>
      <c r="KC358" s="110"/>
      <c r="KD358" s="110"/>
      <c r="KE358" s="110"/>
      <c r="KF358" s="110"/>
      <c r="KG358" s="110"/>
      <c r="KH358" s="110"/>
      <c r="KI358" s="110"/>
      <c r="KJ358" s="110"/>
      <c r="KK358" s="110"/>
      <c r="KL358" s="110"/>
      <c r="KM358" s="110"/>
      <c r="KN358" s="110"/>
      <c r="KO358" s="110"/>
      <c r="KP358" s="110"/>
      <c r="KQ358" s="110"/>
      <c r="KR358" s="110"/>
      <c r="KS358" s="110"/>
      <c r="KT358" s="110"/>
      <c r="KU358" s="110"/>
      <c r="KV358" s="110"/>
      <c r="KW358" s="110"/>
      <c r="KX358" s="110"/>
      <c r="KY358" s="110"/>
      <c r="KZ358" s="110"/>
      <c r="LA358" s="110"/>
      <c r="LB358" s="110"/>
      <c r="LC358" s="110"/>
      <c r="LD358" s="110"/>
      <c r="LE358" s="110"/>
      <c r="LF358" s="110"/>
      <c r="LG358" s="110"/>
      <c r="LH358" s="110"/>
      <c r="LI358" s="110"/>
      <c r="LJ358" s="110"/>
      <c r="LK358" s="110"/>
      <c r="LL358" s="110"/>
      <c r="LM358" s="110"/>
      <c r="LN358" s="110"/>
      <c r="LO358" s="110"/>
      <c r="LP358" s="110"/>
      <c r="LQ358" s="110"/>
      <c r="LR358" s="110"/>
      <c r="LS358" s="110"/>
      <c r="LT358" s="110"/>
      <c r="LU358" s="110"/>
      <c r="LV358" s="110"/>
      <c r="LW358" s="110"/>
      <c r="LX358" s="110"/>
      <c r="LY358" s="110"/>
      <c r="LZ358" s="110"/>
      <c r="MA358" s="110"/>
      <c r="MB358" s="110"/>
      <c r="MC358" s="110"/>
      <c r="MD358" s="110"/>
      <c r="ME358" s="110"/>
      <c r="MF358" s="110"/>
      <c r="MG358" s="110"/>
      <c r="MH358" s="110"/>
      <c r="MI358" s="110"/>
      <c r="MJ358" s="110"/>
      <c r="MK358" s="110"/>
      <c r="ML358" s="110"/>
      <c r="MM358" s="110"/>
      <c r="MN358" s="110"/>
      <c r="MO358" s="110"/>
      <c r="MP358" s="110"/>
      <c r="MQ358" s="110"/>
      <c r="MR358" s="110"/>
      <c r="MS358" s="110"/>
      <c r="MT358" s="110"/>
      <c r="MU358" s="110"/>
      <c r="MV358" s="110"/>
      <c r="MW358" s="110"/>
      <c r="MX358" s="110"/>
      <c r="MY358" s="110"/>
      <c r="MZ358" s="110"/>
      <c r="NA358" s="110"/>
      <c r="NB358" s="110"/>
      <c r="NC358" s="110"/>
      <c r="ND358" s="110"/>
      <c r="NE358" s="110"/>
      <c r="NF358" s="110"/>
      <c r="NG358" s="110"/>
      <c r="NH358" s="110"/>
      <c r="NI358" s="110"/>
      <c r="NJ358" s="110"/>
      <c r="NK358" s="110"/>
      <c r="NL358" s="110"/>
      <c r="NM358" s="110"/>
      <c r="NN358" s="110"/>
      <c r="NO358" s="110"/>
      <c r="NP358" s="110"/>
      <c r="NQ358" s="110"/>
      <c r="NR358" s="110"/>
      <c r="NS358" s="110"/>
      <c r="NT358" s="110"/>
      <c r="NU358" s="110"/>
      <c r="NV358" s="110"/>
      <c r="NW358" s="110"/>
      <c r="NX358" s="110"/>
      <c r="NY358" s="110"/>
      <c r="NZ358" s="110"/>
      <c r="OA358" s="110"/>
      <c r="OB358" s="110"/>
      <c r="OC358" s="110"/>
      <c r="OD358" s="110"/>
      <c r="OE358" s="110"/>
      <c r="OF358" s="110"/>
      <c r="OG358" s="110"/>
      <c r="OH358" s="110"/>
      <c r="OI358" s="110"/>
      <c r="OJ358" s="110"/>
      <c r="OK358" s="110"/>
      <c r="OL358" s="110"/>
      <c r="OM358" s="110"/>
      <c r="ON358" s="110"/>
      <c r="OO358" s="110"/>
      <c r="OP358" s="110"/>
      <c r="OQ358" s="110"/>
      <c r="OR358" s="110"/>
      <c r="OS358" s="110"/>
      <c r="OT358" s="110"/>
      <c r="OU358" s="110"/>
      <c r="OV358" s="110"/>
      <c r="OW358" s="110"/>
      <c r="OX358" s="110"/>
      <c r="OY358" s="110"/>
      <c r="OZ358" s="110"/>
      <c r="PA358" s="110"/>
      <c r="PB358" s="110"/>
      <c r="PC358" s="110"/>
      <c r="PD358" s="110"/>
      <c r="PE358" s="110"/>
      <c r="PF358" s="110"/>
      <c r="PG358" s="110"/>
      <c r="PH358" s="110"/>
      <c r="PI358" s="110"/>
      <c r="PJ358" s="110"/>
      <c r="PK358" s="110"/>
      <c r="PL358" s="110"/>
      <c r="PM358" s="110"/>
      <c r="PN358" s="110"/>
      <c r="PO358" s="110"/>
      <c r="PP358" s="110"/>
      <c r="PQ358" s="110"/>
      <c r="PR358" s="110"/>
      <c r="PS358" s="110"/>
      <c r="PT358" s="110"/>
      <c r="PU358" s="110"/>
      <c r="PV358" s="110"/>
      <c r="PW358" s="110"/>
      <c r="PX358" s="110"/>
      <c r="PY358" s="110"/>
      <c r="PZ358" s="110"/>
      <c r="QA358" s="110"/>
      <c r="QB358" s="110"/>
      <c r="QC358" s="110"/>
      <c r="QD358" s="110"/>
      <c r="QE358" s="110"/>
      <c r="QF358" s="110"/>
      <c r="QG358" s="110"/>
      <c r="QH358" s="110"/>
      <c r="QI358" s="110"/>
      <c r="QJ358" s="110"/>
      <c r="QK358" s="110"/>
      <c r="QL358" s="110"/>
      <c r="QM358" s="110"/>
      <c r="QN358" s="110"/>
      <c r="QO358" s="110"/>
      <c r="QP358" s="110"/>
      <c r="QQ358" s="110"/>
      <c r="QR358" s="110"/>
      <c r="QS358" s="110"/>
      <c r="QT358" s="110"/>
      <c r="QU358" s="110"/>
      <c r="QV358" s="110"/>
      <c r="QW358" s="110"/>
      <c r="QX358" s="110"/>
      <c r="QY358" s="110"/>
      <c r="QZ358" s="110"/>
      <c r="RA358" s="110"/>
      <c r="RB358" s="110"/>
      <c r="RC358" s="110"/>
      <c r="RD358" s="110"/>
      <c r="RE358" s="110"/>
      <c r="RF358" s="110"/>
      <c r="RG358" s="110"/>
      <c r="RH358" s="110"/>
      <c r="RI358" s="110"/>
      <c r="RJ358" s="110"/>
      <c r="RK358" s="110"/>
      <c r="RL358" s="110"/>
      <c r="RM358" s="110"/>
      <c r="RN358" s="110"/>
      <c r="RO358" s="110"/>
      <c r="RP358" s="110"/>
      <c r="RQ358" s="110"/>
      <c r="RR358" s="110"/>
      <c r="RS358" s="110"/>
      <c r="RT358" s="110"/>
      <c r="RU358" s="110"/>
      <c r="RV358" s="110"/>
      <c r="RW358" s="110"/>
      <c r="RX358" s="110"/>
      <c r="RY358" s="110"/>
      <c r="RZ358" s="110"/>
      <c r="SA358" s="110"/>
      <c r="SB358" s="110"/>
      <c r="SC358" s="110"/>
      <c r="SD358" s="110"/>
      <c r="SE358" s="110"/>
      <c r="SF358" s="110"/>
      <c r="SG358" s="110"/>
      <c r="SH358" s="110"/>
      <c r="SI358" s="110"/>
      <c r="SJ358" s="110"/>
      <c r="SK358" s="110"/>
      <c r="SL358" s="110"/>
      <c r="SM358" s="110"/>
      <c r="SN358" s="110"/>
      <c r="SO358" s="110"/>
      <c r="SP358" s="110"/>
      <c r="SQ358" s="110"/>
      <c r="SR358" s="110"/>
      <c r="SS358" s="110"/>
      <c r="ST358" s="110"/>
      <c r="SU358" s="110"/>
      <c r="SV358" s="110"/>
      <c r="SW358" s="110"/>
      <c r="SX358" s="110"/>
      <c r="SY358" s="110"/>
      <c r="SZ358" s="110"/>
      <c r="TA358" s="110"/>
      <c r="TB358" s="110"/>
      <c r="TC358" s="110"/>
      <c r="TD358" s="110"/>
      <c r="TE358" s="110"/>
    </row>
    <row r="359" spans="1:525" s="116" customFormat="1" ht="35.25" customHeight="1" x14ac:dyDescent="0.25">
      <c r="A359" s="112" t="s">
        <v>205</v>
      </c>
      <c r="B359" s="141"/>
      <c r="C359" s="141"/>
      <c r="D359" s="114" t="s">
        <v>39</v>
      </c>
      <c r="E359" s="80">
        <f>E360+E361+E363+E364+E365+E362</f>
        <v>1185642.93</v>
      </c>
      <c r="F359" s="80">
        <f t="shared" ref="F359:P359" si="175">F360+F361+F363+F364+F365+F362</f>
        <v>1185642.93</v>
      </c>
      <c r="G359" s="80">
        <f t="shared" si="175"/>
        <v>947021.56</v>
      </c>
      <c r="H359" s="80">
        <f t="shared" si="175"/>
        <v>31827.29</v>
      </c>
      <c r="I359" s="80">
        <f t="shared" si="175"/>
        <v>0</v>
      </c>
      <c r="J359" s="80">
        <f t="shared" si="175"/>
        <v>0</v>
      </c>
      <c r="K359" s="80">
        <f t="shared" si="175"/>
        <v>0</v>
      </c>
      <c r="L359" s="80">
        <f t="shared" si="175"/>
        <v>0</v>
      </c>
      <c r="M359" s="80">
        <f t="shared" si="175"/>
        <v>0</v>
      </c>
      <c r="N359" s="80">
        <f t="shared" si="175"/>
        <v>0</v>
      </c>
      <c r="O359" s="80">
        <f t="shared" si="175"/>
        <v>0</v>
      </c>
      <c r="P359" s="80">
        <f t="shared" si="175"/>
        <v>1185642.93</v>
      </c>
      <c r="Q359" s="260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  <c r="OH359" s="115"/>
      <c r="OI359" s="115"/>
      <c r="OJ359" s="115"/>
      <c r="OK359" s="115"/>
      <c r="OL359" s="115"/>
      <c r="OM359" s="115"/>
      <c r="ON359" s="115"/>
      <c r="OO359" s="115"/>
      <c r="OP359" s="115"/>
      <c r="OQ359" s="115"/>
      <c r="OR359" s="115"/>
      <c r="OS359" s="115"/>
      <c r="OT359" s="115"/>
      <c r="OU359" s="115"/>
      <c r="OV359" s="115"/>
      <c r="OW359" s="115"/>
      <c r="OX359" s="115"/>
      <c r="OY359" s="115"/>
      <c r="OZ359" s="115"/>
      <c r="PA359" s="115"/>
      <c r="PB359" s="115"/>
      <c r="PC359" s="115"/>
      <c r="PD359" s="115"/>
      <c r="PE359" s="115"/>
      <c r="PF359" s="115"/>
      <c r="PG359" s="115"/>
      <c r="PH359" s="115"/>
      <c r="PI359" s="115"/>
      <c r="PJ359" s="115"/>
      <c r="PK359" s="115"/>
      <c r="PL359" s="115"/>
      <c r="PM359" s="115"/>
      <c r="PN359" s="115"/>
      <c r="PO359" s="115"/>
      <c r="PP359" s="115"/>
      <c r="PQ359" s="115"/>
      <c r="PR359" s="115"/>
      <c r="PS359" s="115"/>
      <c r="PT359" s="115"/>
      <c r="PU359" s="115"/>
      <c r="PV359" s="115"/>
      <c r="PW359" s="115"/>
      <c r="PX359" s="115"/>
      <c r="PY359" s="115"/>
      <c r="PZ359" s="115"/>
      <c r="QA359" s="115"/>
      <c r="QB359" s="115"/>
      <c r="QC359" s="115"/>
      <c r="QD359" s="115"/>
      <c r="QE359" s="115"/>
      <c r="QF359" s="115"/>
      <c r="QG359" s="115"/>
      <c r="QH359" s="115"/>
      <c r="QI359" s="115"/>
      <c r="QJ359" s="115"/>
      <c r="QK359" s="115"/>
      <c r="QL359" s="115"/>
      <c r="QM359" s="115"/>
      <c r="QN359" s="115"/>
      <c r="QO359" s="115"/>
      <c r="QP359" s="115"/>
      <c r="QQ359" s="115"/>
      <c r="QR359" s="115"/>
      <c r="QS359" s="115"/>
      <c r="QT359" s="115"/>
      <c r="QU359" s="115"/>
      <c r="QV359" s="115"/>
      <c r="QW359" s="115"/>
      <c r="QX359" s="115"/>
      <c r="QY359" s="115"/>
      <c r="QZ359" s="115"/>
      <c r="RA359" s="115"/>
      <c r="RB359" s="115"/>
      <c r="RC359" s="115"/>
      <c r="RD359" s="115"/>
      <c r="RE359" s="115"/>
      <c r="RF359" s="115"/>
      <c r="RG359" s="115"/>
      <c r="RH359" s="115"/>
      <c r="RI359" s="115"/>
      <c r="RJ359" s="115"/>
      <c r="RK359" s="115"/>
      <c r="RL359" s="115"/>
      <c r="RM359" s="115"/>
      <c r="RN359" s="115"/>
      <c r="RO359" s="115"/>
      <c r="RP359" s="115"/>
      <c r="RQ359" s="115"/>
      <c r="RR359" s="115"/>
      <c r="RS359" s="115"/>
      <c r="RT359" s="115"/>
      <c r="RU359" s="115"/>
      <c r="RV359" s="115"/>
      <c r="RW359" s="115"/>
      <c r="RX359" s="115"/>
      <c r="RY359" s="115"/>
      <c r="RZ359" s="115"/>
      <c r="SA359" s="115"/>
      <c r="SB359" s="115"/>
      <c r="SC359" s="115"/>
      <c r="SD359" s="115"/>
      <c r="SE359" s="115"/>
      <c r="SF359" s="115"/>
      <c r="SG359" s="115"/>
      <c r="SH359" s="115"/>
      <c r="SI359" s="115"/>
      <c r="SJ359" s="115"/>
      <c r="SK359" s="115"/>
      <c r="SL359" s="115"/>
      <c r="SM359" s="115"/>
      <c r="SN359" s="115"/>
      <c r="SO359" s="115"/>
      <c r="SP359" s="115"/>
      <c r="SQ359" s="115"/>
      <c r="SR359" s="115"/>
      <c r="SS359" s="115"/>
      <c r="ST359" s="115"/>
      <c r="SU359" s="115"/>
      <c r="SV359" s="115"/>
      <c r="SW359" s="115"/>
      <c r="SX359" s="115"/>
      <c r="SY359" s="115"/>
      <c r="SZ359" s="115"/>
      <c r="TA359" s="115"/>
      <c r="TB359" s="115"/>
      <c r="TC359" s="115"/>
      <c r="TD359" s="115"/>
      <c r="TE359" s="115"/>
    </row>
    <row r="360" spans="1:525" s="121" customFormat="1" ht="47.25" x14ac:dyDescent="0.25">
      <c r="A360" s="117" t="s">
        <v>206</v>
      </c>
      <c r="B360" s="118" t="str">
        <f>'дод 6'!A16</f>
        <v>0160</v>
      </c>
      <c r="C360" s="118" t="str">
        <f>'дод 6'!B16</f>
        <v>0111</v>
      </c>
      <c r="D360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60" s="81">
        <f t="shared" ref="E360:E365" si="176">F360+I360</f>
        <v>1177242.93</v>
      </c>
      <c r="F360" s="81">
        <f>1359000-140576.32-41180.75</f>
        <v>1177242.93</v>
      </c>
      <c r="G360" s="81">
        <f>1048700-101678.44</f>
        <v>947021.56</v>
      </c>
      <c r="H360" s="81">
        <f>34600-2772.71</f>
        <v>31827.29</v>
      </c>
      <c r="I360" s="81"/>
      <c r="J360" s="81">
        <f t="shared" si="161"/>
        <v>0</v>
      </c>
      <c r="K360" s="81"/>
      <c r="L360" s="81"/>
      <c r="M360" s="81"/>
      <c r="N360" s="81"/>
      <c r="O360" s="81"/>
      <c r="P360" s="81">
        <f t="shared" ref="P360:P365" si="177">E360+J360</f>
        <v>1177242.93</v>
      </c>
      <c r="Q360" s="26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  <c r="IW360" s="120"/>
      <c r="IX360" s="120"/>
      <c r="IY360" s="120"/>
      <c r="IZ360" s="120"/>
      <c r="JA360" s="120"/>
      <c r="JB360" s="120"/>
      <c r="JC360" s="120"/>
      <c r="JD360" s="120"/>
      <c r="JE360" s="120"/>
      <c r="JF360" s="120"/>
      <c r="JG360" s="120"/>
      <c r="JH360" s="120"/>
      <c r="JI360" s="120"/>
      <c r="JJ360" s="120"/>
      <c r="JK360" s="120"/>
      <c r="JL360" s="120"/>
      <c r="JM360" s="120"/>
      <c r="JN360" s="120"/>
      <c r="JO360" s="120"/>
      <c r="JP360" s="120"/>
      <c r="JQ360" s="120"/>
      <c r="JR360" s="120"/>
      <c r="JS360" s="120"/>
      <c r="JT360" s="120"/>
      <c r="JU360" s="120"/>
      <c r="JV360" s="120"/>
      <c r="JW360" s="120"/>
      <c r="JX360" s="120"/>
      <c r="JY360" s="120"/>
      <c r="JZ360" s="120"/>
      <c r="KA360" s="120"/>
      <c r="KB360" s="120"/>
      <c r="KC360" s="120"/>
      <c r="KD360" s="120"/>
      <c r="KE360" s="120"/>
      <c r="KF360" s="120"/>
      <c r="KG360" s="120"/>
      <c r="KH360" s="120"/>
      <c r="KI360" s="120"/>
      <c r="KJ360" s="120"/>
      <c r="KK360" s="120"/>
      <c r="KL360" s="120"/>
      <c r="KM360" s="120"/>
      <c r="KN360" s="120"/>
      <c r="KO360" s="120"/>
      <c r="KP360" s="120"/>
      <c r="KQ360" s="120"/>
      <c r="KR360" s="120"/>
      <c r="KS360" s="120"/>
      <c r="KT360" s="120"/>
      <c r="KU360" s="120"/>
      <c r="KV360" s="120"/>
      <c r="KW360" s="120"/>
      <c r="KX360" s="120"/>
      <c r="KY360" s="120"/>
      <c r="KZ360" s="120"/>
      <c r="LA360" s="120"/>
      <c r="LB360" s="120"/>
      <c r="LC360" s="120"/>
      <c r="LD360" s="120"/>
      <c r="LE360" s="120"/>
      <c r="LF360" s="120"/>
      <c r="LG360" s="120"/>
      <c r="LH360" s="120"/>
      <c r="LI360" s="120"/>
      <c r="LJ360" s="120"/>
      <c r="LK360" s="120"/>
      <c r="LL360" s="120"/>
      <c r="LM360" s="120"/>
      <c r="LN360" s="120"/>
      <c r="LO360" s="120"/>
      <c r="LP360" s="120"/>
      <c r="LQ360" s="120"/>
      <c r="LR360" s="120"/>
      <c r="LS360" s="120"/>
      <c r="LT360" s="120"/>
      <c r="LU360" s="120"/>
      <c r="LV360" s="120"/>
      <c r="LW360" s="120"/>
      <c r="LX360" s="120"/>
      <c r="LY360" s="120"/>
      <c r="LZ360" s="120"/>
      <c r="MA360" s="120"/>
      <c r="MB360" s="120"/>
      <c r="MC360" s="120"/>
      <c r="MD360" s="120"/>
      <c r="ME360" s="120"/>
      <c r="MF360" s="120"/>
      <c r="MG360" s="120"/>
      <c r="MH360" s="120"/>
      <c r="MI360" s="120"/>
      <c r="MJ360" s="120"/>
      <c r="MK360" s="120"/>
      <c r="ML360" s="120"/>
      <c r="MM360" s="120"/>
      <c r="MN360" s="120"/>
      <c r="MO360" s="120"/>
      <c r="MP360" s="120"/>
      <c r="MQ360" s="120"/>
      <c r="MR360" s="120"/>
      <c r="MS360" s="120"/>
      <c r="MT360" s="120"/>
      <c r="MU360" s="120"/>
      <c r="MV360" s="120"/>
      <c r="MW360" s="120"/>
      <c r="MX360" s="120"/>
      <c r="MY360" s="120"/>
      <c r="MZ360" s="120"/>
      <c r="NA360" s="120"/>
      <c r="NB360" s="120"/>
      <c r="NC360" s="120"/>
      <c r="ND360" s="120"/>
      <c r="NE360" s="120"/>
      <c r="NF360" s="120"/>
      <c r="NG360" s="120"/>
      <c r="NH360" s="120"/>
      <c r="NI360" s="120"/>
      <c r="NJ360" s="120"/>
      <c r="NK360" s="120"/>
      <c r="NL360" s="120"/>
      <c r="NM360" s="120"/>
      <c r="NN360" s="120"/>
      <c r="NO360" s="120"/>
      <c r="NP360" s="120"/>
      <c r="NQ360" s="120"/>
      <c r="NR360" s="120"/>
      <c r="NS360" s="120"/>
      <c r="NT360" s="120"/>
      <c r="NU360" s="120"/>
      <c r="NV360" s="120"/>
      <c r="NW360" s="120"/>
      <c r="NX360" s="120"/>
      <c r="NY360" s="120"/>
      <c r="NZ360" s="120"/>
      <c r="OA360" s="120"/>
      <c r="OB360" s="120"/>
      <c r="OC360" s="120"/>
      <c r="OD360" s="120"/>
      <c r="OE360" s="120"/>
      <c r="OF360" s="120"/>
      <c r="OG360" s="120"/>
      <c r="OH360" s="120"/>
      <c r="OI360" s="120"/>
      <c r="OJ360" s="120"/>
      <c r="OK360" s="120"/>
      <c r="OL360" s="120"/>
      <c r="OM360" s="120"/>
      <c r="ON360" s="120"/>
      <c r="OO360" s="120"/>
      <c r="OP360" s="120"/>
      <c r="OQ360" s="120"/>
      <c r="OR360" s="120"/>
      <c r="OS360" s="120"/>
      <c r="OT360" s="120"/>
      <c r="OU360" s="120"/>
      <c r="OV360" s="120"/>
      <c r="OW360" s="120"/>
      <c r="OX360" s="120"/>
      <c r="OY360" s="120"/>
      <c r="OZ360" s="120"/>
      <c r="PA360" s="120"/>
      <c r="PB360" s="120"/>
      <c r="PC360" s="120"/>
      <c r="PD360" s="120"/>
      <c r="PE360" s="120"/>
      <c r="PF360" s="120"/>
      <c r="PG360" s="120"/>
      <c r="PH360" s="120"/>
      <c r="PI360" s="120"/>
      <c r="PJ360" s="120"/>
      <c r="PK360" s="120"/>
      <c r="PL360" s="120"/>
      <c r="PM360" s="120"/>
      <c r="PN360" s="120"/>
      <c r="PO360" s="120"/>
      <c r="PP360" s="120"/>
      <c r="PQ360" s="120"/>
      <c r="PR360" s="120"/>
      <c r="PS360" s="120"/>
      <c r="PT360" s="120"/>
      <c r="PU360" s="120"/>
      <c r="PV360" s="120"/>
      <c r="PW360" s="120"/>
      <c r="PX360" s="120"/>
      <c r="PY360" s="120"/>
      <c r="PZ360" s="120"/>
      <c r="QA360" s="120"/>
      <c r="QB360" s="120"/>
      <c r="QC360" s="120"/>
      <c r="QD360" s="120"/>
      <c r="QE360" s="120"/>
      <c r="QF360" s="120"/>
      <c r="QG360" s="120"/>
      <c r="QH360" s="120"/>
      <c r="QI360" s="120"/>
      <c r="QJ360" s="120"/>
      <c r="QK360" s="120"/>
      <c r="QL360" s="120"/>
      <c r="QM360" s="120"/>
      <c r="QN360" s="120"/>
      <c r="QO360" s="120"/>
      <c r="QP360" s="120"/>
      <c r="QQ360" s="120"/>
      <c r="QR360" s="120"/>
      <c r="QS360" s="120"/>
      <c r="QT360" s="120"/>
      <c r="QU360" s="120"/>
      <c r="QV360" s="120"/>
      <c r="QW360" s="120"/>
      <c r="QX360" s="120"/>
      <c r="QY360" s="120"/>
      <c r="QZ360" s="120"/>
      <c r="RA360" s="120"/>
      <c r="RB360" s="120"/>
      <c r="RC360" s="120"/>
      <c r="RD360" s="120"/>
      <c r="RE360" s="120"/>
      <c r="RF360" s="120"/>
      <c r="RG360" s="120"/>
      <c r="RH360" s="120"/>
      <c r="RI360" s="120"/>
      <c r="RJ360" s="120"/>
      <c r="RK360" s="120"/>
      <c r="RL360" s="120"/>
      <c r="RM360" s="120"/>
      <c r="RN360" s="120"/>
      <c r="RO360" s="120"/>
      <c r="RP360" s="120"/>
      <c r="RQ360" s="120"/>
      <c r="RR360" s="120"/>
      <c r="RS360" s="120"/>
      <c r="RT360" s="120"/>
      <c r="RU360" s="120"/>
      <c r="RV360" s="120"/>
      <c r="RW360" s="120"/>
      <c r="RX360" s="120"/>
      <c r="RY360" s="120"/>
      <c r="RZ360" s="120"/>
      <c r="SA360" s="120"/>
      <c r="SB360" s="120"/>
      <c r="SC360" s="120"/>
      <c r="SD360" s="120"/>
      <c r="SE360" s="120"/>
      <c r="SF360" s="120"/>
      <c r="SG360" s="120"/>
      <c r="SH360" s="120"/>
      <c r="SI360" s="120"/>
      <c r="SJ360" s="120"/>
      <c r="SK360" s="120"/>
      <c r="SL360" s="120"/>
      <c r="SM360" s="120"/>
      <c r="SN360" s="120"/>
      <c r="SO360" s="120"/>
      <c r="SP360" s="120"/>
      <c r="SQ360" s="120"/>
      <c r="SR360" s="120"/>
      <c r="SS360" s="120"/>
      <c r="ST360" s="120"/>
      <c r="SU360" s="120"/>
      <c r="SV360" s="120"/>
      <c r="SW360" s="120"/>
      <c r="SX360" s="120"/>
      <c r="SY360" s="120"/>
      <c r="SZ360" s="120"/>
      <c r="TA360" s="120"/>
      <c r="TB360" s="120"/>
      <c r="TC360" s="120"/>
      <c r="TD360" s="120"/>
      <c r="TE360" s="120"/>
    </row>
    <row r="361" spans="1:525" s="121" customFormat="1" ht="31.5" x14ac:dyDescent="0.25">
      <c r="A361" s="117" t="s">
        <v>306</v>
      </c>
      <c r="B361" s="118" t="str">
        <f>'дод 6'!A184</f>
        <v>6090</v>
      </c>
      <c r="C361" s="118" t="str">
        <f>'дод 6'!B184</f>
        <v>0640</v>
      </c>
      <c r="D361" s="122" t="str">
        <f>'дод 6'!C184</f>
        <v>Інша діяльність у сфері житлово-комунального господарства</v>
      </c>
      <c r="E361" s="81">
        <f t="shared" si="176"/>
        <v>8400</v>
      </c>
      <c r="F361" s="81">
        <f>24000-15600</f>
        <v>8400</v>
      </c>
      <c r="G361" s="81"/>
      <c r="H361" s="81"/>
      <c r="I361" s="81"/>
      <c r="J361" s="81">
        <f t="shared" si="161"/>
        <v>0</v>
      </c>
      <c r="K361" s="81"/>
      <c r="L361" s="81"/>
      <c r="M361" s="81"/>
      <c r="N361" s="81"/>
      <c r="O361" s="81"/>
      <c r="P361" s="81">
        <f t="shared" si="177"/>
        <v>8400</v>
      </c>
      <c r="Q361" s="26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  <c r="IW361" s="120"/>
      <c r="IX361" s="120"/>
      <c r="IY361" s="120"/>
      <c r="IZ361" s="120"/>
      <c r="JA361" s="120"/>
      <c r="JB361" s="120"/>
      <c r="JC361" s="120"/>
      <c r="JD361" s="120"/>
      <c r="JE361" s="120"/>
      <c r="JF361" s="120"/>
      <c r="JG361" s="120"/>
      <c r="JH361" s="120"/>
      <c r="JI361" s="120"/>
      <c r="JJ361" s="120"/>
      <c r="JK361" s="120"/>
      <c r="JL361" s="120"/>
      <c r="JM361" s="120"/>
      <c r="JN361" s="120"/>
      <c r="JO361" s="120"/>
      <c r="JP361" s="120"/>
      <c r="JQ361" s="120"/>
      <c r="JR361" s="120"/>
      <c r="JS361" s="120"/>
      <c r="JT361" s="120"/>
      <c r="JU361" s="120"/>
      <c r="JV361" s="120"/>
      <c r="JW361" s="120"/>
      <c r="JX361" s="120"/>
      <c r="JY361" s="120"/>
      <c r="JZ361" s="120"/>
      <c r="KA361" s="120"/>
      <c r="KB361" s="120"/>
      <c r="KC361" s="120"/>
      <c r="KD361" s="120"/>
      <c r="KE361" s="120"/>
      <c r="KF361" s="120"/>
      <c r="KG361" s="120"/>
      <c r="KH361" s="120"/>
      <c r="KI361" s="120"/>
      <c r="KJ361" s="120"/>
      <c r="KK361" s="120"/>
      <c r="KL361" s="120"/>
      <c r="KM361" s="120"/>
      <c r="KN361" s="120"/>
      <c r="KO361" s="120"/>
      <c r="KP361" s="120"/>
      <c r="KQ361" s="120"/>
      <c r="KR361" s="120"/>
      <c r="KS361" s="120"/>
      <c r="KT361" s="120"/>
      <c r="KU361" s="120"/>
      <c r="KV361" s="120"/>
      <c r="KW361" s="120"/>
      <c r="KX361" s="120"/>
      <c r="KY361" s="120"/>
      <c r="KZ361" s="120"/>
      <c r="LA361" s="120"/>
      <c r="LB361" s="120"/>
      <c r="LC361" s="120"/>
      <c r="LD361" s="120"/>
      <c r="LE361" s="120"/>
      <c r="LF361" s="120"/>
      <c r="LG361" s="120"/>
      <c r="LH361" s="120"/>
      <c r="LI361" s="120"/>
      <c r="LJ361" s="120"/>
      <c r="LK361" s="120"/>
      <c r="LL361" s="120"/>
      <c r="LM361" s="120"/>
      <c r="LN361" s="120"/>
      <c r="LO361" s="120"/>
      <c r="LP361" s="120"/>
      <c r="LQ361" s="120"/>
      <c r="LR361" s="120"/>
      <c r="LS361" s="120"/>
      <c r="LT361" s="120"/>
      <c r="LU361" s="120"/>
      <c r="LV361" s="120"/>
      <c r="LW361" s="120"/>
      <c r="LX361" s="120"/>
      <c r="LY361" s="120"/>
      <c r="LZ361" s="120"/>
      <c r="MA361" s="120"/>
      <c r="MB361" s="120"/>
      <c r="MC361" s="120"/>
      <c r="MD361" s="120"/>
      <c r="ME361" s="120"/>
      <c r="MF361" s="120"/>
      <c r="MG361" s="120"/>
      <c r="MH361" s="120"/>
      <c r="MI361" s="120"/>
      <c r="MJ361" s="120"/>
      <c r="MK361" s="120"/>
      <c r="ML361" s="120"/>
      <c r="MM361" s="120"/>
      <c r="MN361" s="120"/>
      <c r="MO361" s="120"/>
      <c r="MP361" s="120"/>
      <c r="MQ361" s="120"/>
      <c r="MR361" s="120"/>
      <c r="MS361" s="120"/>
      <c r="MT361" s="120"/>
      <c r="MU361" s="120"/>
      <c r="MV361" s="120"/>
      <c r="MW361" s="120"/>
      <c r="MX361" s="120"/>
      <c r="MY361" s="120"/>
      <c r="MZ361" s="120"/>
      <c r="NA361" s="120"/>
      <c r="NB361" s="120"/>
      <c r="NC361" s="120"/>
      <c r="ND361" s="120"/>
      <c r="NE361" s="120"/>
      <c r="NF361" s="120"/>
      <c r="NG361" s="120"/>
      <c r="NH361" s="120"/>
      <c r="NI361" s="120"/>
      <c r="NJ361" s="120"/>
      <c r="NK361" s="120"/>
      <c r="NL361" s="120"/>
      <c r="NM361" s="120"/>
      <c r="NN361" s="120"/>
      <c r="NO361" s="120"/>
      <c r="NP361" s="120"/>
      <c r="NQ361" s="120"/>
      <c r="NR361" s="120"/>
      <c r="NS361" s="120"/>
      <c r="NT361" s="120"/>
      <c r="NU361" s="120"/>
      <c r="NV361" s="120"/>
      <c r="NW361" s="120"/>
      <c r="NX361" s="120"/>
      <c r="NY361" s="120"/>
      <c r="NZ361" s="120"/>
      <c r="OA361" s="120"/>
      <c r="OB361" s="120"/>
      <c r="OC361" s="120"/>
      <c r="OD361" s="120"/>
      <c r="OE361" s="120"/>
      <c r="OF361" s="120"/>
      <c r="OG361" s="120"/>
      <c r="OH361" s="120"/>
      <c r="OI361" s="120"/>
      <c r="OJ361" s="120"/>
      <c r="OK361" s="120"/>
      <c r="OL361" s="120"/>
      <c r="OM361" s="120"/>
      <c r="ON361" s="120"/>
      <c r="OO361" s="120"/>
      <c r="OP361" s="120"/>
      <c r="OQ361" s="120"/>
      <c r="OR361" s="120"/>
      <c r="OS361" s="120"/>
      <c r="OT361" s="120"/>
      <c r="OU361" s="120"/>
      <c r="OV361" s="120"/>
      <c r="OW361" s="120"/>
      <c r="OX361" s="120"/>
      <c r="OY361" s="120"/>
      <c r="OZ361" s="120"/>
      <c r="PA361" s="120"/>
      <c r="PB361" s="120"/>
      <c r="PC361" s="120"/>
      <c r="PD361" s="120"/>
      <c r="PE361" s="120"/>
      <c r="PF361" s="120"/>
      <c r="PG361" s="120"/>
      <c r="PH361" s="120"/>
      <c r="PI361" s="120"/>
      <c r="PJ361" s="120"/>
      <c r="PK361" s="120"/>
      <c r="PL361" s="120"/>
      <c r="PM361" s="120"/>
      <c r="PN361" s="120"/>
      <c r="PO361" s="120"/>
      <c r="PP361" s="120"/>
      <c r="PQ361" s="120"/>
      <c r="PR361" s="120"/>
      <c r="PS361" s="120"/>
      <c r="PT361" s="120"/>
      <c r="PU361" s="120"/>
      <c r="PV361" s="120"/>
      <c r="PW361" s="120"/>
      <c r="PX361" s="120"/>
      <c r="PY361" s="120"/>
      <c r="PZ361" s="120"/>
      <c r="QA361" s="120"/>
      <c r="QB361" s="120"/>
      <c r="QC361" s="120"/>
      <c r="QD361" s="120"/>
      <c r="QE361" s="120"/>
      <c r="QF361" s="120"/>
      <c r="QG361" s="120"/>
      <c r="QH361" s="120"/>
      <c r="QI361" s="120"/>
      <c r="QJ361" s="120"/>
      <c r="QK361" s="120"/>
      <c r="QL361" s="120"/>
      <c r="QM361" s="120"/>
      <c r="QN361" s="120"/>
      <c r="QO361" s="120"/>
      <c r="QP361" s="120"/>
      <c r="QQ361" s="120"/>
      <c r="QR361" s="120"/>
      <c r="QS361" s="120"/>
      <c r="QT361" s="120"/>
      <c r="QU361" s="120"/>
      <c r="QV361" s="120"/>
      <c r="QW361" s="120"/>
      <c r="QX361" s="120"/>
      <c r="QY361" s="120"/>
      <c r="QZ361" s="120"/>
      <c r="RA361" s="120"/>
      <c r="RB361" s="120"/>
      <c r="RC361" s="120"/>
      <c r="RD361" s="120"/>
      <c r="RE361" s="120"/>
      <c r="RF361" s="120"/>
      <c r="RG361" s="120"/>
      <c r="RH361" s="120"/>
      <c r="RI361" s="120"/>
      <c r="RJ361" s="120"/>
      <c r="RK361" s="120"/>
      <c r="RL361" s="120"/>
      <c r="RM361" s="120"/>
      <c r="RN361" s="120"/>
      <c r="RO361" s="120"/>
      <c r="RP361" s="120"/>
      <c r="RQ361" s="120"/>
      <c r="RR361" s="120"/>
      <c r="RS361" s="120"/>
      <c r="RT361" s="120"/>
      <c r="RU361" s="120"/>
      <c r="RV361" s="120"/>
      <c r="RW361" s="120"/>
      <c r="RX361" s="120"/>
      <c r="RY361" s="120"/>
      <c r="RZ361" s="120"/>
      <c r="SA361" s="120"/>
      <c r="SB361" s="120"/>
      <c r="SC361" s="120"/>
      <c r="SD361" s="120"/>
      <c r="SE361" s="120"/>
      <c r="SF361" s="120"/>
      <c r="SG361" s="120"/>
      <c r="SH361" s="120"/>
      <c r="SI361" s="120"/>
      <c r="SJ361" s="120"/>
      <c r="SK361" s="120"/>
      <c r="SL361" s="120"/>
      <c r="SM361" s="120"/>
      <c r="SN361" s="120"/>
      <c r="SO361" s="120"/>
      <c r="SP361" s="120"/>
      <c r="SQ361" s="120"/>
      <c r="SR361" s="120"/>
      <c r="SS361" s="120"/>
      <c r="ST361" s="120"/>
      <c r="SU361" s="120"/>
      <c r="SV361" s="120"/>
      <c r="SW361" s="120"/>
      <c r="SX361" s="120"/>
      <c r="SY361" s="120"/>
      <c r="SZ361" s="120"/>
      <c r="TA361" s="120"/>
      <c r="TB361" s="120"/>
      <c r="TC361" s="120"/>
      <c r="TD361" s="120"/>
      <c r="TE361" s="120"/>
    </row>
    <row r="362" spans="1:525" s="121" customFormat="1" ht="31.5" hidden="1" customHeight="1" x14ac:dyDescent="0.25">
      <c r="A362" s="117" t="s">
        <v>557</v>
      </c>
      <c r="B362" s="118">
        <v>7340</v>
      </c>
      <c r="C362" s="117" t="s">
        <v>110</v>
      </c>
      <c r="D362" s="122" t="str">
        <f>'дод 6'!C207</f>
        <v>Проектування, реставрація та охорона пам'яток архітектури</v>
      </c>
      <c r="E362" s="81">
        <f t="shared" si="176"/>
        <v>0</v>
      </c>
      <c r="F362" s="81"/>
      <c r="G362" s="81"/>
      <c r="H362" s="81"/>
      <c r="I362" s="81"/>
      <c r="J362" s="81">
        <f t="shared" si="161"/>
        <v>0</v>
      </c>
      <c r="K362" s="81"/>
      <c r="L362" s="81"/>
      <c r="M362" s="81"/>
      <c r="N362" s="81"/>
      <c r="O362" s="81"/>
      <c r="P362" s="81">
        <f t="shared" si="177"/>
        <v>0</v>
      </c>
      <c r="Q362" s="196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  <c r="IW362" s="120"/>
      <c r="IX362" s="120"/>
      <c r="IY362" s="120"/>
      <c r="IZ362" s="120"/>
      <c r="JA362" s="120"/>
      <c r="JB362" s="120"/>
      <c r="JC362" s="120"/>
      <c r="JD362" s="120"/>
      <c r="JE362" s="120"/>
      <c r="JF362" s="120"/>
      <c r="JG362" s="120"/>
      <c r="JH362" s="120"/>
      <c r="JI362" s="120"/>
      <c r="JJ362" s="120"/>
      <c r="JK362" s="120"/>
      <c r="JL362" s="120"/>
      <c r="JM362" s="120"/>
      <c r="JN362" s="120"/>
      <c r="JO362" s="120"/>
      <c r="JP362" s="120"/>
      <c r="JQ362" s="120"/>
      <c r="JR362" s="120"/>
      <c r="JS362" s="120"/>
      <c r="JT362" s="120"/>
      <c r="JU362" s="120"/>
      <c r="JV362" s="120"/>
      <c r="JW362" s="120"/>
      <c r="JX362" s="120"/>
      <c r="JY362" s="120"/>
      <c r="JZ362" s="120"/>
      <c r="KA362" s="120"/>
      <c r="KB362" s="120"/>
      <c r="KC362" s="120"/>
      <c r="KD362" s="120"/>
      <c r="KE362" s="120"/>
      <c r="KF362" s="120"/>
      <c r="KG362" s="120"/>
      <c r="KH362" s="120"/>
      <c r="KI362" s="120"/>
      <c r="KJ362" s="120"/>
      <c r="KK362" s="120"/>
      <c r="KL362" s="120"/>
      <c r="KM362" s="120"/>
      <c r="KN362" s="120"/>
      <c r="KO362" s="120"/>
      <c r="KP362" s="120"/>
      <c r="KQ362" s="120"/>
      <c r="KR362" s="120"/>
      <c r="KS362" s="120"/>
      <c r="KT362" s="120"/>
      <c r="KU362" s="120"/>
      <c r="KV362" s="120"/>
      <c r="KW362" s="120"/>
      <c r="KX362" s="120"/>
      <c r="KY362" s="120"/>
      <c r="KZ362" s="120"/>
      <c r="LA362" s="120"/>
      <c r="LB362" s="120"/>
      <c r="LC362" s="120"/>
      <c r="LD362" s="120"/>
      <c r="LE362" s="120"/>
      <c r="LF362" s="120"/>
      <c r="LG362" s="120"/>
      <c r="LH362" s="120"/>
      <c r="LI362" s="120"/>
      <c r="LJ362" s="120"/>
      <c r="LK362" s="120"/>
      <c r="LL362" s="120"/>
      <c r="LM362" s="120"/>
      <c r="LN362" s="120"/>
      <c r="LO362" s="120"/>
      <c r="LP362" s="120"/>
      <c r="LQ362" s="120"/>
      <c r="LR362" s="120"/>
      <c r="LS362" s="120"/>
      <c r="LT362" s="120"/>
      <c r="LU362" s="120"/>
      <c r="LV362" s="120"/>
      <c r="LW362" s="120"/>
      <c r="LX362" s="120"/>
      <c r="LY362" s="120"/>
      <c r="LZ362" s="120"/>
      <c r="MA362" s="120"/>
      <c r="MB362" s="120"/>
      <c r="MC362" s="120"/>
      <c r="MD362" s="120"/>
      <c r="ME362" s="120"/>
      <c r="MF362" s="120"/>
      <c r="MG362" s="120"/>
      <c r="MH362" s="120"/>
      <c r="MI362" s="120"/>
      <c r="MJ362" s="120"/>
      <c r="MK362" s="120"/>
      <c r="ML362" s="120"/>
      <c r="MM362" s="120"/>
      <c r="MN362" s="120"/>
      <c r="MO362" s="120"/>
      <c r="MP362" s="120"/>
      <c r="MQ362" s="120"/>
      <c r="MR362" s="120"/>
      <c r="MS362" s="120"/>
      <c r="MT362" s="120"/>
      <c r="MU362" s="120"/>
      <c r="MV362" s="120"/>
      <c r="MW362" s="120"/>
      <c r="MX362" s="120"/>
      <c r="MY362" s="120"/>
      <c r="MZ362" s="120"/>
      <c r="NA362" s="120"/>
      <c r="NB362" s="120"/>
      <c r="NC362" s="120"/>
      <c r="ND362" s="120"/>
      <c r="NE362" s="120"/>
      <c r="NF362" s="120"/>
      <c r="NG362" s="120"/>
      <c r="NH362" s="120"/>
      <c r="NI362" s="120"/>
      <c r="NJ362" s="120"/>
      <c r="NK362" s="120"/>
      <c r="NL362" s="120"/>
      <c r="NM362" s="120"/>
      <c r="NN362" s="120"/>
      <c r="NO362" s="120"/>
      <c r="NP362" s="120"/>
      <c r="NQ362" s="120"/>
      <c r="NR362" s="120"/>
      <c r="NS362" s="120"/>
      <c r="NT362" s="120"/>
      <c r="NU362" s="120"/>
      <c r="NV362" s="120"/>
      <c r="NW362" s="120"/>
      <c r="NX362" s="120"/>
      <c r="NY362" s="120"/>
      <c r="NZ362" s="120"/>
      <c r="OA362" s="120"/>
      <c r="OB362" s="120"/>
      <c r="OC362" s="120"/>
      <c r="OD362" s="120"/>
      <c r="OE362" s="120"/>
      <c r="OF362" s="120"/>
      <c r="OG362" s="120"/>
      <c r="OH362" s="120"/>
      <c r="OI362" s="120"/>
      <c r="OJ362" s="120"/>
      <c r="OK362" s="120"/>
      <c r="OL362" s="120"/>
      <c r="OM362" s="120"/>
      <c r="ON362" s="120"/>
      <c r="OO362" s="120"/>
      <c r="OP362" s="120"/>
      <c r="OQ362" s="120"/>
      <c r="OR362" s="120"/>
      <c r="OS362" s="120"/>
      <c r="OT362" s="120"/>
      <c r="OU362" s="120"/>
      <c r="OV362" s="120"/>
      <c r="OW362" s="120"/>
      <c r="OX362" s="120"/>
      <c r="OY362" s="120"/>
      <c r="OZ362" s="120"/>
      <c r="PA362" s="120"/>
      <c r="PB362" s="120"/>
      <c r="PC362" s="120"/>
      <c r="PD362" s="120"/>
      <c r="PE362" s="120"/>
      <c r="PF362" s="120"/>
      <c r="PG362" s="120"/>
      <c r="PH362" s="120"/>
      <c r="PI362" s="120"/>
      <c r="PJ362" s="120"/>
      <c r="PK362" s="120"/>
      <c r="PL362" s="120"/>
      <c r="PM362" s="120"/>
      <c r="PN362" s="120"/>
      <c r="PO362" s="120"/>
      <c r="PP362" s="120"/>
      <c r="PQ362" s="120"/>
      <c r="PR362" s="120"/>
      <c r="PS362" s="120"/>
      <c r="PT362" s="120"/>
      <c r="PU362" s="120"/>
      <c r="PV362" s="120"/>
      <c r="PW362" s="120"/>
      <c r="PX362" s="120"/>
      <c r="PY362" s="120"/>
      <c r="PZ362" s="120"/>
      <c r="QA362" s="120"/>
      <c r="QB362" s="120"/>
      <c r="QC362" s="120"/>
      <c r="QD362" s="120"/>
      <c r="QE362" s="120"/>
      <c r="QF362" s="120"/>
      <c r="QG362" s="120"/>
      <c r="QH362" s="120"/>
      <c r="QI362" s="120"/>
      <c r="QJ362" s="120"/>
      <c r="QK362" s="120"/>
      <c r="QL362" s="120"/>
      <c r="QM362" s="120"/>
      <c r="QN362" s="120"/>
      <c r="QO362" s="120"/>
      <c r="QP362" s="120"/>
      <c r="QQ362" s="120"/>
      <c r="QR362" s="120"/>
      <c r="QS362" s="120"/>
      <c r="QT362" s="120"/>
      <c r="QU362" s="120"/>
      <c r="QV362" s="120"/>
      <c r="QW362" s="120"/>
      <c r="QX362" s="120"/>
      <c r="QY362" s="120"/>
      <c r="QZ362" s="120"/>
      <c r="RA362" s="120"/>
      <c r="RB362" s="120"/>
      <c r="RC362" s="120"/>
      <c r="RD362" s="120"/>
      <c r="RE362" s="120"/>
      <c r="RF362" s="120"/>
      <c r="RG362" s="120"/>
      <c r="RH362" s="120"/>
      <c r="RI362" s="120"/>
      <c r="RJ362" s="120"/>
      <c r="RK362" s="120"/>
      <c r="RL362" s="120"/>
      <c r="RM362" s="120"/>
      <c r="RN362" s="120"/>
      <c r="RO362" s="120"/>
      <c r="RP362" s="120"/>
      <c r="RQ362" s="120"/>
      <c r="RR362" s="120"/>
      <c r="RS362" s="120"/>
      <c r="RT362" s="120"/>
      <c r="RU362" s="120"/>
      <c r="RV362" s="120"/>
      <c r="RW362" s="120"/>
      <c r="RX362" s="120"/>
      <c r="RY362" s="120"/>
      <c r="RZ362" s="120"/>
      <c r="SA362" s="120"/>
      <c r="SB362" s="120"/>
      <c r="SC362" s="120"/>
      <c r="SD362" s="120"/>
      <c r="SE362" s="120"/>
      <c r="SF362" s="120"/>
      <c r="SG362" s="120"/>
      <c r="SH362" s="120"/>
      <c r="SI362" s="120"/>
      <c r="SJ362" s="120"/>
      <c r="SK362" s="120"/>
      <c r="SL362" s="120"/>
      <c r="SM362" s="120"/>
      <c r="SN362" s="120"/>
      <c r="SO362" s="120"/>
      <c r="SP362" s="120"/>
      <c r="SQ362" s="120"/>
      <c r="SR362" s="120"/>
      <c r="SS362" s="120"/>
      <c r="ST362" s="120"/>
      <c r="SU362" s="120"/>
      <c r="SV362" s="120"/>
      <c r="SW362" s="120"/>
      <c r="SX362" s="120"/>
      <c r="SY362" s="120"/>
      <c r="SZ362" s="120"/>
      <c r="TA362" s="120"/>
      <c r="TB362" s="120"/>
      <c r="TC362" s="120"/>
      <c r="TD362" s="120"/>
      <c r="TE362" s="120"/>
    </row>
    <row r="363" spans="1:525" s="121" customFormat="1" ht="31.5" hidden="1" customHeight="1" x14ac:dyDescent="0.25">
      <c r="A363" s="117" t="s">
        <v>439</v>
      </c>
      <c r="B363" s="117" t="s">
        <v>440</v>
      </c>
      <c r="C363" s="117" t="s">
        <v>110</v>
      </c>
      <c r="D363" s="122" t="s">
        <v>441</v>
      </c>
      <c r="E363" s="81">
        <f t="shared" si="176"/>
        <v>0</v>
      </c>
      <c r="F363" s="81"/>
      <c r="G363" s="81"/>
      <c r="H363" s="81"/>
      <c r="I363" s="81"/>
      <c r="J363" s="81">
        <f t="shared" si="161"/>
        <v>0</v>
      </c>
      <c r="K363" s="81">
        <f>900000-900000</f>
        <v>0</v>
      </c>
      <c r="L363" s="81"/>
      <c r="M363" s="81"/>
      <c r="N363" s="81"/>
      <c r="O363" s="81">
        <f>900000-900000</f>
        <v>0</v>
      </c>
      <c r="P363" s="81">
        <f t="shared" si="177"/>
        <v>0</v>
      </c>
      <c r="Q363" s="19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1" customFormat="1" ht="31.5" hidden="1" customHeight="1" x14ac:dyDescent="0.25">
      <c r="A364" s="117" t="s">
        <v>516</v>
      </c>
      <c r="B364" s="117" t="s">
        <v>517</v>
      </c>
      <c r="C364" s="117" t="s">
        <v>81</v>
      </c>
      <c r="D364" s="122" t="str">
        <f>'дод 6'!C215</f>
        <v>Реалізація інших заходів щодо соціально-економічного розвитку територій</v>
      </c>
      <c r="E364" s="81">
        <f t="shared" si="176"/>
        <v>0</v>
      </c>
      <c r="F364" s="81"/>
      <c r="G364" s="81"/>
      <c r="H364" s="81"/>
      <c r="I364" s="81"/>
      <c r="J364" s="81">
        <f t="shared" ref="J364" si="178">L364+O364</f>
        <v>0</v>
      </c>
      <c r="K364" s="81"/>
      <c r="L364" s="81"/>
      <c r="M364" s="81"/>
      <c r="N364" s="81"/>
      <c r="O364" s="81"/>
      <c r="P364" s="81">
        <f t="shared" si="177"/>
        <v>0</v>
      </c>
      <c r="Q364" s="196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  <c r="IW364" s="120"/>
      <c r="IX364" s="120"/>
      <c r="IY364" s="120"/>
      <c r="IZ364" s="120"/>
      <c r="JA364" s="120"/>
      <c r="JB364" s="120"/>
      <c r="JC364" s="120"/>
      <c r="JD364" s="120"/>
      <c r="JE364" s="120"/>
      <c r="JF364" s="120"/>
      <c r="JG364" s="120"/>
      <c r="JH364" s="120"/>
      <c r="JI364" s="120"/>
      <c r="JJ364" s="120"/>
      <c r="JK364" s="120"/>
      <c r="JL364" s="120"/>
      <c r="JM364" s="120"/>
      <c r="JN364" s="120"/>
      <c r="JO364" s="120"/>
      <c r="JP364" s="120"/>
      <c r="JQ364" s="120"/>
      <c r="JR364" s="120"/>
      <c r="JS364" s="120"/>
      <c r="JT364" s="120"/>
      <c r="JU364" s="120"/>
      <c r="JV364" s="120"/>
      <c r="JW364" s="120"/>
      <c r="JX364" s="120"/>
      <c r="JY364" s="120"/>
      <c r="JZ364" s="120"/>
      <c r="KA364" s="120"/>
      <c r="KB364" s="120"/>
      <c r="KC364" s="120"/>
      <c r="KD364" s="120"/>
      <c r="KE364" s="120"/>
      <c r="KF364" s="120"/>
      <c r="KG364" s="120"/>
      <c r="KH364" s="120"/>
      <c r="KI364" s="120"/>
      <c r="KJ364" s="120"/>
      <c r="KK364" s="120"/>
      <c r="KL364" s="120"/>
      <c r="KM364" s="120"/>
      <c r="KN364" s="120"/>
      <c r="KO364" s="120"/>
      <c r="KP364" s="120"/>
      <c r="KQ364" s="120"/>
      <c r="KR364" s="120"/>
      <c r="KS364" s="120"/>
      <c r="KT364" s="120"/>
      <c r="KU364" s="120"/>
      <c r="KV364" s="120"/>
      <c r="KW364" s="120"/>
      <c r="KX364" s="120"/>
      <c r="KY364" s="120"/>
      <c r="KZ364" s="120"/>
      <c r="LA364" s="120"/>
      <c r="LB364" s="120"/>
      <c r="LC364" s="120"/>
      <c r="LD364" s="120"/>
      <c r="LE364" s="120"/>
      <c r="LF364" s="120"/>
      <c r="LG364" s="120"/>
      <c r="LH364" s="120"/>
      <c r="LI364" s="120"/>
      <c r="LJ364" s="120"/>
      <c r="LK364" s="120"/>
      <c r="LL364" s="120"/>
      <c r="LM364" s="120"/>
      <c r="LN364" s="120"/>
      <c r="LO364" s="120"/>
      <c r="LP364" s="120"/>
      <c r="LQ364" s="120"/>
      <c r="LR364" s="120"/>
      <c r="LS364" s="120"/>
      <c r="LT364" s="120"/>
      <c r="LU364" s="120"/>
      <c r="LV364" s="120"/>
      <c r="LW364" s="120"/>
      <c r="LX364" s="120"/>
      <c r="LY364" s="120"/>
      <c r="LZ364" s="120"/>
      <c r="MA364" s="120"/>
      <c r="MB364" s="120"/>
      <c r="MC364" s="120"/>
      <c r="MD364" s="120"/>
      <c r="ME364" s="120"/>
      <c r="MF364" s="120"/>
      <c r="MG364" s="120"/>
      <c r="MH364" s="120"/>
      <c r="MI364" s="120"/>
      <c r="MJ364" s="120"/>
      <c r="MK364" s="120"/>
      <c r="ML364" s="120"/>
      <c r="MM364" s="120"/>
      <c r="MN364" s="120"/>
      <c r="MO364" s="120"/>
      <c r="MP364" s="120"/>
      <c r="MQ364" s="120"/>
      <c r="MR364" s="120"/>
      <c r="MS364" s="120"/>
      <c r="MT364" s="120"/>
      <c r="MU364" s="120"/>
      <c r="MV364" s="120"/>
      <c r="MW364" s="120"/>
      <c r="MX364" s="120"/>
      <c r="MY364" s="120"/>
      <c r="MZ364" s="120"/>
      <c r="NA364" s="120"/>
      <c r="NB364" s="120"/>
      <c r="NC364" s="120"/>
      <c r="ND364" s="120"/>
      <c r="NE364" s="120"/>
      <c r="NF364" s="120"/>
      <c r="NG364" s="120"/>
      <c r="NH364" s="120"/>
      <c r="NI364" s="120"/>
      <c r="NJ364" s="120"/>
      <c r="NK364" s="120"/>
      <c r="NL364" s="120"/>
      <c r="NM364" s="120"/>
      <c r="NN364" s="120"/>
      <c r="NO364" s="120"/>
      <c r="NP364" s="120"/>
      <c r="NQ364" s="120"/>
      <c r="NR364" s="120"/>
      <c r="NS364" s="120"/>
      <c r="NT364" s="120"/>
      <c r="NU364" s="120"/>
      <c r="NV364" s="120"/>
      <c r="NW364" s="120"/>
      <c r="NX364" s="120"/>
      <c r="NY364" s="120"/>
      <c r="NZ364" s="120"/>
      <c r="OA364" s="120"/>
      <c r="OB364" s="120"/>
      <c r="OC364" s="120"/>
      <c r="OD364" s="120"/>
      <c r="OE364" s="120"/>
      <c r="OF364" s="120"/>
      <c r="OG364" s="120"/>
      <c r="OH364" s="120"/>
      <c r="OI364" s="120"/>
      <c r="OJ364" s="120"/>
      <c r="OK364" s="120"/>
      <c r="OL364" s="120"/>
      <c r="OM364" s="120"/>
      <c r="ON364" s="120"/>
      <c r="OO364" s="120"/>
      <c r="OP364" s="120"/>
      <c r="OQ364" s="120"/>
      <c r="OR364" s="120"/>
      <c r="OS364" s="120"/>
      <c r="OT364" s="120"/>
      <c r="OU364" s="120"/>
      <c r="OV364" s="120"/>
      <c r="OW364" s="120"/>
      <c r="OX364" s="120"/>
      <c r="OY364" s="120"/>
      <c r="OZ364" s="120"/>
      <c r="PA364" s="120"/>
      <c r="PB364" s="120"/>
      <c r="PC364" s="120"/>
      <c r="PD364" s="120"/>
      <c r="PE364" s="120"/>
      <c r="PF364" s="120"/>
      <c r="PG364" s="120"/>
      <c r="PH364" s="120"/>
      <c r="PI364" s="120"/>
      <c r="PJ364" s="120"/>
      <c r="PK364" s="120"/>
      <c r="PL364" s="120"/>
      <c r="PM364" s="120"/>
      <c r="PN364" s="120"/>
      <c r="PO364" s="120"/>
      <c r="PP364" s="120"/>
      <c r="PQ364" s="120"/>
      <c r="PR364" s="120"/>
      <c r="PS364" s="120"/>
      <c r="PT364" s="120"/>
      <c r="PU364" s="120"/>
      <c r="PV364" s="120"/>
      <c r="PW364" s="120"/>
      <c r="PX364" s="120"/>
      <c r="PY364" s="120"/>
      <c r="PZ364" s="120"/>
      <c r="QA364" s="120"/>
      <c r="QB364" s="120"/>
      <c r="QC364" s="120"/>
      <c r="QD364" s="120"/>
      <c r="QE364" s="120"/>
      <c r="QF364" s="120"/>
      <c r="QG364" s="120"/>
      <c r="QH364" s="120"/>
      <c r="QI364" s="120"/>
      <c r="QJ364" s="120"/>
      <c r="QK364" s="120"/>
      <c r="QL364" s="120"/>
      <c r="QM364" s="120"/>
      <c r="QN364" s="120"/>
      <c r="QO364" s="120"/>
      <c r="QP364" s="120"/>
      <c r="QQ364" s="120"/>
      <c r="QR364" s="120"/>
      <c r="QS364" s="120"/>
      <c r="QT364" s="120"/>
      <c r="QU364" s="120"/>
      <c r="QV364" s="120"/>
      <c r="QW364" s="120"/>
      <c r="QX364" s="120"/>
      <c r="QY364" s="120"/>
      <c r="QZ364" s="120"/>
      <c r="RA364" s="120"/>
      <c r="RB364" s="120"/>
      <c r="RC364" s="120"/>
      <c r="RD364" s="120"/>
      <c r="RE364" s="120"/>
      <c r="RF364" s="120"/>
      <c r="RG364" s="120"/>
      <c r="RH364" s="120"/>
      <c r="RI364" s="120"/>
      <c r="RJ364" s="120"/>
      <c r="RK364" s="120"/>
      <c r="RL364" s="120"/>
      <c r="RM364" s="120"/>
      <c r="RN364" s="120"/>
      <c r="RO364" s="120"/>
      <c r="RP364" s="120"/>
      <c r="RQ364" s="120"/>
      <c r="RR364" s="120"/>
      <c r="RS364" s="120"/>
      <c r="RT364" s="120"/>
      <c r="RU364" s="120"/>
      <c r="RV364" s="120"/>
      <c r="RW364" s="120"/>
      <c r="RX364" s="120"/>
      <c r="RY364" s="120"/>
      <c r="RZ364" s="120"/>
      <c r="SA364" s="120"/>
      <c r="SB364" s="120"/>
      <c r="SC364" s="120"/>
      <c r="SD364" s="120"/>
      <c r="SE364" s="120"/>
      <c r="SF364" s="120"/>
      <c r="SG364" s="120"/>
      <c r="SH364" s="120"/>
      <c r="SI364" s="120"/>
      <c r="SJ364" s="120"/>
      <c r="SK364" s="120"/>
      <c r="SL364" s="120"/>
      <c r="SM364" s="120"/>
      <c r="SN364" s="120"/>
      <c r="SO364" s="120"/>
      <c r="SP364" s="120"/>
      <c r="SQ364" s="120"/>
      <c r="SR364" s="120"/>
      <c r="SS364" s="120"/>
      <c r="ST364" s="120"/>
      <c r="SU364" s="120"/>
      <c r="SV364" s="120"/>
      <c r="SW364" s="120"/>
      <c r="SX364" s="120"/>
      <c r="SY364" s="120"/>
      <c r="SZ364" s="120"/>
      <c r="TA364" s="120"/>
      <c r="TB364" s="120"/>
      <c r="TC364" s="120"/>
      <c r="TD364" s="120"/>
      <c r="TE364" s="120"/>
    </row>
    <row r="365" spans="1:525" s="121" customFormat="1" ht="123" hidden="1" customHeight="1" x14ac:dyDescent="0.25">
      <c r="A365" s="129" t="s">
        <v>294</v>
      </c>
      <c r="B365" s="130" t="str">
        <f>'дод 6'!A246</f>
        <v>7691</v>
      </c>
      <c r="C365" s="130" t="str">
        <f>'дод 6'!B246</f>
        <v>0490</v>
      </c>
      <c r="D365" s="119" t="str">
        <f>'дод 6'!C246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5" s="81">
        <f t="shared" si="176"/>
        <v>0</v>
      </c>
      <c r="F365" s="81"/>
      <c r="G365" s="81"/>
      <c r="H365" s="81"/>
      <c r="I365" s="81"/>
      <c r="J365" s="81">
        <f t="shared" si="161"/>
        <v>0</v>
      </c>
      <c r="K365" s="81"/>
      <c r="L365" s="81"/>
      <c r="M365" s="81"/>
      <c r="N365" s="81"/>
      <c r="O365" s="81"/>
      <c r="P365" s="81">
        <f t="shared" si="177"/>
        <v>0</v>
      </c>
      <c r="Q365" s="196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  <c r="IW365" s="120"/>
      <c r="IX365" s="120"/>
      <c r="IY365" s="120"/>
      <c r="IZ365" s="120"/>
      <c r="JA365" s="120"/>
      <c r="JB365" s="120"/>
      <c r="JC365" s="120"/>
      <c r="JD365" s="120"/>
      <c r="JE365" s="120"/>
      <c r="JF365" s="120"/>
      <c r="JG365" s="120"/>
      <c r="JH365" s="120"/>
      <c r="JI365" s="120"/>
      <c r="JJ365" s="120"/>
      <c r="JK365" s="120"/>
      <c r="JL365" s="120"/>
      <c r="JM365" s="120"/>
      <c r="JN365" s="120"/>
      <c r="JO365" s="120"/>
      <c r="JP365" s="120"/>
      <c r="JQ365" s="120"/>
      <c r="JR365" s="120"/>
      <c r="JS365" s="120"/>
      <c r="JT365" s="120"/>
      <c r="JU365" s="120"/>
      <c r="JV365" s="120"/>
      <c r="JW365" s="120"/>
      <c r="JX365" s="120"/>
      <c r="JY365" s="120"/>
      <c r="JZ365" s="120"/>
      <c r="KA365" s="120"/>
      <c r="KB365" s="120"/>
      <c r="KC365" s="120"/>
      <c r="KD365" s="120"/>
      <c r="KE365" s="120"/>
      <c r="KF365" s="120"/>
      <c r="KG365" s="120"/>
      <c r="KH365" s="120"/>
      <c r="KI365" s="120"/>
      <c r="KJ365" s="120"/>
      <c r="KK365" s="120"/>
      <c r="KL365" s="120"/>
      <c r="KM365" s="120"/>
      <c r="KN365" s="120"/>
      <c r="KO365" s="120"/>
      <c r="KP365" s="120"/>
      <c r="KQ365" s="120"/>
      <c r="KR365" s="120"/>
      <c r="KS365" s="120"/>
      <c r="KT365" s="120"/>
      <c r="KU365" s="120"/>
      <c r="KV365" s="120"/>
      <c r="KW365" s="120"/>
      <c r="KX365" s="120"/>
      <c r="KY365" s="120"/>
      <c r="KZ365" s="120"/>
      <c r="LA365" s="120"/>
      <c r="LB365" s="120"/>
      <c r="LC365" s="120"/>
      <c r="LD365" s="120"/>
      <c r="LE365" s="120"/>
      <c r="LF365" s="120"/>
      <c r="LG365" s="120"/>
      <c r="LH365" s="120"/>
      <c r="LI365" s="120"/>
      <c r="LJ365" s="120"/>
      <c r="LK365" s="120"/>
      <c r="LL365" s="120"/>
      <c r="LM365" s="120"/>
      <c r="LN365" s="120"/>
      <c r="LO365" s="120"/>
      <c r="LP365" s="120"/>
      <c r="LQ365" s="120"/>
      <c r="LR365" s="120"/>
      <c r="LS365" s="120"/>
      <c r="LT365" s="120"/>
      <c r="LU365" s="120"/>
      <c r="LV365" s="120"/>
      <c r="LW365" s="120"/>
      <c r="LX365" s="120"/>
      <c r="LY365" s="120"/>
      <c r="LZ365" s="120"/>
      <c r="MA365" s="120"/>
      <c r="MB365" s="120"/>
      <c r="MC365" s="120"/>
      <c r="MD365" s="120"/>
      <c r="ME365" s="120"/>
      <c r="MF365" s="120"/>
      <c r="MG365" s="120"/>
      <c r="MH365" s="120"/>
      <c r="MI365" s="120"/>
      <c r="MJ365" s="120"/>
      <c r="MK365" s="120"/>
      <c r="ML365" s="120"/>
      <c r="MM365" s="120"/>
      <c r="MN365" s="120"/>
      <c r="MO365" s="120"/>
      <c r="MP365" s="120"/>
      <c r="MQ365" s="120"/>
      <c r="MR365" s="120"/>
      <c r="MS365" s="120"/>
      <c r="MT365" s="120"/>
      <c r="MU365" s="120"/>
      <c r="MV365" s="120"/>
      <c r="MW365" s="120"/>
      <c r="MX365" s="120"/>
      <c r="MY365" s="120"/>
      <c r="MZ365" s="120"/>
      <c r="NA365" s="120"/>
      <c r="NB365" s="120"/>
      <c r="NC365" s="120"/>
      <c r="ND365" s="120"/>
      <c r="NE365" s="120"/>
      <c r="NF365" s="120"/>
      <c r="NG365" s="120"/>
      <c r="NH365" s="120"/>
      <c r="NI365" s="120"/>
      <c r="NJ365" s="120"/>
      <c r="NK365" s="120"/>
      <c r="NL365" s="120"/>
      <c r="NM365" s="120"/>
      <c r="NN365" s="120"/>
      <c r="NO365" s="120"/>
      <c r="NP365" s="120"/>
      <c r="NQ365" s="120"/>
      <c r="NR365" s="120"/>
      <c r="NS365" s="120"/>
      <c r="NT365" s="120"/>
      <c r="NU365" s="120"/>
      <c r="NV365" s="120"/>
      <c r="NW365" s="120"/>
      <c r="NX365" s="120"/>
      <c r="NY365" s="120"/>
      <c r="NZ365" s="120"/>
      <c r="OA365" s="120"/>
      <c r="OB365" s="120"/>
      <c r="OC365" s="120"/>
      <c r="OD365" s="120"/>
      <c r="OE365" s="120"/>
      <c r="OF365" s="120"/>
      <c r="OG365" s="120"/>
      <c r="OH365" s="120"/>
      <c r="OI365" s="120"/>
      <c r="OJ365" s="120"/>
      <c r="OK365" s="120"/>
      <c r="OL365" s="120"/>
      <c r="OM365" s="120"/>
      <c r="ON365" s="120"/>
      <c r="OO365" s="120"/>
      <c r="OP365" s="120"/>
      <c r="OQ365" s="120"/>
      <c r="OR365" s="120"/>
      <c r="OS365" s="120"/>
      <c r="OT365" s="120"/>
      <c r="OU365" s="120"/>
      <c r="OV365" s="120"/>
      <c r="OW365" s="120"/>
      <c r="OX365" s="120"/>
      <c r="OY365" s="120"/>
      <c r="OZ365" s="120"/>
      <c r="PA365" s="120"/>
      <c r="PB365" s="120"/>
      <c r="PC365" s="120"/>
      <c r="PD365" s="120"/>
      <c r="PE365" s="120"/>
      <c r="PF365" s="120"/>
      <c r="PG365" s="120"/>
      <c r="PH365" s="120"/>
      <c r="PI365" s="120"/>
      <c r="PJ365" s="120"/>
      <c r="PK365" s="120"/>
      <c r="PL365" s="120"/>
      <c r="PM365" s="120"/>
      <c r="PN365" s="120"/>
      <c r="PO365" s="120"/>
      <c r="PP365" s="120"/>
      <c r="PQ365" s="120"/>
      <c r="PR365" s="120"/>
      <c r="PS365" s="120"/>
      <c r="PT365" s="120"/>
      <c r="PU365" s="120"/>
      <c r="PV365" s="120"/>
      <c r="PW365" s="120"/>
      <c r="PX365" s="120"/>
      <c r="PY365" s="120"/>
      <c r="PZ365" s="120"/>
      <c r="QA365" s="120"/>
      <c r="QB365" s="120"/>
      <c r="QC365" s="120"/>
      <c r="QD365" s="120"/>
      <c r="QE365" s="120"/>
      <c r="QF365" s="120"/>
      <c r="QG365" s="120"/>
      <c r="QH365" s="120"/>
      <c r="QI365" s="120"/>
      <c r="QJ365" s="120"/>
      <c r="QK365" s="120"/>
      <c r="QL365" s="120"/>
      <c r="QM365" s="120"/>
      <c r="QN365" s="120"/>
      <c r="QO365" s="120"/>
      <c r="QP365" s="120"/>
      <c r="QQ365" s="120"/>
      <c r="QR365" s="120"/>
      <c r="QS365" s="120"/>
      <c r="QT365" s="120"/>
      <c r="QU365" s="120"/>
      <c r="QV365" s="120"/>
      <c r="QW365" s="120"/>
      <c r="QX365" s="120"/>
      <c r="QY365" s="120"/>
      <c r="QZ365" s="120"/>
      <c r="RA365" s="120"/>
      <c r="RB365" s="120"/>
      <c r="RC365" s="120"/>
      <c r="RD365" s="120"/>
      <c r="RE365" s="120"/>
      <c r="RF365" s="120"/>
      <c r="RG365" s="120"/>
      <c r="RH365" s="120"/>
      <c r="RI365" s="120"/>
      <c r="RJ365" s="120"/>
      <c r="RK365" s="120"/>
      <c r="RL365" s="120"/>
      <c r="RM365" s="120"/>
      <c r="RN365" s="120"/>
      <c r="RO365" s="120"/>
      <c r="RP365" s="120"/>
      <c r="RQ365" s="120"/>
      <c r="RR365" s="120"/>
      <c r="RS365" s="120"/>
      <c r="RT365" s="120"/>
      <c r="RU365" s="120"/>
      <c r="RV365" s="120"/>
      <c r="RW365" s="120"/>
      <c r="RX365" s="120"/>
      <c r="RY365" s="120"/>
      <c r="RZ365" s="120"/>
      <c r="SA365" s="120"/>
      <c r="SB365" s="120"/>
      <c r="SC365" s="120"/>
      <c r="SD365" s="120"/>
      <c r="SE365" s="120"/>
      <c r="SF365" s="120"/>
      <c r="SG365" s="120"/>
      <c r="SH365" s="120"/>
      <c r="SI365" s="120"/>
      <c r="SJ365" s="120"/>
      <c r="SK365" s="120"/>
      <c r="SL365" s="120"/>
      <c r="SM365" s="120"/>
      <c r="SN365" s="120"/>
      <c r="SO365" s="120"/>
      <c r="SP365" s="120"/>
      <c r="SQ365" s="120"/>
      <c r="SR365" s="120"/>
      <c r="SS365" s="120"/>
      <c r="ST365" s="120"/>
      <c r="SU365" s="120"/>
      <c r="SV365" s="120"/>
      <c r="SW365" s="120"/>
      <c r="SX365" s="120"/>
      <c r="SY365" s="120"/>
      <c r="SZ365" s="120"/>
      <c r="TA365" s="120"/>
      <c r="TB365" s="120"/>
      <c r="TC365" s="120"/>
      <c r="TD365" s="120"/>
      <c r="TE365" s="120"/>
    </row>
    <row r="366" spans="1:525" s="111" customFormat="1" ht="38.25" customHeight="1" x14ac:dyDescent="0.25">
      <c r="A366" s="142" t="s">
        <v>209</v>
      </c>
      <c r="B366" s="148"/>
      <c r="C366" s="148"/>
      <c r="D366" s="138" t="s">
        <v>41</v>
      </c>
      <c r="E366" s="79">
        <f>E367</f>
        <v>4334000</v>
      </c>
      <c r="F366" s="79">
        <f t="shared" ref="F366:J367" si="179">F367</f>
        <v>4334000</v>
      </c>
      <c r="G366" s="79">
        <f t="shared" si="179"/>
        <v>3271100</v>
      </c>
      <c r="H366" s="79">
        <f t="shared" si="179"/>
        <v>84900</v>
      </c>
      <c r="I366" s="79">
        <f t="shared" si="179"/>
        <v>0</v>
      </c>
      <c r="J366" s="79">
        <f t="shared" si="179"/>
        <v>0</v>
      </c>
      <c r="K366" s="79">
        <f t="shared" ref="K366:K367" si="180">K367</f>
        <v>0</v>
      </c>
      <c r="L366" s="79">
        <f t="shared" ref="L366:L367" si="181">L367</f>
        <v>0</v>
      </c>
      <c r="M366" s="79">
        <f t="shared" ref="M366:M367" si="182">M367</f>
        <v>0</v>
      </c>
      <c r="N366" s="79">
        <f t="shared" ref="N366:N367" si="183">N367</f>
        <v>0</v>
      </c>
      <c r="O366" s="79">
        <f t="shared" ref="O366:P367" si="184">O367</f>
        <v>0</v>
      </c>
      <c r="P366" s="79">
        <f t="shared" si="184"/>
        <v>4334000</v>
      </c>
      <c r="Q366" s="260">
        <v>22</v>
      </c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/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/>
      <c r="CW366" s="110"/>
      <c r="CX366" s="110"/>
      <c r="CY366" s="110"/>
      <c r="CZ366" s="110"/>
      <c r="DA366" s="110"/>
      <c r="DB366" s="110"/>
      <c r="DC366" s="110"/>
      <c r="DD366" s="110"/>
      <c r="DE366" s="110"/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/>
      <c r="DQ366" s="110"/>
      <c r="DR366" s="110"/>
      <c r="DS366" s="110"/>
      <c r="DT366" s="110"/>
      <c r="DU366" s="110"/>
      <c r="DV366" s="110"/>
      <c r="DW366" s="110"/>
      <c r="DX366" s="110"/>
      <c r="DY366" s="110"/>
      <c r="DZ366" s="110"/>
      <c r="EA366" s="110"/>
      <c r="EB366" s="110"/>
      <c r="EC366" s="110"/>
      <c r="ED366" s="110"/>
      <c r="EE366" s="110"/>
      <c r="EF366" s="110"/>
      <c r="EG366" s="110"/>
      <c r="EH366" s="110"/>
      <c r="EI366" s="110"/>
      <c r="EJ366" s="110"/>
      <c r="EK366" s="110"/>
      <c r="EL366" s="110"/>
      <c r="EM366" s="110"/>
      <c r="EN366" s="110"/>
      <c r="EO366" s="110"/>
      <c r="EP366" s="110"/>
      <c r="EQ366" s="110"/>
      <c r="ER366" s="110"/>
      <c r="ES366" s="110"/>
      <c r="ET366" s="110"/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/>
      <c r="FE366" s="110"/>
      <c r="FF366" s="110"/>
      <c r="FG366" s="110"/>
      <c r="FH366" s="110"/>
      <c r="FI366" s="110"/>
      <c r="FJ366" s="110"/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/>
      <c r="FV366" s="110"/>
      <c r="FW366" s="110"/>
      <c r="FX366" s="110"/>
      <c r="FY366" s="110"/>
      <c r="FZ366" s="110"/>
      <c r="GA366" s="110"/>
      <c r="GB366" s="110"/>
      <c r="GC366" s="110"/>
      <c r="GD366" s="110"/>
      <c r="GE366" s="110"/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/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/>
      <c r="HN366" s="110"/>
      <c r="HO366" s="110"/>
      <c r="HP366" s="110"/>
      <c r="HQ366" s="110"/>
      <c r="HR366" s="110"/>
      <c r="HS366" s="110"/>
      <c r="HT366" s="110"/>
      <c r="HU366" s="110"/>
      <c r="HV366" s="110"/>
      <c r="HW366" s="110"/>
      <c r="HX366" s="110"/>
      <c r="HY366" s="110"/>
      <c r="HZ366" s="110"/>
      <c r="IA366" s="110"/>
      <c r="IB366" s="110"/>
      <c r="IC366" s="110"/>
      <c r="ID366" s="110"/>
      <c r="IE366" s="110"/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/>
      <c r="IU366" s="110"/>
      <c r="IV366" s="110"/>
      <c r="IW366" s="110"/>
      <c r="IX366" s="110"/>
      <c r="IY366" s="110"/>
      <c r="IZ366" s="110"/>
      <c r="JA366" s="110"/>
      <c r="JB366" s="110"/>
      <c r="JC366" s="110"/>
      <c r="JD366" s="110"/>
      <c r="JE366" s="110"/>
      <c r="JF366" s="110"/>
      <c r="JG366" s="110"/>
      <c r="JH366" s="110"/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/>
      <c r="JT366" s="110"/>
      <c r="JU366" s="110"/>
      <c r="JV366" s="110"/>
      <c r="JW366" s="110"/>
      <c r="JX366" s="110"/>
      <c r="JY366" s="110"/>
      <c r="JZ366" s="110"/>
      <c r="KA366" s="110"/>
      <c r="KB366" s="110"/>
      <c r="KC366" s="110"/>
      <c r="KD366" s="110"/>
      <c r="KE366" s="110"/>
      <c r="KF366" s="110"/>
      <c r="KG366" s="110"/>
      <c r="KH366" s="110"/>
      <c r="KI366" s="110"/>
      <c r="KJ366" s="110"/>
      <c r="KK366" s="110"/>
      <c r="KL366" s="110"/>
      <c r="KM366" s="110"/>
      <c r="KN366" s="110"/>
      <c r="KO366" s="110"/>
      <c r="KP366" s="110"/>
      <c r="KQ366" s="110"/>
      <c r="KR366" s="110"/>
      <c r="KS366" s="110"/>
      <c r="KT366" s="110"/>
      <c r="KU366" s="110"/>
      <c r="KV366" s="110"/>
      <c r="KW366" s="110"/>
      <c r="KX366" s="110"/>
      <c r="KY366" s="110"/>
      <c r="KZ366" s="110"/>
      <c r="LA366" s="110"/>
      <c r="LB366" s="110"/>
      <c r="LC366" s="110"/>
      <c r="LD366" s="110"/>
      <c r="LE366" s="110"/>
      <c r="LF366" s="110"/>
      <c r="LG366" s="110"/>
      <c r="LH366" s="110"/>
      <c r="LI366" s="110"/>
      <c r="LJ366" s="110"/>
      <c r="LK366" s="110"/>
      <c r="LL366" s="110"/>
      <c r="LM366" s="110"/>
      <c r="LN366" s="110"/>
      <c r="LO366" s="110"/>
      <c r="LP366" s="110"/>
      <c r="LQ366" s="110"/>
      <c r="LR366" s="110"/>
      <c r="LS366" s="110"/>
      <c r="LT366" s="110"/>
      <c r="LU366" s="110"/>
      <c r="LV366" s="110"/>
      <c r="LW366" s="110"/>
      <c r="LX366" s="110"/>
      <c r="LY366" s="110"/>
      <c r="LZ366" s="110"/>
      <c r="MA366" s="110"/>
      <c r="MB366" s="110"/>
      <c r="MC366" s="110"/>
      <c r="MD366" s="110"/>
      <c r="ME366" s="110"/>
      <c r="MF366" s="110"/>
      <c r="MG366" s="110"/>
      <c r="MH366" s="110"/>
      <c r="MI366" s="110"/>
      <c r="MJ366" s="110"/>
      <c r="MK366" s="110"/>
      <c r="ML366" s="110"/>
      <c r="MM366" s="110"/>
      <c r="MN366" s="110"/>
      <c r="MO366" s="110"/>
      <c r="MP366" s="110"/>
      <c r="MQ366" s="110"/>
      <c r="MR366" s="110"/>
      <c r="MS366" s="110"/>
      <c r="MT366" s="110"/>
      <c r="MU366" s="110"/>
      <c r="MV366" s="110"/>
      <c r="MW366" s="110"/>
      <c r="MX366" s="110"/>
      <c r="MY366" s="110"/>
      <c r="MZ366" s="110"/>
      <c r="NA366" s="110"/>
      <c r="NB366" s="110"/>
      <c r="NC366" s="110"/>
      <c r="ND366" s="110"/>
      <c r="NE366" s="110"/>
      <c r="NF366" s="110"/>
      <c r="NG366" s="110"/>
      <c r="NH366" s="110"/>
      <c r="NI366" s="110"/>
      <c r="NJ366" s="110"/>
      <c r="NK366" s="110"/>
      <c r="NL366" s="110"/>
      <c r="NM366" s="110"/>
      <c r="NN366" s="110"/>
      <c r="NO366" s="110"/>
      <c r="NP366" s="110"/>
      <c r="NQ366" s="110"/>
      <c r="NR366" s="110"/>
      <c r="NS366" s="110"/>
      <c r="NT366" s="110"/>
      <c r="NU366" s="110"/>
      <c r="NV366" s="110"/>
      <c r="NW366" s="110"/>
      <c r="NX366" s="110"/>
      <c r="NY366" s="110"/>
      <c r="NZ366" s="110"/>
      <c r="OA366" s="110"/>
      <c r="OB366" s="110"/>
      <c r="OC366" s="110"/>
      <c r="OD366" s="110"/>
      <c r="OE366" s="110"/>
      <c r="OF366" s="110"/>
      <c r="OG366" s="110"/>
      <c r="OH366" s="110"/>
      <c r="OI366" s="110"/>
      <c r="OJ366" s="110"/>
      <c r="OK366" s="110"/>
      <c r="OL366" s="110"/>
      <c r="OM366" s="110"/>
      <c r="ON366" s="110"/>
      <c r="OO366" s="110"/>
      <c r="OP366" s="110"/>
      <c r="OQ366" s="110"/>
      <c r="OR366" s="110"/>
      <c r="OS366" s="110"/>
      <c r="OT366" s="110"/>
      <c r="OU366" s="110"/>
      <c r="OV366" s="110"/>
      <c r="OW366" s="110"/>
      <c r="OX366" s="110"/>
      <c r="OY366" s="110"/>
      <c r="OZ366" s="110"/>
      <c r="PA366" s="110"/>
      <c r="PB366" s="110"/>
      <c r="PC366" s="110"/>
      <c r="PD366" s="110"/>
      <c r="PE366" s="110"/>
      <c r="PF366" s="110"/>
      <c r="PG366" s="110"/>
      <c r="PH366" s="110"/>
      <c r="PI366" s="110"/>
      <c r="PJ366" s="110"/>
      <c r="PK366" s="110"/>
      <c r="PL366" s="110"/>
      <c r="PM366" s="110"/>
      <c r="PN366" s="110"/>
      <c r="PO366" s="110"/>
      <c r="PP366" s="110"/>
      <c r="PQ366" s="110"/>
      <c r="PR366" s="110"/>
      <c r="PS366" s="110"/>
      <c r="PT366" s="110"/>
      <c r="PU366" s="110"/>
      <c r="PV366" s="110"/>
      <c r="PW366" s="110"/>
      <c r="PX366" s="110"/>
      <c r="PY366" s="110"/>
      <c r="PZ366" s="110"/>
      <c r="QA366" s="110"/>
      <c r="QB366" s="110"/>
      <c r="QC366" s="110"/>
      <c r="QD366" s="110"/>
      <c r="QE366" s="110"/>
      <c r="QF366" s="110"/>
      <c r="QG366" s="110"/>
      <c r="QH366" s="110"/>
      <c r="QI366" s="110"/>
      <c r="QJ366" s="110"/>
      <c r="QK366" s="110"/>
      <c r="QL366" s="110"/>
      <c r="QM366" s="110"/>
      <c r="QN366" s="110"/>
      <c r="QO366" s="110"/>
      <c r="QP366" s="110"/>
      <c r="QQ366" s="110"/>
      <c r="QR366" s="110"/>
      <c r="QS366" s="110"/>
      <c r="QT366" s="110"/>
      <c r="QU366" s="110"/>
      <c r="QV366" s="110"/>
      <c r="QW366" s="110"/>
      <c r="QX366" s="110"/>
      <c r="QY366" s="110"/>
      <c r="QZ366" s="110"/>
      <c r="RA366" s="110"/>
      <c r="RB366" s="110"/>
      <c r="RC366" s="110"/>
      <c r="RD366" s="110"/>
      <c r="RE366" s="110"/>
      <c r="RF366" s="110"/>
      <c r="RG366" s="110"/>
      <c r="RH366" s="110"/>
      <c r="RI366" s="110"/>
      <c r="RJ366" s="110"/>
      <c r="RK366" s="110"/>
      <c r="RL366" s="110"/>
      <c r="RM366" s="110"/>
      <c r="RN366" s="110"/>
      <c r="RO366" s="110"/>
      <c r="RP366" s="110"/>
      <c r="RQ366" s="110"/>
      <c r="RR366" s="110"/>
      <c r="RS366" s="110"/>
      <c r="RT366" s="110"/>
      <c r="RU366" s="110"/>
      <c r="RV366" s="110"/>
      <c r="RW366" s="110"/>
      <c r="RX366" s="110"/>
      <c r="RY366" s="110"/>
      <c r="RZ366" s="110"/>
      <c r="SA366" s="110"/>
      <c r="SB366" s="110"/>
      <c r="SC366" s="110"/>
      <c r="SD366" s="110"/>
      <c r="SE366" s="110"/>
      <c r="SF366" s="110"/>
      <c r="SG366" s="110"/>
      <c r="SH366" s="110"/>
      <c r="SI366" s="110"/>
      <c r="SJ366" s="110"/>
      <c r="SK366" s="110"/>
      <c r="SL366" s="110"/>
      <c r="SM366" s="110"/>
      <c r="SN366" s="110"/>
      <c r="SO366" s="110"/>
      <c r="SP366" s="110"/>
      <c r="SQ366" s="110"/>
      <c r="SR366" s="110"/>
      <c r="SS366" s="110"/>
      <c r="ST366" s="110"/>
      <c r="SU366" s="110"/>
      <c r="SV366" s="110"/>
      <c r="SW366" s="110"/>
      <c r="SX366" s="110"/>
      <c r="SY366" s="110"/>
      <c r="SZ366" s="110"/>
      <c r="TA366" s="110"/>
      <c r="TB366" s="110"/>
      <c r="TC366" s="110"/>
      <c r="TD366" s="110"/>
      <c r="TE366" s="110"/>
    </row>
    <row r="367" spans="1:525" s="116" customFormat="1" ht="35.25" customHeight="1" x14ac:dyDescent="0.25">
      <c r="A367" s="112" t="s">
        <v>207</v>
      </c>
      <c r="B367" s="141"/>
      <c r="C367" s="141"/>
      <c r="D367" s="114" t="s">
        <v>41</v>
      </c>
      <c r="E367" s="80">
        <f>E368</f>
        <v>4334000</v>
      </c>
      <c r="F367" s="80">
        <f t="shared" si="179"/>
        <v>4334000</v>
      </c>
      <c r="G367" s="80">
        <f t="shared" si="179"/>
        <v>3271100</v>
      </c>
      <c r="H367" s="80">
        <f t="shared" si="179"/>
        <v>84900</v>
      </c>
      <c r="I367" s="80">
        <f t="shared" si="179"/>
        <v>0</v>
      </c>
      <c r="J367" s="80">
        <f t="shared" si="179"/>
        <v>0</v>
      </c>
      <c r="K367" s="80">
        <f t="shared" si="180"/>
        <v>0</v>
      </c>
      <c r="L367" s="80">
        <f t="shared" si="181"/>
        <v>0</v>
      </c>
      <c r="M367" s="80">
        <f t="shared" si="182"/>
        <v>0</v>
      </c>
      <c r="N367" s="80">
        <f t="shared" si="183"/>
        <v>0</v>
      </c>
      <c r="O367" s="80">
        <f t="shared" si="184"/>
        <v>0</v>
      </c>
      <c r="P367" s="80">
        <f t="shared" si="184"/>
        <v>4334000</v>
      </c>
      <c r="Q367" s="260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/>
      <c r="HN367" s="115"/>
      <c r="HO367" s="115"/>
      <c r="HP367" s="115"/>
      <c r="HQ367" s="115"/>
      <c r="HR367" s="115"/>
      <c r="HS367" s="115"/>
      <c r="HT367" s="115"/>
      <c r="HU367" s="115"/>
      <c r="HV367" s="115"/>
      <c r="HW367" s="115"/>
      <c r="HX367" s="115"/>
      <c r="HY367" s="115"/>
      <c r="HZ367" s="115"/>
      <c r="IA367" s="115"/>
      <c r="IB367" s="115"/>
      <c r="IC367" s="115"/>
      <c r="ID367" s="115"/>
      <c r="IE367" s="115"/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/>
      <c r="IU367" s="115"/>
      <c r="IV367" s="115"/>
      <c r="IW367" s="115"/>
      <c r="IX367" s="115"/>
      <c r="IY367" s="115"/>
      <c r="IZ367" s="115"/>
      <c r="JA367" s="115"/>
      <c r="JB367" s="115"/>
      <c r="JC367" s="115"/>
      <c r="JD367" s="115"/>
      <c r="JE367" s="115"/>
      <c r="JF367" s="115"/>
      <c r="JG367" s="115"/>
      <c r="JH367" s="115"/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/>
      <c r="JT367" s="115"/>
      <c r="JU367" s="115"/>
      <c r="JV367" s="115"/>
      <c r="JW367" s="115"/>
      <c r="JX367" s="115"/>
      <c r="JY367" s="115"/>
      <c r="JZ367" s="115"/>
      <c r="KA367" s="115"/>
      <c r="KB367" s="115"/>
      <c r="KC367" s="115"/>
      <c r="KD367" s="115"/>
      <c r="KE367" s="115"/>
      <c r="KF367" s="115"/>
      <c r="KG367" s="115"/>
      <c r="KH367" s="115"/>
      <c r="KI367" s="115"/>
      <c r="KJ367" s="115"/>
      <c r="KK367" s="115"/>
      <c r="KL367" s="115"/>
      <c r="KM367" s="115"/>
      <c r="KN367" s="115"/>
      <c r="KO367" s="115"/>
      <c r="KP367" s="115"/>
      <c r="KQ367" s="115"/>
      <c r="KR367" s="115"/>
      <c r="KS367" s="115"/>
      <c r="KT367" s="115"/>
      <c r="KU367" s="115"/>
      <c r="KV367" s="115"/>
      <c r="KW367" s="115"/>
      <c r="KX367" s="115"/>
      <c r="KY367" s="115"/>
      <c r="KZ367" s="115"/>
      <c r="LA367" s="115"/>
      <c r="LB367" s="115"/>
      <c r="LC367" s="115"/>
      <c r="LD367" s="115"/>
      <c r="LE367" s="115"/>
      <c r="LF367" s="115"/>
      <c r="LG367" s="115"/>
      <c r="LH367" s="115"/>
      <c r="LI367" s="115"/>
      <c r="LJ367" s="115"/>
      <c r="LK367" s="115"/>
      <c r="LL367" s="115"/>
      <c r="LM367" s="115"/>
      <c r="LN367" s="115"/>
      <c r="LO367" s="115"/>
      <c r="LP367" s="115"/>
      <c r="LQ367" s="115"/>
      <c r="LR367" s="115"/>
      <c r="LS367" s="115"/>
      <c r="LT367" s="115"/>
      <c r="LU367" s="115"/>
      <c r="LV367" s="115"/>
      <c r="LW367" s="115"/>
      <c r="LX367" s="115"/>
      <c r="LY367" s="115"/>
      <c r="LZ367" s="115"/>
      <c r="MA367" s="115"/>
      <c r="MB367" s="115"/>
      <c r="MC367" s="115"/>
      <c r="MD367" s="115"/>
      <c r="ME367" s="115"/>
      <c r="MF367" s="115"/>
      <c r="MG367" s="115"/>
      <c r="MH367" s="115"/>
      <c r="MI367" s="115"/>
      <c r="MJ367" s="115"/>
      <c r="MK367" s="115"/>
      <c r="ML367" s="115"/>
      <c r="MM367" s="115"/>
      <c r="MN367" s="115"/>
      <c r="MO367" s="115"/>
      <c r="MP367" s="115"/>
      <c r="MQ367" s="115"/>
      <c r="MR367" s="115"/>
      <c r="MS367" s="115"/>
      <c r="MT367" s="115"/>
      <c r="MU367" s="115"/>
      <c r="MV367" s="115"/>
      <c r="MW367" s="115"/>
      <c r="MX367" s="115"/>
      <c r="MY367" s="115"/>
      <c r="MZ367" s="115"/>
      <c r="NA367" s="115"/>
      <c r="NB367" s="115"/>
      <c r="NC367" s="115"/>
      <c r="ND367" s="115"/>
      <c r="NE367" s="115"/>
      <c r="NF367" s="115"/>
      <c r="NG367" s="115"/>
      <c r="NH367" s="115"/>
      <c r="NI367" s="115"/>
      <c r="NJ367" s="115"/>
      <c r="NK367" s="115"/>
      <c r="NL367" s="115"/>
      <c r="NM367" s="115"/>
      <c r="NN367" s="115"/>
      <c r="NO367" s="115"/>
      <c r="NP367" s="115"/>
      <c r="NQ367" s="115"/>
      <c r="NR367" s="115"/>
      <c r="NS367" s="115"/>
      <c r="NT367" s="115"/>
      <c r="NU367" s="115"/>
      <c r="NV367" s="115"/>
      <c r="NW367" s="115"/>
      <c r="NX367" s="115"/>
      <c r="NY367" s="115"/>
      <c r="NZ367" s="115"/>
      <c r="OA367" s="115"/>
      <c r="OB367" s="115"/>
      <c r="OC367" s="115"/>
      <c r="OD367" s="115"/>
      <c r="OE367" s="115"/>
      <c r="OF367" s="115"/>
      <c r="OG367" s="115"/>
      <c r="OH367" s="115"/>
      <c r="OI367" s="115"/>
      <c r="OJ367" s="115"/>
      <c r="OK367" s="115"/>
      <c r="OL367" s="115"/>
      <c r="OM367" s="115"/>
      <c r="ON367" s="115"/>
      <c r="OO367" s="115"/>
      <c r="OP367" s="115"/>
      <c r="OQ367" s="115"/>
      <c r="OR367" s="115"/>
      <c r="OS367" s="115"/>
      <c r="OT367" s="115"/>
      <c r="OU367" s="115"/>
      <c r="OV367" s="115"/>
      <c r="OW367" s="115"/>
      <c r="OX367" s="115"/>
      <c r="OY367" s="115"/>
      <c r="OZ367" s="115"/>
      <c r="PA367" s="115"/>
      <c r="PB367" s="115"/>
      <c r="PC367" s="115"/>
      <c r="PD367" s="115"/>
      <c r="PE367" s="115"/>
      <c r="PF367" s="115"/>
      <c r="PG367" s="115"/>
      <c r="PH367" s="115"/>
      <c r="PI367" s="115"/>
      <c r="PJ367" s="115"/>
      <c r="PK367" s="115"/>
      <c r="PL367" s="115"/>
      <c r="PM367" s="115"/>
      <c r="PN367" s="115"/>
      <c r="PO367" s="115"/>
      <c r="PP367" s="115"/>
      <c r="PQ367" s="115"/>
      <c r="PR367" s="115"/>
      <c r="PS367" s="115"/>
      <c r="PT367" s="115"/>
      <c r="PU367" s="115"/>
      <c r="PV367" s="115"/>
      <c r="PW367" s="115"/>
      <c r="PX367" s="115"/>
      <c r="PY367" s="115"/>
      <c r="PZ367" s="115"/>
      <c r="QA367" s="115"/>
      <c r="QB367" s="115"/>
      <c r="QC367" s="115"/>
      <c r="QD367" s="115"/>
      <c r="QE367" s="115"/>
      <c r="QF367" s="115"/>
      <c r="QG367" s="115"/>
      <c r="QH367" s="115"/>
      <c r="QI367" s="115"/>
      <c r="QJ367" s="115"/>
      <c r="QK367" s="115"/>
      <c r="QL367" s="115"/>
      <c r="QM367" s="115"/>
      <c r="QN367" s="115"/>
      <c r="QO367" s="115"/>
      <c r="QP367" s="115"/>
      <c r="QQ367" s="115"/>
      <c r="QR367" s="115"/>
      <c r="QS367" s="115"/>
      <c r="QT367" s="115"/>
      <c r="QU367" s="115"/>
      <c r="QV367" s="115"/>
      <c r="QW367" s="115"/>
      <c r="QX367" s="115"/>
      <c r="QY367" s="115"/>
      <c r="QZ367" s="115"/>
      <c r="RA367" s="115"/>
      <c r="RB367" s="115"/>
      <c r="RC367" s="115"/>
      <c r="RD367" s="115"/>
      <c r="RE367" s="115"/>
      <c r="RF367" s="115"/>
      <c r="RG367" s="115"/>
      <c r="RH367" s="115"/>
      <c r="RI367" s="115"/>
      <c r="RJ367" s="115"/>
      <c r="RK367" s="115"/>
      <c r="RL367" s="115"/>
      <c r="RM367" s="115"/>
      <c r="RN367" s="115"/>
      <c r="RO367" s="115"/>
      <c r="RP367" s="115"/>
      <c r="RQ367" s="115"/>
      <c r="RR367" s="115"/>
      <c r="RS367" s="115"/>
      <c r="RT367" s="115"/>
      <c r="RU367" s="115"/>
      <c r="RV367" s="115"/>
      <c r="RW367" s="115"/>
      <c r="RX367" s="115"/>
      <c r="RY367" s="115"/>
      <c r="RZ367" s="115"/>
      <c r="SA367" s="115"/>
      <c r="SB367" s="115"/>
      <c r="SC367" s="115"/>
      <c r="SD367" s="115"/>
      <c r="SE367" s="115"/>
      <c r="SF367" s="115"/>
      <c r="SG367" s="115"/>
      <c r="SH367" s="115"/>
      <c r="SI367" s="115"/>
      <c r="SJ367" s="115"/>
      <c r="SK367" s="115"/>
      <c r="SL367" s="115"/>
      <c r="SM367" s="115"/>
      <c r="SN367" s="115"/>
      <c r="SO367" s="115"/>
      <c r="SP367" s="115"/>
      <c r="SQ367" s="115"/>
      <c r="SR367" s="115"/>
      <c r="SS367" s="115"/>
      <c r="ST367" s="115"/>
      <c r="SU367" s="115"/>
      <c r="SV367" s="115"/>
      <c r="SW367" s="115"/>
      <c r="SX367" s="115"/>
      <c r="SY367" s="115"/>
      <c r="SZ367" s="115"/>
      <c r="TA367" s="115"/>
      <c r="TB367" s="115"/>
      <c r="TC367" s="115"/>
      <c r="TD367" s="115"/>
      <c r="TE367" s="115"/>
    </row>
    <row r="368" spans="1:525" s="121" customFormat="1" ht="49.5" customHeight="1" x14ac:dyDescent="0.25">
      <c r="A368" s="117" t="s">
        <v>208</v>
      </c>
      <c r="B368" s="118" t="str">
        <f>'дод 6'!A16</f>
        <v>0160</v>
      </c>
      <c r="C368" s="118" t="str">
        <f>'дод 6'!B16</f>
        <v>0111</v>
      </c>
      <c r="D368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68" s="81">
        <f>F368+I368</f>
        <v>4334000</v>
      </c>
      <c r="F368" s="81">
        <f>4573900+12800-238000-14700</f>
        <v>4334000</v>
      </c>
      <c r="G368" s="81">
        <f>3466200-195100</f>
        <v>3271100</v>
      </c>
      <c r="H368" s="81">
        <f>99600-14700</f>
        <v>84900</v>
      </c>
      <c r="I368" s="81"/>
      <c r="J368" s="81">
        <f>L368+O368</f>
        <v>0</v>
      </c>
      <c r="K368" s="81"/>
      <c r="L368" s="81"/>
      <c r="M368" s="81"/>
      <c r="N368" s="81"/>
      <c r="O368" s="81"/>
      <c r="P368" s="81">
        <f>E368+J368</f>
        <v>4334000</v>
      </c>
      <c r="Q368" s="26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  <c r="IW368" s="120"/>
      <c r="IX368" s="120"/>
      <c r="IY368" s="120"/>
      <c r="IZ368" s="120"/>
      <c r="JA368" s="120"/>
      <c r="JB368" s="120"/>
      <c r="JC368" s="120"/>
      <c r="JD368" s="120"/>
      <c r="JE368" s="120"/>
      <c r="JF368" s="120"/>
      <c r="JG368" s="120"/>
      <c r="JH368" s="120"/>
      <c r="JI368" s="120"/>
      <c r="JJ368" s="120"/>
      <c r="JK368" s="120"/>
      <c r="JL368" s="120"/>
      <c r="JM368" s="120"/>
      <c r="JN368" s="120"/>
      <c r="JO368" s="120"/>
      <c r="JP368" s="120"/>
      <c r="JQ368" s="120"/>
      <c r="JR368" s="120"/>
      <c r="JS368" s="120"/>
      <c r="JT368" s="120"/>
      <c r="JU368" s="120"/>
      <c r="JV368" s="120"/>
      <c r="JW368" s="120"/>
      <c r="JX368" s="120"/>
      <c r="JY368" s="120"/>
      <c r="JZ368" s="120"/>
      <c r="KA368" s="120"/>
      <c r="KB368" s="120"/>
      <c r="KC368" s="120"/>
      <c r="KD368" s="120"/>
      <c r="KE368" s="120"/>
      <c r="KF368" s="120"/>
      <c r="KG368" s="120"/>
      <c r="KH368" s="120"/>
      <c r="KI368" s="120"/>
      <c r="KJ368" s="120"/>
      <c r="KK368" s="120"/>
      <c r="KL368" s="120"/>
      <c r="KM368" s="120"/>
      <c r="KN368" s="120"/>
      <c r="KO368" s="120"/>
      <c r="KP368" s="120"/>
      <c r="KQ368" s="120"/>
      <c r="KR368" s="120"/>
      <c r="KS368" s="120"/>
      <c r="KT368" s="120"/>
      <c r="KU368" s="120"/>
      <c r="KV368" s="120"/>
      <c r="KW368" s="120"/>
      <c r="KX368" s="120"/>
      <c r="KY368" s="120"/>
      <c r="KZ368" s="120"/>
      <c r="LA368" s="120"/>
      <c r="LB368" s="120"/>
      <c r="LC368" s="120"/>
      <c r="LD368" s="120"/>
      <c r="LE368" s="120"/>
      <c r="LF368" s="120"/>
      <c r="LG368" s="120"/>
      <c r="LH368" s="120"/>
      <c r="LI368" s="120"/>
      <c r="LJ368" s="120"/>
      <c r="LK368" s="120"/>
      <c r="LL368" s="120"/>
      <c r="LM368" s="120"/>
      <c r="LN368" s="120"/>
      <c r="LO368" s="120"/>
      <c r="LP368" s="120"/>
      <c r="LQ368" s="120"/>
      <c r="LR368" s="120"/>
      <c r="LS368" s="120"/>
      <c r="LT368" s="120"/>
      <c r="LU368" s="120"/>
      <c r="LV368" s="120"/>
      <c r="LW368" s="120"/>
      <c r="LX368" s="120"/>
      <c r="LY368" s="120"/>
      <c r="LZ368" s="120"/>
      <c r="MA368" s="120"/>
      <c r="MB368" s="120"/>
      <c r="MC368" s="120"/>
      <c r="MD368" s="120"/>
      <c r="ME368" s="120"/>
      <c r="MF368" s="120"/>
      <c r="MG368" s="120"/>
      <c r="MH368" s="120"/>
      <c r="MI368" s="120"/>
      <c r="MJ368" s="120"/>
      <c r="MK368" s="120"/>
      <c r="ML368" s="120"/>
      <c r="MM368" s="120"/>
      <c r="MN368" s="120"/>
      <c r="MO368" s="120"/>
      <c r="MP368" s="120"/>
      <c r="MQ368" s="120"/>
      <c r="MR368" s="120"/>
      <c r="MS368" s="120"/>
      <c r="MT368" s="120"/>
      <c r="MU368" s="120"/>
      <c r="MV368" s="120"/>
      <c r="MW368" s="120"/>
      <c r="MX368" s="120"/>
      <c r="MY368" s="120"/>
      <c r="MZ368" s="120"/>
      <c r="NA368" s="120"/>
      <c r="NB368" s="120"/>
      <c r="NC368" s="120"/>
      <c r="ND368" s="120"/>
      <c r="NE368" s="120"/>
      <c r="NF368" s="120"/>
      <c r="NG368" s="120"/>
      <c r="NH368" s="120"/>
      <c r="NI368" s="120"/>
      <c r="NJ368" s="120"/>
      <c r="NK368" s="120"/>
      <c r="NL368" s="120"/>
      <c r="NM368" s="120"/>
      <c r="NN368" s="120"/>
      <c r="NO368" s="120"/>
      <c r="NP368" s="120"/>
      <c r="NQ368" s="120"/>
      <c r="NR368" s="120"/>
      <c r="NS368" s="120"/>
      <c r="NT368" s="120"/>
      <c r="NU368" s="120"/>
      <c r="NV368" s="120"/>
      <c r="NW368" s="120"/>
      <c r="NX368" s="120"/>
      <c r="NY368" s="120"/>
      <c r="NZ368" s="120"/>
      <c r="OA368" s="120"/>
      <c r="OB368" s="120"/>
      <c r="OC368" s="120"/>
      <c r="OD368" s="120"/>
      <c r="OE368" s="120"/>
      <c r="OF368" s="120"/>
      <c r="OG368" s="120"/>
      <c r="OH368" s="120"/>
      <c r="OI368" s="120"/>
      <c r="OJ368" s="120"/>
      <c r="OK368" s="120"/>
      <c r="OL368" s="120"/>
      <c r="OM368" s="120"/>
      <c r="ON368" s="120"/>
      <c r="OO368" s="120"/>
      <c r="OP368" s="120"/>
      <c r="OQ368" s="120"/>
      <c r="OR368" s="120"/>
      <c r="OS368" s="120"/>
      <c r="OT368" s="120"/>
      <c r="OU368" s="120"/>
      <c r="OV368" s="120"/>
      <c r="OW368" s="120"/>
      <c r="OX368" s="120"/>
      <c r="OY368" s="120"/>
      <c r="OZ368" s="120"/>
      <c r="PA368" s="120"/>
      <c r="PB368" s="120"/>
      <c r="PC368" s="120"/>
      <c r="PD368" s="120"/>
      <c r="PE368" s="120"/>
      <c r="PF368" s="120"/>
      <c r="PG368" s="120"/>
      <c r="PH368" s="120"/>
      <c r="PI368" s="120"/>
      <c r="PJ368" s="120"/>
      <c r="PK368" s="120"/>
      <c r="PL368" s="120"/>
      <c r="PM368" s="120"/>
      <c r="PN368" s="120"/>
      <c r="PO368" s="120"/>
      <c r="PP368" s="120"/>
      <c r="PQ368" s="120"/>
      <c r="PR368" s="120"/>
      <c r="PS368" s="120"/>
      <c r="PT368" s="120"/>
      <c r="PU368" s="120"/>
      <c r="PV368" s="120"/>
      <c r="PW368" s="120"/>
      <c r="PX368" s="120"/>
      <c r="PY368" s="120"/>
      <c r="PZ368" s="120"/>
      <c r="QA368" s="120"/>
      <c r="QB368" s="120"/>
      <c r="QC368" s="120"/>
      <c r="QD368" s="120"/>
      <c r="QE368" s="120"/>
      <c r="QF368" s="120"/>
      <c r="QG368" s="120"/>
      <c r="QH368" s="120"/>
      <c r="QI368" s="120"/>
      <c r="QJ368" s="120"/>
      <c r="QK368" s="120"/>
      <c r="QL368" s="120"/>
      <c r="QM368" s="120"/>
      <c r="QN368" s="120"/>
      <c r="QO368" s="120"/>
      <c r="QP368" s="120"/>
      <c r="QQ368" s="120"/>
      <c r="QR368" s="120"/>
      <c r="QS368" s="120"/>
      <c r="QT368" s="120"/>
      <c r="QU368" s="120"/>
      <c r="QV368" s="120"/>
      <c r="QW368" s="120"/>
      <c r="QX368" s="120"/>
      <c r="QY368" s="120"/>
      <c r="QZ368" s="120"/>
      <c r="RA368" s="120"/>
      <c r="RB368" s="120"/>
      <c r="RC368" s="120"/>
      <c r="RD368" s="120"/>
      <c r="RE368" s="120"/>
      <c r="RF368" s="120"/>
      <c r="RG368" s="120"/>
      <c r="RH368" s="120"/>
      <c r="RI368" s="120"/>
      <c r="RJ368" s="120"/>
      <c r="RK368" s="120"/>
      <c r="RL368" s="120"/>
      <c r="RM368" s="120"/>
      <c r="RN368" s="120"/>
      <c r="RO368" s="120"/>
      <c r="RP368" s="120"/>
      <c r="RQ368" s="120"/>
      <c r="RR368" s="120"/>
      <c r="RS368" s="120"/>
      <c r="RT368" s="120"/>
      <c r="RU368" s="120"/>
      <c r="RV368" s="120"/>
      <c r="RW368" s="120"/>
      <c r="RX368" s="120"/>
      <c r="RY368" s="120"/>
      <c r="RZ368" s="120"/>
      <c r="SA368" s="120"/>
      <c r="SB368" s="120"/>
      <c r="SC368" s="120"/>
      <c r="SD368" s="120"/>
      <c r="SE368" s="120"/>
      <c r="SF368" s="120"/>
      <c r="SG368" s="120"/>
      <c r="SH368" s="120"/>
      <c r="SI368" s="120"/>
      <c r="SJ368" s="120"/>
      <c r="SK368" s="120"/>
      <c r="SL368" s="120"/>
      <c r="SM368" s="120"/>
      <c r="SN368" s="120"/>
      <c r="SO368" s="120"/>
      <c r="SP368" s="120"/>
      <c r="SQ368" s="120"/>
      <c r="SR368" s="120"/>
      <c r="SS368" s="120"/>
      <c r="ST368" s="120"/>
      <c r="SU368" s="120"/>
      <c r="SV368" s="120"/>
      <c r="SW368" s="120"/>
      <c r="SX368" s="120"/>
      <c r="SY368" s="120"/>
      <c r="SZ368" s="120"/>
      <c r="TA368" s="120"/>
      <c r="TB368" s="120"/>
      <c r="TC368" s="120"/>
      <c r="TD368" s="120"/>
      <c r="TE368" s="120"/>
    </row>
    <row r="369" spans="1:525" s="111" customFormat="1" ht="31.5" x14ac:dyDescent="0.25">
      <c r="A369" s="142" t="s">
        <v>679</v>
      </c>
      <c r="B369" s="148"/>
      <c r="C369" s="148"/>
      <c r="D369" s="138" t="s">
        <v>638</v>
      </c>
      <c r="E369" s="79">
        <f>E370</f>
        <v>11567100.460000001</v>
      </c>
      <c r="F369" s="79">
        <f t="shared" ref="F369:P369" si="185">F370</f>
        <v>11217100.460000001</v>
      </c>
      <c r="G369" s="79">
        <f t="shared" si="185"/>
        <v>8566400</v>
      </c>
      <c r="H369" s="79">
        <f t="shared" si="185"/>
        <v>232901.27000000002</v>
      </c>
      <c r="I369" s="79">
        <f t="shared" si="185"/>
        <v>350000</v>
      </c>
      <c r="J369" s="79">
        <f t="shared" si="185"/>
        <v>0</v>
      </c>
      <c r="K369" s="79">
        <f t="shared" si="185"/>
        <v>0</v>
      </c>
      <c r="L369" s="79">
        <f t="shared" si="185"/>
        <v>0</v>
      </c>
      <c r="M369" s="79">
        <f t="shared" si="185"/>
        <v>0</v>
      </c>
      <c r="N369" s="79">
        <f t="shared" si="185"/>
        <v>0</v>
      </c>
      <c r="O369" s="79">
        <f t="shared" si="185"/>
        <v>0</v>
      </c>
      <c r="P369" s="79">
        <f t="shared" si="185"/>
        <v>11567100.460000001</v>
      </c>
      <c r="Q369" s="26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10"/>
      <c r="EW369" s="110"/>
      <c r="EX369" s="110"/>
      <c r="EY369" s="110"/>
      <c r="EZ369" s="110"/>
      <c r="FA369" s="110"/>
      <c r="FB369" s="110"/>
      <c r="FC369" s="110"/>
      <c r="FD369" s="110"/>
      <c r="FE369" s="110"/>
      <c r="FF369" s="110"/>
      <c r="FG369" s="110"/>
      <c r="FH369" s="110"/>
      <c r="FI369" s="110"/>
      <c r="FJ369" s="110"/>
      <c r="FK369" s="110"/>
      <c r="FL369" s="110"/>
      <c r="FM369" s="110"/>
      <c r="FN369" s="110"/>
      <c r="FO369" s="110"/>
      <c r="FP369" s="110"/>
      <c r="FQ369" s="110"/>
      <c r="FR369" s="110"/>
      <c r="FS369" s="110"/>
      <c r="FT369" s="110"/>
      <c r="FU369" s="110"/>
      <c r="FV369" s="110"/>
      <c r="FW369" s="110"/>
      <c r="FX369" s="110"/>
      <c r="FY369" s="110"/>
      <c r="FZ369" s="110"/>
      <c r="GA369" s="110"/>
      <c r="GB369" s="110"/>
      <c r="GC369" s="110"/>
      <c r="GD369" s="110"/>
      <c r="GE369" s="110"/>
      <c r="GF369" s="110"/>
      <c r="GG369" s="110"/>
      <c r="GH369" s="110"/>
      <c r="GI369" s="110"/>
      <c r="GJ369" s="110"/>
      <c r="GK369" s="110"/>
      <c r="GL369" s="110"/>
      <c r="GM369" s="110"/>
      <c r="GN369" s="110"/>
      <c r="GO369" s="110"/>
      <c r="GP369" s="110"/>
      <c r="GQ369" s="110"/>
      <c r="GR369" s="110"/>
      <c r="GS369" s="110"/>
      <c r="GT369" s="110"/>
      <c r="GU369" s="110"/>
      <c r="GV369" s="110"/>
      <c r="GW369" s="110"/>
      <c r="GX369" s="110"/>
      <c r="GY369" s="110"/>
      <c r="GZ369" s="110"/>
      <c r="HA369" s="110"/>
      <c r="HB369" s="110"/>
      <c r="HC369" s="110"/>
      <c r="HD369" s="110"/>
      <c r="HE369" s="110"/>
      <c r="HF369" s="110"/>
      <c r="HG369" s="110"/>
      <c r="HH369" s="110"/>
      <c r="HI369" s="110"/>
      <c r="HJ369" s="110"/>
      <c r="HK369" s="110"/>
      <c r="HL369" s="110"/>
      <c r="HM369" s="110"/>
      <c r="HN369" s="110"/>
      <c r="HO369" s="110"/>
      <c r="HP369" s="110"/>
      <c r="HQ369" s="110"/>
      <c r="HR369" s="110"/>
      <c r="HS369" s="110"/>
      <c r="HT369" s="110"/>
      <c r="HU369" s="110"/>
      <c r="HV369" s="110"/>
      <c r="HW369" s="110"/>
      <c r="HX369" s="110"/>
      <c r="HY369" s="110"/>
      <c r="HZ369" s="110"/>
      <c r="IA369" s="110"/>
      <c r="IB369" s="110"/>
      <c r="IC369" s="110"/>
      <c r="ID369" s="110"/>
      <c r="IE369" s="110"/>
      <c r="IF369" s="110"/>
      <c r="IG369" s="110"/>
      <c r="IH369" s="110"/>
      <c r="II369" s="110"/>
      <c r="IJ369" s="110"/>
      <c r="IK369" s="110"/>
      <c r="IL369" s="110"/>
      <c r="IM369" s="110"/>
      <c r="IN369" s="110"/>
      <c r="IO369" s="110"/>
      <c r="IP369" s="110"/>
      <c r="IQ369" s="110"/>
      <c r="IR369" s="110"/>
      <c r="IS369" s="110"/>
      <c r="IT369" s="110"/>
      <c r="IU369" s="110"/>
      <c r="IV369" s="110"/>
      <c r="IW369" s="110"/>
      <c r="IX369" s="110"/>
      <c r="IY369" s="110"/>
      <c r="IZ369" s="110"/>
      <c r="JA369" s="110"/>
      <c r="JB369" s="110"/>
      <c r="JC369" s="110"/>
      <c r="JD369" s="110"/>
      <c r="JE369" s="110"/>
      <c r="JF369" s="110"/>
      <c r="JG369" s="110"/>
      <c r="JH369" s="110"/>
      <c r="JI369" s="110"/>
      <c r="JJ369" s="110"/>
      <c r="JK369" s="110"/>
      <c r="JL369" s="110"/>
      <c r="JM369" s="110"/>
      <c r="JN369" s="110"/>
      <c r="JO369" s="110"/>
      <c r="JP369" s="110"/>
      <c r="JQ369" s="110"/>
      <c r="JR369" s="110"/>
      <c r="JS369" s="110"/>
      <c r="JT369" s="110"/>
      <c r="JU369" s="110"/>
      <c r="JV369" s="110"/>
      <c r="JW369" s="110"/>
      <c r="JX369" s="110"/>
      <c r="JY369" s="110"/>
      <c r="JZ369" s="110"/>
      <c r="KA369" s="110"/>
      <c r="KB369" s="110"/>
      <c r="KC369" s="110"/>
      <c r="KD369" s="110"/>
      <c r="KE369" s="110"/>
      <c r="KF369" s="110"/>
      <c r="KG369" s="110"/>
      <c r="KH369" s="110"/>
      <c r="KI369" s="110"/>
      <c r="KJ369" s="110"/>
      <c r="KK369" s="110"/>
      <c r="KL369" s="110"/>
      <c r="KM369" s="110"/>
      <c r="KN369" s="110"/>
      <c r="KO369" s="110"/>
      <c r="KP369" s="110"/>
      <c r="KQ369" s="110"/>
      <c r="KR369" s="110"/>
      <c r="KS369" s="110"/>
      <c r="KT369" s="110"/>
      <c r="KU369" s="110"/>
      <c r="KV369" s="110"/>
      <c r="KW369" s="110"/>
      <c r="KX369" s="110"/>
      <c r="KY369" s="110"/>
      <c r="KZ369" s="110"/>
      <c r="LA369" s="110"/>
      <c r="LB369" s="110"/>
      <c r="LC369" s="110"/>
      <c r="LD369" s="110"/>
      <c r="LE369" s="110"/>
      <c r="LF369" s="110"/>
      <c r="LG369" s="110"/>
      <c r="LH369" s="110"/>
      <c r="LI369" s="110"/>
      <c r="LJ369" s="110"/>
      <c r="LK369" s="110"/>
      <c r="LL369" s="110"/>
      <c r="LM369" s="110"/>
      <c r="LN369" s="110"/>
      <c r="LO369" s="110"/>
      <c r="LP369" s="110"/>
      <c r="LQ369" s="110"/>
      <c r="LR369" s="110"/>
      <c r="LS369" s="110"/>
      <c r="LT369" s="110"/>
      <c r="LU369" s="110"/>
      <c r="LV369" s="110"/>
      <c r="LW369" s="110"/>
      <c r="LX369" s="110"/>
      <c r="LY369" s="110"/>
      <c r="LZ369" s="110"/>
      <c r="MA369" s="110"/>
      <c r="MB369" s="110"/>
      <c r="MC369" s="110"/>
      <c r="MD369" s="110"/>
      <c r="ME369" s="110"/>
      <c r="MF369" s="110"/>
      <c r="MG369" s="110"/>
      <c r="MH369" s="110"/>
      <c r="MI369" s="110"/>
      <c r="MJ369" s="110"/>
      <c r="MK369" s="110"/>
      <c r="ML369" s="110"/>
      <c r="MM369" s="110"/>
      <c r="MN369" s="110"/>
      <c r="MO369" s="110"/>
      <c r="MP369" s="110"/>
      <c r="MQ369" s="110"/>
      <c r="MR369" s="110"/>
      <c r="MS369" s="110"/>
      <c r="MT369" s="110"/>
      <c r="MU369" s="110"/>
      <c r="MV369" s="110"/>
      <c r="MW369" s="110"/>
      <c r="MX369" s="110"/>
      <c r="MY369" s="110"/>
      <c r="MZ369" s="110"/>
      <c r="NA369" s="110"/>
      <c r="NB369" s="110"/>
      <c r="NC369" s="110"/>
      <c r="ND369" s="110"/>
      <c r="NE369" s="110"/>
      <c r="NF369" s="110"/>
      <c r="NG369" s="110"/>
      <c r="NH369" s="110"/>
      <c r="NI369" s="110"/>
      <c r="NJ369" s="110"/>
      <c r="NK369" s="110"/>
      <c r="NL369" s="110"/>
      <c r="NM369" s="110"/>
      <c r="NN369" s="110"/>
      <c r="NO369" s="110"/>
      <c r="NP369" s="110"/>
      <c r="NQ369" s="110"/>
      <c r="NR369" s="110"/>
      <c r="NS369" s="110"/>
      <c r="NT369" s="110"/>
      <c r="NU369" s="110"/>
      <c r="NV369" s="110"/>
      <c r="NW369" s="110"/>
      <c r="NX369" s="110"/>
      <c r="NY369" s="110"/>
      <c r="NZ369" s="110"/>
      <c r="OA369" s="110"/>
      <c r="OB369" s="110"/>
      <c r="OC369" s="110"/>
      <c r="OD369" s="110"/>
      <c r="OE369" s="110"/>
      <c r="OF369" s="110"/>
      <c r="OG369" s="110"/>
      <c r="OH369" s="110"/>
      <c r="OI369" s="110"/>
      <c r="OJ369" s="110"/>
      <c r="OK369" s="110"/>
      <c r="OL369" s="110"/>
      <c r="OM369" s="110"/>
      <c r="ON369" s="110"/>
      <c r="OO369" s="110"/>
      <c r="OP369" s="110"/>
      <c r="OQ369" s="110"/>
      <c r="OR369" s="110"/>
      <c r="OS369" s="110"/>
      <c r="OT369" s="110"/>
      <c r="OU369" s="110"/>
      <c r="OV369" s="110"/>
      <c r="OW369" s="110"/>
      <c r="OX369" s="110"/>
      <c r="OY369" s="110"/>
      <c r="OZ369" s="110"/>
      <c r="PA369" s="110"/>
      <c r="PB369" s="110"/>
      <c r="PC369" s="110"/>
      <c r="PD369" s="110"/>
      <c r="PE369" s="110"/>
      <c r="PF369" s="110"/>
      <c r="PG369" s="110"/>
      <c r="PH369" s="110"/>
      <c r="PI369" s="110"/>
      <c r="PJ369" s="110"/>
      <c r="PK369" s="110"/>
      <c r="PL369" s="110"/>
      <c r="PM369" s="110"/>
      <c r="PN369" s="110"/>
      <c r="PO369" s="110"/>
      <c r="PP369" s="110"/>
      <c r="PQ369" s="110"/>
      <c r="PR369" s="110"/>
      <c r="PS369" s="110"/>
      <c r="PT369" s="110"/>
      <c r="PU369" s="110"/>
      <c r="PV369" s="110"/>
      <c r="PW369" s="110"/>
      <c r="PX369" s="110"/>
      <c r="PY369" s="110"/>
      <c r="PZ369" s="110"/>
      <c r="QA369" s="110"/>
      <c r="QB369" s="110"/>
      <c r="QC369" s="110"/>
      <c r="QD369" s="110"/>
      <c r="QE369" s="110"/>
      <c r="QF369" s="110"/>
      <c r="QG369" s="110"/>
      <c r="QH369" s="110"/>
      <c r="QI369" s="110"/>
      <c r="QJ369" s="110"/>
      <c r="QK369" s="110"/>
      <c r="QL369" s="110"/>
      <c r="QM369" s="110"/>
      <c r="QN369" s="110"/>
      <c r="QO369" s="110"/>
      <c r="QP369" s="110"/>
      <c r="QQ369" s="110"/>
      <c r="QR369" s="110"/>
      <c r="QS369" s="110"/>
      <c r="QT369" s="110"/>
      <c r="QU369" s="110"/>
      <c r="QV369" s="110"/>
      <c r="QW369" s="110"/>
      <c r="QX369" s="110"/>
      <c r="QY369" s="110"/>
      <c r="QZ369" s="110"/>
      <c r="RA369" s="110"/>
      <c r="RB369" s="110"/>
      <c r="RC369" s="110"/>
      <c r="RD369" s="110"/>
      <c r="RE369" s="110"/>
      <c r="RF369" s="110"/>
      <c r="RG369" s="110"/>
      <c r="RH369" s="110"/>
      <c r="RI369" s="110"/>
      <c r="RJ369" s="110"/>
      <c r="RK369" s="110"/>
      <c r="RL369" s="110"/>
      <c r="RM369" s="110"/>
      <c r="RN369" s="110"/>
      <c r="RO369" s="110"/>
      <c r="RP369" s="110"/>
      <c r="RQ369" s="110"/>
      <c r="RR369" s="110"/>
      <c r="RS369" s="110"/>
      <c r="RT369" s="110"/>
      <c r="RU369" s="110"/>
      <c r="RV369" s="110"/>
      <c r="RW369" s="110"/>
      <c r="RX369" s="110"/>
      <c r="RY369" s="110"/>
      <c r="RZ369" s="110"/>
      <c r="SA369" s="110"/>
      <c r="SB369" s="110"/>
      <c r="SC369" s="110"/>
      <c r="SD369" s="110"/>
      <c r="SE369" s="110"/>
      <c r="SF369" s="110"/>
      <c r="SG369" s="110"/>
      <c r="SH369" s="110"/>
      <c r="SI369" s="110"/>
      <c r="SJ369" s="110"/>
      <c r="SK369" s="110"/>
      <c r="SL369" s="110"/>
      <c r="SM369" s="110"/>
      <c r="SN369" s="110"/>
      <c r="SO369" s="110"/>
      <c r="SP369" s="110"/>
      <c r="SQ369" s="110"/>
      <c r="SR369" s="110"/>
      <c r="SS369" s="110"/>
      <c r="ST369" s="110"/>
      <c r="SU369" s="110"/>
      <c r="SV369" s="110"/>
      <c r="SW369" s="110"/>
      <c r="SX369" s="110"/>
      <c r="SY369" s="110"/>
      <c r="SZ369" s="110"/>
      <c r="TA369" s="110"/>
      <c r="TB369" s="110"/>
      <c r="TC369" s="110"/>
      <c r="TD369" s="110"/>
      <c r="TE369" s="110"/>
    </row>
    <row r="370" spans="1:525" s="116" customFormat="1" ht="31.5" x14ac:dyDescent="0.25">
      <c r="A370" s="112" t="s">
        <v>681</v>
      </c>
      <c r="B370" s="141"/>
      <c r="C370" s="141"/>
      <c r="D370" s="114" t="s">
        <v>638</v>
      </c>
      <c r="E370" s="80">
        <f>E371+E372</f>
        <v>11567100.460000001</v>
      </c>
      <c r="F370" s="80">
        <f>F371+F372</f>
        <v>11217100.460000001</v>
      </c>
      <c r="G370" s="80">
        <f t="shared" ref="G370:P370" si="186">G371+G372</f>
        <v>8566400</v>
      </c>
      <c r="H370" s="80">
        <f t="shared" si="186"/>
        <v>232901.27000000002</v>
      </c>
      <c r="I370" s="80">
        <f t="shared" si="186"/>
        <v>350000</v>
      </c>
      <c r="J370" s="80">
        <f t="shared" si="186"/>
        <v>0</v>
      </c>
      <c r="K370" s="80">
        <f t="shared" si="186"/>
        <v>0</v>
      </c>
      <c r="L370" s="80">
        <f t="shared" si="186"/>
        <v>0</v>
      </c>
      <c r="M370" s="80">
        <f t="shared" si="186"/>
        <v>0</v>
      </c>
      <c r="N370" s="80">
        <f t="shared" si="186"/>
        <v>0</v>
      </c>
      <c r="O370" s="80">
        <f t="shared" si="186"/>
        <v>0</v>
      </c>
      <c r="P370" s="80">
        <f t="shared" si="186"/>
        <v>11567100.460000001</v>
      </c>
      <c r="Q370" s="260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  <c r="HE370" s="115"/>
      <c r="HF370" s="115"/>
      <c r="HG370" s="115"/>
      <c r="HH370" s="115"/>
      <c r="HI370" s="115"/>
      <c r="HJ370" s="115"/>
      <c r="HK370" s="115"/>
      <c r="HL370" s="115"/>
      <c r="HM370" s="115"/>
      <c r="HN370" s="115"/>
      <c r="HO370" s="115"/>
      <c r="HP370" s="115"/>
      <c r="HQ370" s="115"/>
      <c r="HR370" s="115"/>
      <c r="HS370" s="115"/>
      <c r="HT370" s="115"/>
      <c r="HU370" s="115"/>
      <c r="HV370" s="115"/>
      <c r="HW370" s="115"/>
      <c r="HX370" s="115"/>
      <c r="HY370" s="115"/>
      <c r="HZ370" s="115"/>
      <c r="IA370" s="115"/>
      <c r="IB370" s="115"/>
      <c r="IC370" s="115"/>
      <c r="ID370" s="115"/>
      <c r="IE370" s="115"/>
      <c r="IF370" s="115"/>
      <c r="IG370" s="115"/>
      <c r="IH370" s="115"/>
      <c r="II370" s="115"/>
      <c r="IJ370" s="115"/>
      <c r="IK370" s="115"/>
      <c r="IL370" s="115"/>
      <c r="IM370" s="115"/>
      <c r="IN370" s="115"/>
      <c r="IO370" s="115"/>
      <c r="IP370" s="115"/>
      <c r="IQ370" s="115"/>
      <c r="IR370" s="115"/>
      <c r="IS370" s="115"/>
      <c r="IT370" s="115"/>
      <c r="IU370" s="115"/>
      <c r="IV370" s="115"/>
      <c r="IW370" s="115"/>
      <c r="IX370" s="115"/>
      <c r="IY370" s="115"/>
      <c r="IZ370" s="115"/>
      <c r="JA370" s="115"/>
      <c r="JB370" s="115"/>
      <c r="JC370" s="115"/>
      <c r="JD370" s="115"/>
      <c r="JE370" s="115"/>
      <c r="JF370" s="115"/>
      <c r="JG370" s="115"/>
      <c r="JH370" s="115"/>
      <c r="JI370" s="115"/>
      <c r="JJ370" s="115"/>
      <c r="JK370" s="115"/>
      <c r="JL370" s="115"/>
      <c r="JM370" s="115"/>
      <c r="JN370" s="115"/>
      <c r="JO370" s="115"/>
      <c r="JP370" s="115"/>
      <c r="JQ370" s="115"/>
      <c r="JR370" s="115"/>
      <c r="JS370" s="115"/>
      <c r="JT370" s="115"/>
      <c r="JU370" s="115"/>
      <c r="JV370" s="115"/>
      <c r="JW370" s="115"/>
      <c r="JX370" s="115"/>
      <c r="JY370" s="115"/>
      <c r="JZ370" s="115"/>
      <c r="KA370" s="115"/>
      <c r="KB370" s="115"/>
      <c r="KC370" s="115"/>
      <c r="KD370" s="115"/>
      <c r="KE370" s="115"/>
      <c r="KF370" s="115"/>
      <c r="KG370" s="115"/>
      <c r="KH370" s="115"/>
      <c r="KI370" s="115"/>
      <c r="KJ370" s="115"/>
      <c r="KK370" s="115"/>
      <c r="KL370" s="115"/>
      <c r="KM370" s="115"/>
      <c r="KN370" s="115"/>
      <c r="KO370" s="115"/>
      <c r="KP370" s="115"/>
      <c r="KQ370" s="115"/>
      <c r="KR370" s="115"/>
      <c r="KS370" s="115"/>
      <c r="KT370" s="115"/>
      <c r="KU370" s="115"/>
      <c r="KV370" s="115"/>
      <c r="KW370" s="115"/>
      <c r="KX370" s="115"/>
      <c r="KY370" s="115"/>
      <c r="KZ370" s="115"/>
      <c r="LA370" s="115"/>
      <c r="LB370" s="115"/>
      <c r="LC370" s="115"/>
      <c r="LD370" s="115"/>
      <c r="LE370" s="115"/>
      <c r="LF370" s="115"/>
      <c r="LG370" s="115"/>
      <c r="LH370" s="115"/>
      <c r="LI370" s="115"/>
      <c r="LJ370" s="115"/>
      <c r="LK370" s="115"/>
      <c r="LL370" s="115"/>
      <c r="LM370" s="115"/>
      <c r="LN370" s="115"/>
      <c r="LO370" s="115"/>
      <c r="LP370" s="115"/>
      <c r="LQ370" s="115"/>
      <c r="LR370" s="115"/>
      <c r="LS370" s="115"/>
      <c r="LT370" s="115"/>
      <c r="LU370" s="115"/>
      <c r="LV370" s="115"/>
      <c r="LW370" s="115"/>
      <c r="LX370" s="115"/>
      <c r="LY370" s="115"/>
      <c r="LZ370" s="115"/>
      <c r="MA370" s="115"/>
      <c r="MB370" s="115"/>
      <c r="MC370" s="115"/>
      <c r="MD370" s="115"/>
      <c r="ME370" s="115"/>
      <c r="MF370" s="115"/>
      <c r="MG370" s="115"/>
      <c r="MH370" s="115"/>
      <c r="MI370" s="115"/>
      <c r="MJ370" s="115"/>
      <c r="MK370" s="115"/>
      <c r="ML370" s="115"/>
      <c r="MM370" s="115"/>
      <c r="MN370" s="115"/>
      <c r="MO370" s="115"/>
      <c r="MP370" s="115"/>
      <c r="MQ370" s="115"/>
      <c r="MR370" s="115"/>
      <c r="MS370" s="115"/>
      <c r="MT370" s="115"/>
      <c r="MU370" s="115"/>
      <c r="MV370" s="115"/>
      <c r="MW370" s="115"/>
      <c r="MX370" s="115"/>
      <c r="MY370" s="115"/>
      <c r="MZ370" s="115"/>
      <c r="NA370" s="115"/>
      <c r="NB370" s="115"/>
      <c r="NC370" s="115"/>
      <c r="ND370" s="115"/>
      <c r="NE370" s="115"/>
      <c r="NF370" s="115"/>
      <c r="NG370" s="115"/>
      <c r="NH370" s="115"/>
      <c r="NI370" s="115"/>
      <c r="NJ370" s="115"/>
      <c r="NK370" s="115"/>
      <c r="NL370" s="115"/>
      <c r="NM370" s="115"/>
      <c r="NN370" s="115"/>
      <c r="NO370" s="115"/>
      <c r="NP370" s="115"/>
      <c r="NQ370" s="115"/>
      <c r="NR370" s="115"/>
      <c r="NS370" s="115"/>
      <c r="NT370" s="115"/>
      <c r="NU370" s="115"/>
      <c r="NV370" s="115"/>
      <c r="NW370" s="115"/>
      <c r="NX370" s="115"/>
      <c r="NY370" s="115"/>
      <c r="NZ370" s="115"/>
      <c r="OA370" s="115"/>
      <c r="OB370" s="115"/>
      <c r="OC370" s="115"/>
      <c r="OD370" s="115"/>
      <c r="OE370" s="115"/>
      <c r="OF370" s="115"/>
      <c r="OG370" s="115"/>
      <c r="OH370" s="115"/>
      <c r="OI370" s="115"/>
      <c r="OJ370" s="115"/>
      <c r="OK370" s="115"/>
      <c r="OL370" s="115"/>
      <c r="OM370" s="115"/>
      <c r="ON370" s="115"/>
      <c r="OO370" s="115"/>
      <c r="OP370" s="115"/>
      <c r="OQ370" s="115"/>
      <c r="OR370" s="115"/>
      <c r="OS370" s="115"/>
      <c r="OT370" s="115"/>
      <c r="OU370" s="115"/>
      <c r="OV370" s="115"/>
      <c r="OW370" s="115"/>
      <c r="OX370" s="115"/>
      <c r="OY370" s="115"/>
      <c r="OZ370" s="115"/>
      <c r="PA370" s="115"/>
      <c r="PB370" s="115"/>
      <c r="PC370" s="115"/>
      <c r="PD370" s="115"/>
      <c r="PE370" s="115"/>
      <c r="PF370" s="115"/>
      <c r="PG370" s="115"/>
      <c r="PH370" s="115"/>
      <c r="PI370" s="115"/>
      <c r="PJ370" s="115"/>
      <c r="PK370" s="115"/>
      <c r="PL370" s="115"/>
      <c r="PM370" s="115"/>
      <c r="PN370" s="115"/>
      <c r="PO370" s="115"/>
      <c r="PP370" s="115"/>
      <c r="PQ370" s="115"/>
      <c r="PR370" s="115"/>
      <c r="PS370" s="115"/>
      <c r="PT370" s="115"/>
      <c r="PU370" s="115"/>
      <c r="PV370" s="115"/>
      <c r="PW370" s="115"/>
      <c r="PX370" s="115"/>
      <c r="PY370" s="115"/>
      <c r="PZ370" s="115"/>
      <c r="QA370" s="115"/>
      <c r="QB370" s="115"/>
      <c r="QC370" s="115"/>
      <c r="QD370" s="115"/>
      <c r="QE370" s="115"/>
      <c r="QF370" s="115"/>
      <c r="QG370" s="115"/>
      <c r="QH370" s="115"/>
      <c r="QI370" s="115"/>
      <c r="QJ370" s="115"/>
      <c r="QK370" s="115"/>
      <c r="QL370" s="115"/>
      <c r="QM370" s="115"/>
      <c r="QN370" s="115"/>
      <c r="QO370" s="115"/>
      <c r="QP370" s="115"/>
      <c r="QQ370" s="115"/>
      <c r="QR370" s="115"/>
      <c r="QS370" s="115"/>
      <c r="QT370" s="115"/>
      <c r="QU370" s="115"/>
      <c r="QV370" s="115"/>
      <c r="QW370" s="115"/>
      <c r="QX370" s="115"/>
      <c r="QY370" s="115"/>
      <c r="QZ370" s="115"/>
      <c r="RA370" s="115"/>
      <c r="RB370" s="115"/>
      <c r="RC370" s="115"/>
      <c r="RD370" s="115"/>
      <c r="RE370" s="115"/>
      <c r="RF370" s="115"/>
      <c r="RG370" s="115"/>
      <c r="RH370" s="115"/>
      <c r="RI370" s="115"/>
      <c r="RJ370" s="115"/>
      <c r="RK370" s="115"/>
      <c r="RL370" s="115"/>
      <c r="RM370" s="115"/>
      <c r="RN370" s="115"/>
      <c r="RO370" s="115"/>
      <c r="RP370" s="115"/>
      <c r="RQ370" s="115"/>
      <c r="RR370" s="115"/>
      <c r="RS370" s="115"/>
      <c r="RT370" s="115"/>
      <c r="RU370" s="115"/>
      <c r="RV370" s="115"/>
      <c r="RW370" s="115"/>
      <c r="RX370" s="115"/>
      <c r="RY370" s="115"/>
      <c r="RZ370" s="115"/>
      <c r="SA370" s="115"/>
      <c r="SB370" s="115"/>
      <c r="SC370" s="115"/>
      <c r="SD370" s="115"/>
      <c r="SE370" s="115"/>
      <c r="SF370" s="115"/>
      <c r="SG370" s="115"/>
      <c r="SH370" s="115"/>
      <c r="SI370" s="115"/>
      <c r="SJ370" s="115"/>
      <c r="SK370" s="115"/>
      <c r="SL370" s="115"/>
      <c r="SM370" s="115"/>
      <c r="SN370" s="115"/>
      <c r="SO370" s="115"/>
      <c r="SP370" s="115"/>
      <c r="SQ370" s="115"/>
      <c r="SR370" s="115"/>
      <c r="SS370" s="115"/>
      <c r="ST370" s="115"/>
      <c r="SU370" s="115"/>
      <c r="SV370" s="115"/>
      <c r="SW370" s="115"/>
      <c r="SX370" s="115"/>
      <c r="SY370" s="115"/>
      <c r="SZ370" s="115"/>
      <c r="TA370" s="115"/>
      <c r="TB370" s="115"/>
      <c r="TC370" s="115"/>
      <c r="TD370" s="115"/>
      <c r="TE370" s="115"/>
    </row>
    <row r="371" spans="1:525" s="121" customFormat="1" ht="47.25" x14ac:dyDescent="0.25">
      <c r="A371" s="117" t="s">
        <v>680</v>
      </c>
      <c r="B371" s="118" t="str">
        <f>'дод 6'!A16</f>
        <v>0160</v>
      </c>
      <c r="C371" s="118" t="str">
        <f>'дод 6'!B16</f>
        <v>0111</v>
      </c>
      <c r="D371" s="153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71" s="81">
        <f>F371+I371</f>
        <v>11047100.460000001</v>
      </c>
      <c r="F371" s="81">
        <f>10047900+33100+1405300+36380.46+78600+101320-625800-35100+5400</f>
        <v>11047100.460000001</v>
      </c>
      <c r="G371" s="81">
        <f>7966500+1151900-513000-39000</f>
        <v>8566400</v>
      </c>
      <c r="H371" s="81">
        <f>122300+33100+5881.27+101320-35100+5400</f>
        <v>232901.27000000002</v>
      </c>
      <c r="I371" s="81"/>
      <c r="J371" s="81">
        <f>L371+O371</f>
        <v>0</v>
      </c>
      <c r="K371" s="81">
        <f>8000-8000</f>
        <v>0</v>
      </c>
      <c r="L371" s="81"/>
      <c r="M371" s="81"/>
      <c r="N371" s="81"/>
      <c r="O371" s="81">
        <f>8000-8000</f>
        <v>0</v>
      </c>
      <c r="P371" s="81">
        <f>E371+J371</f>
        <v>11047100.460000001</v>
      </c>
      <c r="Q371" s="26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1" customFormat="1" ht="31.5" x14ac:dyDescent="0.25">
      <c r="A372" s="117" t="s">
        <v>682</v>
      </c>
      <c r="B372" s="118" t="str">
        <f>'дод 6'!A238</f>
        <v>7610</v>
      </c>
      <c r="C372" s="118" t="str">
        <f>'дод 6'!B238</f>
        <v>0411</v>
      </c>
      <c r="D372" s="153" t="str">
        <f>'дод 6'!C238</f>
        <v>Сприяння розвитку малого та середнього підприємництва</v>
      </c>
      <c r="E372" s="81">
        <f>F372+I372</f>
        <v>520000</v>
      </c>
      <c r="F372" s="81">
        <f>270000-50000-50000</f>
        <v>170000</v>
      </c>
      <c r="G372" s="81"/>
      <c r="H372" s="81"/>
      <c r="I372" s="81">
        <f>250000+50000+50000</f>
        <v>350000</v>
      </c>
      <c r="J372" s="81">
        <f>L372+O372</f>
        <v>0</v>
      </c>
      <c r="K372" s="81">
        <f>8000-8000</f>
        <v>0</v>
      </c>
      <c r="L372" s="81"/>
      <c r="M372" s="81"/>
      <c r="N372" s="81"/>
      <c r="O372" s="81">
        <f>8000-8000</f>
        <v>0</v>
      </c>
      <c r="P372" s="81">
        <f>E372+J372</f>
        <v>520000</v>
      </c>
      <c r="Q372" s="26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  <c r="IW372" s="120"/>
      <c r="IX372" s="120"/>
      <c r="IY372" s="120"/>
      <c r="IZ372" s="120"/>
      <c r="JA372" s="120"/>
      <c r="JB372" s="120"/>
      <c r="JC372" s="120"/>
      <c r="JD372" s="120"/>
      <c r="JE372" s="120"/>
      <c r="JF372" s="120"/>
      <c r="JG372" s="120"/>
      <c r="JH372" s="120"/>
      <c r="JI372" s="120"/>
      <c r="JJ372" s="120"/>
      <c r="JK372" s="120"/>
      <c r="JL372" s="120"/>
      <c r="JM372" s="120"/>
      <c r="JN372" s="120"/>
      <c r="JO372" s="120"/>
      <c r="JP372" s="120"/>
      <c r="JQ372" s="120"/>
      <c r="JR372" s="120"/>
      <c r="JS372" s="120"/>
      <c r="JT372" s="120"/>
      <c r="JU372" s="120"/>
      <c r="JV372" s="120"/>
      <c r="JW372" s="120"/>
      <c r="JX372" s="120"/>
      <c r="JY372" s="120"/>
      <c r="JZ372" s="120"/>
      <c r="KA372" s="120"/>
      <c r="KB372" s="120"/>
      <c r="KC372" s="120"/>
      <c r="KD372" s="120"/>
      <c r="KE372" s="120"/>
      <c r="KF372" s="120"/>
      <c r="KG372" s="120"/>
      <c r="KH372" s="120"/>
      <c r="KI372" s="120"/>
      <c r="KJ372" s="120"/>
      <c r="KK372" s="120"/>
      <c r="KL372" s="120"/>
      <c r="KM372" s="120"/>
      <c r="KN372" s="120"/>
      <c r="KO372" s="120"/>
      <c r="KP372" s="120"/>
      <c r="KQ372" s="120"/>
      <c r="KR372" s="120"/>
      <c r="KS372" s="120"/>
      <c r="KT372" s="120"/>
      <c r="KU372" s="120"/>
      <c r="KV372" s="120"/>
      <c r="KW372" s="120"/>
      <c r="KX372" s="120"/>
      <c r="KY372" s="120"/>
      <c r="KZ372" s="120"/>
      <c r="LA372" s="120"/>
      <c r="LB372" s="120"/>
      <c r="LC372" s="120"/>
      <c r="LD372" s="120"/>
      <c r="LE372" s="120"/>
      <c r="LF372" s="120"/>
      <c r="LG372" s="120"/>
      <c r="LH372" s="120"/>
      <c r="LI372" s="120"/>
      <c r="LJ372" s="120"/>
      <c r="LK372" s="120"/>
      <c r="LL372" s="120"/>
      <c r="LM372" s="120"/>
      <c r="LN372" s="120"/>
      <c r="LO372" s="120"/>
      <c r="LP372" s="120"/>
      <c r="LQ372" s="120"/>
      <c r="LR372" s="120"/>
      <c r="LS372" s="120"/>
      <c r="LT372" s="120"/>
      <c r="LU372" s="120"/>
      <c r="LV372" s="120"/>
      <c r="LW372" s="120"/>
      <c r="LX372" s="120"/>
      <c r="LY372" s="120"/>
      <c r="LZ372" s="120"/>
      <c r="MA372" s="120"/>
      <c r="MB372" s="120"/>
      <c r="MC372" s="120"/>
      <c r="MD372" s="120"/>
      <c r="ME372" s="120"/>
      <c r="MF372" s="120"/>
      <c r="MG372" s="120"/>
      <c r="MH372" s="120"/>
      <c r="MI372" s="120"/>
      <c r="MJ372" s="120"/>
      <c r="MK372" s="120"/>
      <c r="ML372" s="120"/>
      <c r="MM372" s="120"/>
      <c r="MN372" s="120"/>
      <c r="MO372" s="120"/>
      <c r="MP372" s="120"/>
      <c r="MQ372" s="120"/>
      <c r="MR372" s="120"/>
      <c r="MS372" s="120"/>
      <c r="MT372" s="120"/>
      <c r="MU372" s="120"/>
      <c r="MV372" s="120"/>
      <c r="MW372" s="120"/>
      <c r="MX372" s="120"/>
      <c r="MY372" s="120"/>
      <c r="MZ372" s="120"/>
      <c r="NA372" s="120"/>
      <c r="NB372" s="120"/>
      <c r="NC372" s="120"/>
      <c r="ND372" s="120"/>
      <c r="NE372" s="120"/>
      <c r="NF372" s="120"/>
      <c r="NG372" s="120"/>
      <c r="NH372" s="120"/>
      <c r="NI372" s="120"/>
      <c r="NJ372" s="120"/>
      <c r="NK372" s="120"/>
      <c r="NL372" s="120"/>
      <c r="NM372" s="120"/>
      <c r="NN372" s="120"/>
      <c r="NO372" s="120"/>
      <c r="NP372" s="120"/>
      <c r="NQ372" s="120"/>
      <c r="NR372" s="120"/>
      <c r="NS372" s="120"/>
      <c r="NT372" s="120"/>
      <c r="NU372" s="120"/>
      <c r="NV372" s="120"/>
      <c r="NW372" s="120"/>
      <c r="NX372" s="120"/>
      <c r="NY372" s="120"/>
      <c r="NZ372" s="120"/>
      <c r="OA372" s="120"/>
      <c r="OB372" s="120"/>
      <c r="OC372" s="120"/>
      <c r="OD372" s="120"/>
      <c r="OE372" s="120"/>
      <c r="OF372" s="120"/>
      <c r="OG372" s="120"/>
      <c r="OH372" s="120"/>
      <c r="OI372" s="120"/>
      <c r="OJ372" s="120"/>
      <c r="OK372" s="120"/>
      <c r="OL372" s="120"/>
      <c r="OM372" s="120"/>
      <c r="ON372" s="120"/>
      <c r="OO372" s="120"/>
      <c r="OP372" s="120"/>
      <c r="OQ372" s="120"/>
      <c r="OR372" s="120"/>
      <c r="OS372" s="120"/>
      <c r="OT372" s="120"/>
      <c r="OU372" s="120"/>
      <c r="OV372" s="120"/>
      <c r="OW372" s="120"/>
      <c r="OX372" s="120"/>
      <c r="OY372" s="120"/>
      <c r="OZ372" s="120"/>
      <c r="PA372" s="120"/>
      <c r="PB372" s="120"/>
      <c r="PC372" s="120"/>
      <c r="PD372" s="120"/>
      <c r="PE372" s="120"/>
      <c r="PF372" s="120"/>
      <c r="PG372" s="120"/>
      <c r="PH372" s="120"/>
      <c r="PI372" s="120"/>
      <c r="PJ372" s="120"/>
      <c r="PK372" s="120"/>
      <c r="PL372" s="120"/>
      <c r="PM372" s="120"/>
      <c r="PN372" s="120"/>
      <c r="PO372" s="120"/>
      <c r="PP372" s="120"/>
      <c r="PQ372" s="120"/>
      <c r="PR372" s="120"/>
      <c r="PS372" s="120"/>
      <c r="PT372" s="120"/>
      <c r="PU372" s="120"/>
      <c r="PV372" s="120"/>
      <c r="PW372" s="120"/>
      <c r="PX372" s="120"/>
      <c r="PY372" s="120"/>
      <c r="PZ372" s="120"/>
      <c r="QA372" s="120"/>
      <c r="QB372" s="120"/>
      <c r="QC372" s="120"/>
      <c r="QD372" s="120"/>
      <c r="QE372" s="120"/>
      <c r="QF372" s="120"/>
      <c r="QG372" s="120"/>
      <c r="QH372" s="120"/>
      <c r="QI372" s="120"/>
      <c r="QJ372" s="120"/>
      <c r="QK372" s="120"/>
      <c r="QL372" s="120"/>
      <c r="QM372" s="120"/>
      <c r="QN372" s="120"/>
      <c r="QO372" s="120"/>
      <c r="QP372" s="120"/>
      <c r="QQ372" s="120"/>
      <c r="QR372" s="120"/>
      <c r="QS372" s="120"/>
      <c r="QT372" s="120"/>
      <c r="QU372" s="120"/>
      <c r="QV372" s="120"/>
      <c r="QW372" s="120"/>
      <c r="QX372" s="120"/>
      <c r="QY372" s="120"/>
      <c r="QZ372" s="120"/>
      <c r="RA372" s="120"/>
      <c r="RB372" s="120"/>
      <c r="RC372" s="120"/>
      <c r="RD372" s="120"/>
      <c r="RE372" s="120"/>
      <c r="RF372" s="120"/>
      <c r="RG372" s="120"/>
      <c r="RH372" s="120"/>
      <c r="RI372" s="120"/>
      <c r="RJ372" s="120"/>
      <c r="RK372" s="120"/>
      <c r="RL372" s="120"/>
      <c r="RM372" s="120"/>
      <c r="RN372" s="120"/>
      <c r="RO372" s="120"/>
      <c r="RP372" s="120"/>
      <c r="RQ372" s="120"/>
      <c r="RR372" s="120"/>
      <c r="RS372" s="120"/>
      <c r="RT372" s="120"/>
      <c r="RU372" s="120"/>
      <c r="RV372" s="120"/>
      <c r="RW372" s="120"/>
      <c r="RX372" s="120"/>
      <c r="RY372" s="120"/>
      <c r="RZ372" s="120"/>
      <c r="SA372" s="120"/>
      <c r="SB372" s="120"/>
      <c r="SC372" s="120"/>
      <c r="SD372" s="120"/>
      <c r="SE372" s="120"/>
      <c r="SF372" s="120"/>
      <c r="SG372" s="120"/>
      <c r="SH372" s="120"/>
      <c r="SI372" s="120"/>
      <c r="SJ372" s="120"/>
      <c r="SK372" s="120"/>
      <c r="SL372" s="120"/>
      <c r="SM372" s="120"/>
      <c r="SN372" s="120"/>
      <c r="SO372" s="120"/>
      <c r="SP372" s="120"/>
      <c r="SQ372" s="120"/>
      <c r="SR372" s="120"/>
      <c r="SS372" s="120"/>
      <c r="ST372" s="120"/>
      <c r="SU372" s="120"/>
      <c r="SV372" s="120"/>
      <c r="SW372" s="120"/>
      <c r="SX372" s="120"/>
      <c r="SY372" s="120"/>
      <c r="SZ372" s="120"/>
      <c r="TA372" s="120"/>
      <c r="TB372" s="120"/>
      <c r="TC372" s="120"/>
      <c r="TD372" s="120"/>
      <c r="TE372" s="120"/>
    </row>
    <row r="373" spans="1:525" s="111" customFormat="1" ht="33.75" hidden="1" customHeight="1" x14ac:dyDescent="0.25">
      <c r="A373" s="142" t="s">
        <v>210</v>
      </c>
      <c r="B373" s="148"/>
      <c r="C373" s="148"/>
      <c r="D373" s="138" t="s">
        <v>38</v>
      </c>
      <c r="E373" s="79">
        <f>E374</f>
        <v>0</v>
      </c>
      <c r="F373" s="79">
        <f t="shared" ref="F373:J373" si="187">F374</f>
        <v>0</v>
      </c>
      <c r="G373" s="79">
        <f t="shared" si="187"/>
        <v>0</v>
      </c>
      <c r="H373" s="79">
        <f t="shared" si="187"/>
        <v>0</v>
      </c>
      <c r="I373" s="79">
        <f t="shared" si="187"/>
        <v>0</v>
      </c>
      <c r="J373" s="79">
        <f t="shared" si="187"/>
        <v>0</v>
      </c>
      <c r="K373" s="79">
        <f t="shared" ref="K373" si="188">K374</f>
        <v>0</v>
      </c>
      <c r="L373" s="79">
        <f t="shared" ref="L373" si="189">L374</f>
        <v>0</v>
      </c>
      <c r="M373" s="79">
        <f t="shared" ref="M373" si="190">M374</f>
        <v>0</v>
      </c>
      <c r="N373" s="79">
        <f t="shared" ref="N373" si="191">N374</f>
        <v>0</v>
      </c>
      <c r="O373" s="79">
        <f t="shared" ref="O373" si="192">O374</f>
        <v>0</v>
      </c>
      <c r="P373" s="79">
        <f>P374</f>
        <v>0</v>
      </c>
      <c r="Q373" s="26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10"/>
      <c r="EW373" s="110"/>
      <c r="EX373" s="110"/>
      <c r="EY373" s="110"/>
      <c r="EZ373" s="110"/>
      <c r="FA373" s="110"/>
      <c r="FB373" s="110"/>
      <c r="FC373" s="110"/>
      <c r="FD373" s="110"/>
      <c r="FE373" s="110"/>
      <c r="FF373" s="110"/>
      <c r="FG373" s="110"/>
      <c r="FH373" s="110"/>
      <c r="FI373" s="110"/>
      <c r="FJ373" s="110"/>
      <c r="FK373" s="110"/>
      <c r="FL373" s="110"/>
      <c r="FM373" s="110"/>
      <c r="FN373" s="110"/>
      <c r="FO373" s="110"/>
      <c r="FP373" s="110"/>
      <c r="FQ373" s="110"/>
      <c r="FR373" s="110"/>
      <c r="FS373" s="110"/>
      <c r="FT373" s="110"/>
      <c r="FU373" s="110"/>
      <c r="FV373" s="110"/>
      <c r="FW373" s="110"/>
      <c r="FX373" s="110"/>
      <c r="FY373" s="110"/>
      <c r="FZ373" s="110"/>
      <c r="GA373" s="110"/>
      <c r="GB373" s="110"/>
      <c r="GC373" s="110"/>
      <c r="GD373" s="110"/>
      <c r="GE373" s="110"/>
      <c r="GF373" s="110"/>
      <c r="GG373" s="110"/>
      <c r="GH373" s="110"/>
      <c r="GI373" s="110"/>
      <c r="GJ373" s="110"/>
      <c r="GK373" s="110"/>
      <c r="GL373" s="110"/>
      <c r="GM373" s="110"/>
      <c r="GN373" s="110"/>
      <c r="GO373" s="110"/>
      <c r="GP373" s="110"/>
      <c r="GQ373" s="110"/>
      <c r="GR373" s="110"/>
      <c r="GS373" s="110"/>
      <c r="GT373" s="110"/>
      <c r="GU373" s="110"/>
      <c r="GV373" s="110"/>
      <c r="GW373" s="110"/>
      <c r="GX373" s="110"/>
      <c r="GY373" s="110"/>
      <c r="GZ373" s="110"/>
      <c r="HA373" s="110"/>
      <c r="HB373" s="110"/>
      <c r="HC373" s="110"/>
      <c r="HD373" s="110"/>
      <c r="HE373" s="110"/>
      <c r="HF373" s="110"/>
      <c r="HG373" s="110"/>
      <c r="HH373" s="110"/>
      <c r="HI373" s="110"/>
      <c r="HJ373" s="110"/>
      <c r="HK373" s="110"/>
      <c r="HL373" s="110"/>
      <c r="HM373" s="110"/>
      <c r="HN373" s="110"/>
      <c r="HO373" s="110"/>
      <c r="HP373" s="110"/>
      <c r="HQ373" s="110"/>
      <c r="HR373" s="110"/>
      <c r="HS373" s="110"/>
      <c r="HT373" s="110"/>
      <c r="HU373" s="110"/>
      <c r="HV373" s="110"/>
      <c r="HW373" s="110"/>
      <c r="HX373" s="110"/>
      <c r="HY373" s="110"/>
      <c r="HZ373" s="110"/>
      <c r="IA373" s="110"/>
      <c r="IB373" s="110"/>
      <c r="IC373" s="110"/>
      <c r="ID373" s="110"/>
      <c r="IE373" s="110"/>
      <c r="IF373" s="110"/>
      <c r="IG373" s="110"/>
      <c r="IH373" s="110"/>
      <c r="II373" s="110"/>
      <c r="IJ373" s="110"/>
      <c r="IK373" s="110"/>
      <c r="IL373" s="110"/>
      <c r="IM373" s="110"/>
      <c r="IN373" s="110"/>
      <c r="IO373" s="110"/>
      <c r="IP373" s="110"/>
      <c r="IQ373" s="110"/>
      <c r="IR373" s="110"/>
      <c r="IS373" s="110"/>
      <c r="IT373" s="110"/>
      <c r="IU373" s="110"/>
      <c r="IV373" s="110"/>
      <c r="IW373" s="110"/>
      <c r="IX373" s="110"/>
      <c r="IY373" s="110"/>
      <c r="IZ373" s="110"/>
      <c r="JA373" s="110"/>
      <c r="JB373" s="110"/>
      <c r="JC373" s="110"/>
      <c r="JD373" s="110"/>
      <c r="JE373" s="110"/>
      <c r="JF373" s="110"/>
      <c r="JG373" s="110"/>
      <c r="JH373" s="110"/>
      <c r="JI373" s="110"/>
      <c r="JJ373" s="110"/>
      <c r="JK373" s="110"/>
      <c r="JL373" s="110"/>
      <c r="JM373" s="110"/>
      <c r="JN373" s="110"/>
      <c r="JO373" s="110"/>
      <c r="JP373" s="110"/>
      <c r="JQ373" s="110"/>
      <c r="JR373" s="110"/>
      <c r="JS373" s="110"/>
      <c r="JT373" s="110"/>
      <c r="JU373" s="110"/>
      <c r="JV373" s="110"/>
      <c r="JW373" s="110"/>
      <c r="JX373" s="110"/>
      <c r="JY373" s="110"/>
      <c r="JZ373" s="110"/>
      <c r="KA373" s="110"/>
      <c r="KB373" s="110"/>
      <c r="KC373" s="110"/>
      <c r="KD373" s="110"/>
      <c r="KE373" s="110"/>
      <c r="KF373" s="110"/>
      <c r="KG373" s="110"/>
      <c r="KH373" s="110"/>
      <c r="KI373" s="110"/>
      <c r="KJ373" s="110"/>
      <c r="KK373" s="110"/>
      <c r="KL373" s="110"/>
      <c r="KM373" s="110"/>
      <c r="KN373" s="110"/>
      <c r="KO373" s="110"/>
      <c r="KP373" s="110"/>
      <c r="KQ373" s="110"/>
      <c r="KR373" s="110"/>
      <c r="KS373" s="110"/>
      <c r="KT373" s="110"/>
      <c r="KU373" s="110"/>
      <c r="KV373" s="110"/>
      <c r="KW373" s="110"/>
      <c r="KX373" s="110"/>
      <c r="KY373" s="110"/>
      <c r="KZ373" s="110"/>
      <c r="LA373" s="110"/>
      <c r="LB373" s="110"/>
      <c r="LC373" s="110"/>
      <c r="LD373" s="110"/>
      <c r="LE373" s="110"/>
      <c r="LF373" s="110"/>
      <c r="LG373" s="110"/>
      <c r="LH373" s="110"/>
      <c r="LI373" s="110"/>
      <c r="LJ373" s="110"/>
      <c r="LK373" s="110"/>
      <c r="LL373" s="110"/>
      <c r="LM373" s="110"/>
      <c r="LN373" s="110"/>
      <c r="LO373" s="110"/>
      <c r="LP373" s="110"/>
      <c r="LQ373" s="110"/>
      <c r="LR373" s="110"/>
      <c r="LS373" s="110"/>
      <c r="LT373" s="110"/>
      <c r="LU373" s="110"/>
      <c r="LV373" s="110"/>
      <c r="LW373" s="110"/>
      <c r="LX373" s="110"/>
      <c r="LY373" s="110"/>
      <c r="LZ373" s="110"/>
      <c r="MA373" s="110"/>
      <c r="MB373" s="110"/>
      <c r="MC373" s="110"/>
      <c r="MD373" s="110"/>
      <c r="ME373" s="110"/>
      <c r="MF373" s="110"/>
      <c r="MG373" s="110"/>
      <c r="MH373" s="110"/>
      <c r="MI373" s="110"/>
      <c r="MJ373" s="110"/>
      <c r="MK373" s="110"/>
      <c r="ML373" s="110"/>
      <c r="MM373" s="110"/>
      <c r="MN373" s="110"/>
      <c r="MO373" s="110"/>
      <c r="MP373" s="110"/>
      <c r="MQ373" s="110"/>
      <c r="MR373" s="110"/>
      <c r="MS373" s="110"/>
      <c r="MT373" s="110"/>
      <c r="MU373" s="110"/>
      <c r="MV373" s="110"/>
      <c r="MW373" s="110"/>
      <c r="MX373" s="110"/>
      <c r="MY373" s="110"/>
      <c r="MZ373" s="110"/>
      <c r="NA373" s="110"/>
      <c r="NB373" s="110"/>
      <c r="NC373" s="110"/>
      <c r="ND373" s="110"/>
      <c r="NE373" s="110"/>
      <c r="NF373" s="110"/>
      <c r="NG373" s="110"/>
      <c r="NH373" s="110"/>
      <c r="NI373" s="110"/>
      <c r="NJ373" s="110"/>
      <c r="NK373" s="110"/>
      <c r="NL373" s="110"/>
      <c r="NM373" s="110"/>
      <c r="NN373" s="110"/>
      <c r="NO373" s="110"/>
      <c r="NP373" s="110"/>
      <c r="NQ373" s="110"/>
      <c r="NR373" s="110"/>
      <c r="NS373" s="110"/>
      <c r="NT373" s="110"/>
      <c r="NU373" s="110"/>
      <c r="NV373" s="110"/>
      <c r="NW373" s="110"/>
      <c r="NX373" s="110"/>
      <c r="NY373" s="110"/>
      <c r="NZ373" s="110"/>
      <c r="OA373" s="110"/>
      <c r="OB373" s="110"/>
      <c r="OC373" s="110"/>
      <c r="OD373" s="110"/>
      <c r="OE373" s="110"/>
      <c r="OF373" s="110"/>
      <c r="OG373" s="110"/>
      <c r="OH373" s="110"/>
      <c r="OI373" s="110"/>
      <c r="OJ373" s="110"/>
      <c r="OK373" s="110"/>
      <c r="OL373" s="110"/>
      <c r="OM373" s="110"/>
      <c r="ON373" s="110"/>
      <c r="OO373" s="110"/>
      <c r="OP373" s="110"/>
      <c r="OQ373" s="110"/>
      <c r="OR373" s="110"/>
      <c r="OS373" s="110"/>
      <c r="OT373" s="110"/>
      <c r="OU373" s="110"/>
      <c r="OV373" s="110"/>
      <c r="OW373" s="110"/>
      <c r="OX373" s="110"/>
      <c r="OY373" s="110"/>
      <c r="OZ373" s="110"/>
      <c r="PA373" s="110"/>
      <c r="PB373" s="110"/>
      <c r="PC373" s="110"/>
      <c r="PD373" s="110"/>
      <c r="PE373" s="110"/>
      <c r="PF373" s="110"/>
      <c r="PG373" s="110"/>
      <c r="PH373" s="110"/>
      <c r="PI373" s="110"/>
      <c r="PJ373" s="110"/>
      <c r="PK373" s="110"/>
      <c r="PL373" s="110"/>
      <c r="PM373" s="110"/>
      <c r="PN373" s="110"/>
      <c r="PO373" s="110"/>
      <c r="PP373" s="110"/>
      <c r="PQ373" s="110"/>
      <c r="PR373" s="110"/>
      <c r="PS373" s="110"/>
      <c r="PT373" s="110"/>
      <c r="PU373" s="110"/>
      <c r="PV373" s="110"/>
      <c r="PW373" s="110"/>
      <c r="PX373" s="110"/>
      <c r="PY373" s="110"/>
      <c r="PZ373" s="110"/>
      <c r="QA373" s="110"/>
      <c r="QB373" s="110"/>
      <c r="QC373" s="110"/>
      <c r="QD373" s="110"/>
      <c r="QE373" s="110"/>
      <c r="QF373" s="110"/>
      <c r="QG373" s="110"/>
      <c r="QH373" s="110"/>
      <c r="QI373" s="110"/>
      <c r="QJ373" s="110"/>
      <c r="QK373" s="110"/>
      <c r="QL373" s="110"/>
      <c r="QM373" s="110"/>
      <c r="QN373" s="110"/>
      <c r="QO373" s="110"/>
      <c r="QP373" s="110"/>
      <c r="QQ373" s="110"/>
      <c r="QR373" s="110"/>
      <c r="QS373" s="110"/>
      <c r="QT373" s="110"/>
      <c r="QU373" s="110"/>
      <c r="QV373" s="110"/>
      <c r="QW373" s="110"/>
      <c r="QX373" s="110"/>
      <c r="QY373" s="110"/>
      <c r="QZ373" s="110"/>
      <c r="RA373" s="110"/>
      <c r="RB373" s="110"/>
      <c r="RC373" s="110"/>
      <c r="RD373" s="110"/>
      <c r="RE373" s="110"/>
      <c r="RF373" s="110"/>
      <c r="RG373" s="110"/>
      <c r="RH373" s="110"/>
      <c r="RI373" s="110"/>
      <c r="RJ373" s="110"/>
      <c r="RK373" s="110"/>
      <c r="RL373" s="110"/>
      <c r="RM373" s="110"/>
      <c r="RN373" s="110"/>
      <c r="RO373" s="110"/>
      <c r="RP373" s="110"/>
      <c r="RQ373" s="110"/>
      <c r="RR373" s="110"/>
      <c r="RS373" s="110"/>
      <c r="RT373" s="110"/>
      <c r="RU373" s="110"/>
      <c r="RV373" s="110"/>
      <c r="RW373" s="110"/>
      <c r="RX373" s="110"/>
      <c r="RY373" s="110"/>
      <c r="RZ373" s="110"/>
      <c r="SA373" s="110"/>
      <c r="SB373" s="110"/>
      <c r="SC373" s="110"/>
      <c r="SD373" s="110"/>
      <c r="SE373" s="110"/>
      <c r="SF373" s="110"/>
      <c r="SG373" s="110"/>
      <c r="SH373" s="110"/>
      <c r="SI373" s="110"/>
      <c r="SJ373" s="110"/>
      <c r="SK373" s="110"/>
      <c r="SL373" s="110"/>
      <c r="SM373" s="110"/>
      <c r="SN373" s="110"/>
      <c r="SO373" s="110"/>
      <c r="SP373" s="110"/>
      <c r="SQ373" s="110"/>
      <c r="SR373" s="110"/>
      <c r="SS373" s="110"/>
      <c r="ST373" s="110"/>
      <c r="SU373" s="110"/>
      <c r="SV373" s="110"/>
      <c r="SW373" s="110"/>
      <c r="SX373" s="110"/>
      <c r="SY373" s="110"/>
      <c r="SZ373" s="110"/>
      <c r="TA373" s="110"/>
      <c r="TB373" s="110"/>
      <c r="TC373" s="110"/>
      <c r="TD373" s="110"/>
      <c r="TE373" s="110"/>
    </row>
    <row r="374" spans="1:525" s="116" customFormat="1" ht="32.25" hidden="1" customHeight="1" x14ac:dyDescent="0.25">
      <c r="A374" s="112" t="s">
        <v>211</v>
      </c>
      <c r="B374" s="141"/>
      <c r="C374" s="141"/>
      <c r="D374" s="114" t="s">
        <v>38</v>
      </c>
      <c r="E374" s="80">
        <f>E375+E376++E377+E378+E379+E380</f>
        <v>0</v>
      </c>
      <c r="F374" s="80">
        <f t="shared" ref="F374:P374" si="193">F375+F376++F377+F378+F379+F380</f>
        <v>0</v>
      </c>
      <c r="G374" s="80">
        <f t="shared" si="193"/>
        <v>0</v>
      </c>
      <c r="H374" s="80">
        <f t="shared" si="193"/>
        <v>0</v>
      </c>
      <c r="I374" s="80">
        <f t="shared" si="193"/>
        <v>0</v>
      </c>
      <c r="J374" s="80">
        <f t="shared" si="193"/>
        <v>0</v>
      </c>
      <c r="K374" s="80">
        <f>K375+K376++K377+K378+K379+K380</f>
        <v>0</v>
      </c>
      <c r="L374" s="80">
        <f t="shared" si="193"/>
        <v>0</v>
      </c>
      <c r="M374" s="80">
        <f t="shared" si="193"/>
        <v>0</v>
      </c>
      <c r="N374" s="80">
        <f t="shared" si="193"/>
        <v>0</v>
      </c>
      <c r="O374" s="80">
        <f t="shared" si="193"/>
        <v>0</v>
      </c>
      <c r="P374" s="80">
        <f t="shared" si="193"/>
        <v>0</v>
      </c>
      <c r="Q374" s="260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  <c r="HE374" s="115"/>
      <c r="HF374" s="115"/>
      <c r="HG374" s="115"/>
      <c r="HH374" s="115"/>
      <c r="HI374" s="115"/>
      <c r="HJ374" s="115"/>
      <c r="HK374" s="115"/>
      <c r="HL374" s="115"/>
      <c r="HM374" s="115"/>
      <c r="HN374" s="115"/>
      <c r="HO374" s="115"/>
      <c r="HP374" s="115"/>
      <c r="HQ374" s="115"/>
      <c r="HR374" s="115"/>
      <c r="HS374" s="115"/>
      <c r="HT374" s="115"/>
      <c r="HU374" s="115"/>
      <c r="HV374" s="115"/>
      <c r="HW374" s="115"/>
      <c r="HX374" s="115"/>
      <c r="HY374" s="115"/>
      <c r="HZ374" s="115"/>
      <c r="IA374" s="115"/>
      <c r="IB374" s="115"/>
      <c r="IC374" s="115"/>
      <c r="ID374" s="115"/>
      <c r="IE374" s="115"/>
      <c r="IF374" s="115"/>
      <c r="IG374" s="115"/>
      <c r="IH374" s="115"/>
      <c r="II374" s="115"/>
      <c r="IJ374" s="115"/>
      <c r="IK374" s="115"/>
      <c r="IL374" s="115"/>
      <c r="IM374" s="115"/>
      <c r="IN374" s="115"/>
      <c r="IO374" s="115"/>
      <c r="IP374" s="115"/>
      <c r="IQ374" s="115"/>
      <c r="IR374" s="115"/>
      <c r="IS374" s="115"/>
      <c r="IT374" s="115"/>
      <c r="IU374" s="115"/>
      <c r="IV374" s="115"/>
      <c r="IW374" s="115"/>
      <c r="IX374" s="115"/>
      <c r="IY374" s="115"/>
      <c r="IZ374" s="115"/>
      <c r="JA374" s="115"/>
      <c r="JB374" s="115"/>
      <c r="JC374" s="115"/>
      <c r="JD374" s="115"/>
      <c r="JE374" s="115"/>
      <c r="JF374" s="115"/>
      <c r="JG374" s="115"/>
      <c r="JH374" s="115"/>
      <c r="JI374" s="115"/>
      <c r="JJ374" s="115"/>
      <c r="JK374" s="115"/>
      <c r="JL374" s="115"/>
      <c r="JM374" s="115"/>
      <c r="JN374" s="115"/>
      <c r="JO374" s="115"/>
      <c r="JP374" s="115"/>
      <c r="JQ374" s="115"/>
      <c r="JR374" s="115"/>
      <c r="JS374" s="115"/>
      <c r="JT374" s="115"/>
      <c r="JU374" s="115"/>
      <c r="JV374" s="115"/>
      <c r="JW374" s="115"/>
      <c r="JX374" s="115"/>
      <c r="JY374" s="115"/>
      <c r="JZ374" s="115"/>
      <c r="KA374" s="115"/>
      <c r="KB374" s="115"/>
      <c r="KC374" s="115"/>
      <c r="KD374" s="115"/>
      <c r="KE374" s="115"/>
      <c r="KF374" s="115"/>
      <c r="KG374" s="115"/>
      <c r="KH374" s="115"/>
      <c r="KI374" s="115"/>
      <c r="KJ374" s="115"/>
      <c r="KK374" s="115"/>
      <c r="KL374" s="115"/>
      <c r="KM374" s="115"/>
      <c r="KN374" s="115"/>
      <c r="KO374" s="115"/>
      <c r="KP374" s="115"/>
      <c r="KQ374" s="115"/>
      <c r="KR374" s="115"/>
      <c r="KS374" s="115"/>
      <c r="KT374" s="115"/>
      <c r="KU374" s="115"/>
      <c r="KV374" s="115"/>
      <c r="KW374" s="115"/>
      <c r="KX374" s="115"/>
      <c r="KY374" s="115"/>
      <c r="KZ374" s="115"/>
      <c r="LA374" s="115"/>
      <c r="LB374" s="115"/>
      <c r="LC374" s="115"/>
      <c r="LD374" s="115"/>
      <c r="LE374" s="115"/>
      <c r="LF374" s="115"/>
      <c r="LG374" s="115"/>
      <c r="LH374" s="115"/>
      <c r="LI374" s="115"/>
      <c r="LJ374" s="115"/>
      <c r="LK374" s="115"/>
      <c r="LL374" s="115"/>
      <c r="LM374" s="115"/>
      <c r="LN374" s="115"/>
      <c r="LO374" s="115"/>
      <c r="LP374" s="115"/>
      <c r="LQ374" s="115"/>
      <c r="LR374" s="115"/>
      <c r="LS374" s="115"/>
      <c r="LT374" s="115"/>
      <c r="LU374" s="115"/>
      <c r="LV374" s="115"/>
      <c r="LW374" s="115"/>
      <c r="LX374" s="115"/>
      <c r="LY374" s="115"/>
      <c r="LZ374" s="115"/>
      <c r="MA374" s="115"/>
      <c r="MB374" s="115"/>
      <c r="MC374" s="115"/>
      <c r="MD374" s="115"/>
      <c r="ME374" s="115"/>
      <c r="MF374" s="115"/>
      <c r="MG374" s="115"/>
      <c r="MH374" s="115"/>
      <c r="MI374" s="115"/>
      <c r="MJ374" s="115"/>
      <c r="MK374" s="115"/>
      <c r="ML374" s="115"/>
      <c r="MM374" s="115"/>
      <c r="MN374" s="115"/>
      <c r="MO374" s="115"/>
      <c r="MP374" s="115"/>
      <c r="MQ374" s="115"/>
      <c r="MR374" s="115"/>
      <c r="MS374" s="115"/>
      <c r="MT374" s="115"/>
      <c r="MU374" s="115"/>
      <c r="MV374" s="115"/>
      <c r="MW374" s="115"/>
      <c r="MX374" s="115"/>
      <c r="MY374" s="115"/>
      <c r="MZ374" s="115"/>
      <c r="NA374" s="115"/>
      <c r="NB374" s="115"/>
      <c r="NC374" s="115"/>
      <c r="ND374" s="115"/>
      <c r="NE374" s="115"/>
      <c r="NF374" s="115"/>
      <c r="NG374" s="115"/>
      <c r="NH374" s="115"/>
      <c r="NI374" s="115"/>
      <c r="NJ374" s="115"/>
      <c r="NK374" s="115"/>
      <c r="NL374" s="115"/>
      <c r="NM374" s="115"/>
      <c r="NN374" s="115"/>
      <c r="NO374" s="115"/>
      <c r="NP374" s="115"/>
      <c r="NQ374" s="115"/>
      <c r="NR374" s="115"/>
      <c r="NS374" s="115"/>
      <c r="NT374" s="115"/>
      <c r="NU374" s="115"/>
      <c r="NV374" s="115"/>
      <c r="NW374" s="115"/>
      <c r="NX374" s="115"/>
      <c r="NY374" s="115"/>
      <c r="NZ374" s="115"/>
      <c r="OA374" s="115"/>
      <c r="OB374" s="115"/>
      <c r="OC374" s="115"/>
      <c r="OD374" s="115"/>
      <c r="OE374" s="115"/>
      <c r="OF374" s="115"/>
      <c r="OG374" s="115"/>
      <c r="OH374" s="115"/>
      <c r="OI374" s="115"/>
      <c r="OJ374" s="115"/>
      <c r="OK374" s="115"/>
      <c r="OL374" s="115"/>
      <c r="OM374" s="115"/>
      <c r="ON374" s="115"/>
      <c r="OO374" s="115"/>
      <c r="OP374" s="115"/>
      <c r="OQ374" s="115"/>
      <c r="OR374" s="115"/>
      <c r="OS374" s="115"/>
      <c r="OT374" s="115"/>
      <c r="OU374" s="115"/>
      <c r="OV374" s="115"/>
      <c r="OW374" s="115"/>
      <c r="OX374" s="115"/>
      <c r="OY374" s="115"/>
      <c r="OZ374" s="115"/>
      <c r="PA374" s="115"/>
      <c r="PB374" s="115"/>
      <c r="PC374" s="115"/>
      <c r="PD374" s="115"/>
      <c r="PE374" s="115"/>
      <c r="PF374" s="115"/>
      <c r="PG374" s="115"/>
      <c r="PH374" s="115"/>
      <c r="PI374" s="115"/>
      <c r="PJ374" s="115"/>
      <c r="PK374" s="115"/>
      <c r="PL374" s="115"/>
      <c r="PM374" s="115"/>
      <c r="PN374" s="115"/>
      <c r="PO374" s="115"/>
      <c r="PP374" s="115"/>
      <c r="PQ374" s="115"/>
      <c r="PR374" s="115"/>
      <c r="PS374" s="115"/>
      <c r="PT374" s="115"/>
      <c r="PU374" s="115"/>
      <c r="PV374" s="115"/>
      <c r="PW374" s="115"/>
      <c r="PX374" s="115"/>
      <c r="PY374" s="115"/>
      <c r="PZ374" s="115"/>
      <c r="QA374" s="115"/>
      <c r="QB374" s="115"/>
      <c r="QC374" s="115"/>
      <c r="QD374" s="115"/>
      <c r="QE374" s="115"/>
      <c r="QF374" s="115"/>
      <c r="QG374" s="115"/>
      <c r="QH374" s="115"/>
      <c r="QI374" s="115"/>
      <c r="QJ374" s="115"/>
      <c r="QK374" s="115"/>
      <c r="QL374" s="115"/>
      <c r="QM374" s="115"/>
      <c r="QN374" s="115"/>
      <c r="QO374" s="115"/>
      <c r="QP374" s="115"/>
      <c r="QQ374" s="115"/>
      <c r="QR374" s="115"/>
      <c r="QS374" s="115"/>
      <c r="QT374" s="115"/>
      <c r="QU374" s="115"/>
      <c r="QV374" s="115"/>
      <c r="QW374" s="115"/>
      <c r="QX374" s="115"/>
      <c r="QY374" s="115"/>
      <c r="QZ374" s="115"/>
      <c r="RA374" s="115"/>
      <c r="RB374" s="115"/>
      <c r="RC374" s="115"/>
      <c r="RD374" s="115"/>
      <c r="RE374" s="115"/>
      <c r="RF374" s="115"/>
      <c r="RG374" s="115"/>
      <c r="RH374" s="115"/>
      <c r="RI374" s="115"/>
      <c r="RJ374" s="115"/>
      <c r="RK374" s="115"/>
      <c r="RL374" s="115"/>
      <c r="RM374" s="115"/>
      <c r="RN374" s="115"/>
      <c r="RO374" s="115"/>
      <c r="RP374" s="115"/>
      <c r="RQ374" s="115"/>
      <c r="RR374" s="115"/>
      <c r="RS374" s="115"/>
      <c r="RT374" s="115"/>
      <c r="RU374" s="115"/>
      <c r="RV374" s="115"/>
      <c r="RW374" s="115"/>
      <c r="RX374" s="115"/>
      <c r="RY374" s="115"/>
      <c r="RZ374" s="115"/>
      <c r="SA374" s="115"/>
      <c r="SB374" s="115"/>
      <c r="SC374" s="115"/>
      <c r="SD374" s="115"/>
      <c r="SE374" s="115"/>
      <c r="SF374" s="115"/>
      <c r="SG374" s="115"/>
      <c r="SH374" s="115"/>
      <c r="SI374" s="115"/>
      <c r="SJ374" s="115"/>
      <c r="SK374" s="115"/>
      <c r="SL374" s="115"/>
      <c r="SM374" s="115"/>
      <c r="SN374" s="115"/>
      <c r="SO374" s="115"/>
      <c r="SP374" s="115"/>
      <c r="SQ374" s="115"/>
      <c r="SR374" s="115"/>
      <c r="SS374" s="115"/>
      <c r="ST374" s="115"/>
      <c r="SU374" s="115"/>
      <c r="SV374" s="115"/>
      <c r="SW374" s="115"/>
      <c r="SX374" s="115"/>
      <c r="SY374" s="115"/>
      <c r="SZ374" s="115"/>
      <c r="TA374" s="115"/>
      <c r="TB374" s="115"/>
      <c r="TC374" s="115"/>
      <c r="TD374" s="115"/>
      <c r="TE374" s="115"/>
    </row>
    <row r="375" spans="1:525" s="121" customFormat="1" ht="50.25" hidden="1" customHeight="1" x14ac:dyDescent="0.25">
      <c r="A375" s="117" t="s">
        <v>212</v>
      </c>
      <c r="B375" s="118" t="str">
        <f>'дод 6'!A16</f>
        <v>0160</v>
      </c>
      <c r="C375" s="118" t="str">
        <f>'дод 6'!B16</f>
        <v>0111</v>
      </c>
      <c r="D375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75" s="81">
        <f t="shared" ref="E375:E380" si="194">F375+I375</f>
        <v>0</v>
      </c>
      <c r="F375" s="81">
        <f>2935400-2935400</f>
        <v>0</v>
      </c>
      <c r="G375" s="81">
        <f>2161900-2161900</f>
        <v>0</v>
      </c>
      <c r="H375" s="81">
        <f>209200-209200</f>
        <v>0</v>
      </c>
      <c r="I375" s="81"/>
      <c r="J375" s="81">
        <f>L375+O375</f>
        <v>0</v>
      </c>
      <c r="K375" s="81"/>
      <c r="L375" s="81"/>
      <c r="M375" s="81"/>
      <c r="N375" s="81"/>
      <c r="O375" s="81"/>
      <c r="P375" s="81">
        <f t="shared" ref="P375:P380" si="195">E375+J375</f>
        <v>0</v>
      </c>
      <c r="Q375" s="26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  <c r="IW375" s="120"/>
      <c r="IX375" s="120"/>
      <c r="IY375" s="120"/>
      <c r="IZ375" s="120"/>
      <c r="JA375" s="120"/>
      <c r="JB375" s="120"/>
      <c r="JC375" s="120"/>
      <c r="JD375" s="120"/>
      <c r="JE375" s="120"/>
      <c r="JF375" s="120"/>
      <c r="JG375" s="120"/>
      <c r="JH375" s="120"/>
      <c r="JI375" s="120"/>
      <c r="JJ375" s="120"/>
      <c r="JK375" s="120"/>
      <c r="JL375" s="120"/>
      <c r="JM375" s="120"/>
      <c r="JN375" s="120"/>
      <c r="JO375" s="120"/>
      <c r="JP375" s="120"/>
      <c r="JQ375" s="120"/>
      <c r="JR375" s="120"/>
      <c r="JS375" s="120"/>
      <c r="JT375" s="120"/>
      <c r="JU375" s="120"/>
      <c r="JV375" s="120"/>
      <c r="JW375" s="120"/>
      <c r="JX375" s="120"/>
      <c r="JY375" s="120"/>
      <c r="JZ375" s="120"/>
      <c r="KA375" s="120"/>
      <c r="KB375" s="120"/>
      <c r="KC375" s="120"/>
      <c r="KD375" s="120"/>
      <c r="KE375" s="120"/>
      <c r="KF375" s="120"/>
      <c r="KG375" s="120"/>
      <c r="KH375" s="120"/>
      <c r="KI375" s="120"/>
      <c r="KJ375" s="120"/>
      <c r="KK375" s="120"/>
      <c r="KL375" s="120"/>
      <c r="KM375" s="120"/>
      <c r="KN375" s="120"/>
      <c r="KO375" s="120"/>
      <c r="KP375" s="120"/>
      <c r="KQ375" s="120"/>
      <c r="KR375" s="120"/>
      <c r="KS375" s="120"/>
      <c r="KT375" s="120"/>
      <c r="KU375" s="120"/>
      <c r="KV375" s="120"/>
      <c r="KW375" s="120"/>
      <c r="KX375" s="120"/>
      <c r="KY375" s="120"/>
      <c r="KZ375" s="120"/>
      <c r="LA375" s="120"/>
      <c r="LB375" s="120"/>
      <c r="LC375" s="120"/>
      <c r="LD375" s="120"/>
      <c r="LE375" s="120"/>
      <c r="LF375" s="120"/>
      <c r="LG375" s="120"/>
      <c r="LH375" s="120"/>
      <c r="LI375" s="120"/>
      <c r="LJ375" s="120"/>
      <c r="LK375" s="120"/>
      <c r="LL375" s="120"/>
      <c r="LM375" s="120"/>
      <c r="LN375" s="120"/>
      <c r="LO375" s="120"/>
      <c r="LP375" s="120"/>
      <c r="LQ375" s="120"/>
      <c r="LR375" s="120"/>
      <c r="LS375" s="120"/>
      <c r="LT375" s="120"/>
      <c r="LU375" s="120"/>
      <c r="LV375" s="120"/>
      <c r="LW375" s="120"/>
      <c r="LX375" s="120"/>
      <c r="LY375" s="120"/>
      <c r="LZ375" s="120"/>
      <c r="MA375" s="120"/>
      <c r="MB375" s="120"/>
      <c r="MC375" s="120"/>
      <c r="MD375" s="120"/>
      <c r="ME375" s="120"/>
      <c r="MF375" s="120"/>
      <c r="MG375" s="120"/>
      <c r="MH375" s="120"/>
      <c r="MI375" s="120"/>
      <c r="MJ375" s="120"/>
      <c r="MK375" s="120"/>
      <c r="ML375" s="120"/>
      <c r="MM375" s="120"/>
      <c r="MN375" s="120"/>
      <c r="MO375" s="120"/>
      <c r="MP375" s="120"/>
      <c r="MQ375" s="120"/>
      <c r="MR375" s="120"/>
      <c r="MS375" s="120"/>
      <c r="MT375" s="120"/>
      <c r="MU375" s="120"/>
      <c r="MV375" s="120"/>
      <c r="MW375" s="120"/>
      <c r="MX375" s="120"/>
      <c r="MY375" s="120"/>
      <c r="MZ375" s="120"/>
      <c r="NA375" s="120"/>
      <c r="NB375" s="120"/>
      <c r="NC375" s="120"/>
      <c r="ND375" s="120"/>
      <c r="NE375" s="120"/>
      <c r="NF375" s="120"/>
      <c r="NG375" s="120"/>
      <c r="NH375" s="120"/>
      <c r="NI375" s="120"/>
      <c r="NJ375" s="120"/>
      <c r="NK375" s="120"/>
      <c r="NL375" s="120"/>
      <c r="NM375" s="120"/>
      <c r="NN375" s="120"/>
      <c r="NO375" s="120"/>
      <c r="NP375" s="120"/>
      <c r="NQ375" s="120"/>
      <c r="NR375" s="120"/>
      <c r="NS375" s="120"/>
      <c r="NT375" s="120"/>
      <c r="NU375" s="120"/>
      <c r="NV375" s="120"/>
      <c r="NW375" s="120"/>
      <c r="NX375" s="120"/>
      <c r="NY375" s="120"/>
      <c r="NZ375" s="120"/>
      <c r="OA375" s="120"/>
      <c r="OB375" s="120"/>
      <c r="OC375" s="120"/>
      <c r="OD375" s="120"/>
      <c r="OE375" s="120"/>
      <c r="OF375" s="120"/>
      <c r="OG375" s="120"/>
      <c r="OH375" s="120"/>
      <c r="OI375" s="120"/>
      <c r="OJ375" s="120"/>
      <c r="OK375" s="120"/>
      <c r="OL375" s="120"/>
      <c r="OM375" s="120"/>
      <c r="ON375" s="120"/>
      <c r="OO375" s="120"/>
      <c r="OP375" s="120"/>
      <c r="OQ375" s="120"/>
      <c r="OR375" s="120"/>
      <c r="OS375" s="120"/>
      <c r="OT375" s="120"/>
      <c r="OU375" s="120"/>
      <c r="OV375" s="120"/>
      <c r="OW375" s="120"/>
      <c r="OX375" s="120"/>
      <c r="OY375" s="120"/>
      <c r="OZ375" s="120"/>
      <c r="PA375" s="120"/>
      <c r="PB375" s="120"/>
      <c r="PC375" s="120"/>
      <c r="PD375" s="120"/>
      <c r="PE375" s="120"/>
      <c r="PF375" s="120"/>
      <c r="PG375" s="120"/>
      <c r="PH375" s="120"/>
      <c r="PI375" s="120"/>
      <c r="PJ375" s="120"/>
      <c r="PK375" s="120"/>
      <c r="PL375" s="120"/>
      <c r="PM375" s="120"/>
      <c r="PN375" s="120"/>
      <c r="PO375" s="120"/>
      <c r="PP375" s="120"/>
      <c r="PQ375" s="120"/>
      <c r="PR375" s="120"/>
      <c r="PS375" s="120"/>
      <c r="PT375" s="120"/>
      <c r="PU375" s="120"/>
      <c r="PV375" s="120"/>
      <c r="PW375" s="120"/>
      <c r="PX375" s="120"/>
      <c r="PY375" s="120"/>
      <c r="PZ375" s="120"/>
      <c r="QA375" s="120"/>
      <c r="QB375" s="120"/>
      <c r="QC375" s="120"/>
      <c r="QD375" s="120"/>
      <c r="QE375" s="120"/>
      <c r="QF375" s="120"/>
      <c r="QG375" s="120"/>
      <c r="QH375" s="120"/>
      <c r="QI375" s="120"/>
      <c r="QJ375" s="120"/>
      <c r="QK375" s="120"/>
      <c r="QL375" s="120"/>
      <c r="QM375" s="120"/>
      <c r="QN375" s="120"/>
      <c r="QO375" s="120"/>
      <c r="QP375" s="120"/>
      <c r="QQ375" s="120"/>
      <c r="QR375" s="120"/>
      <c r="QS375" s="120"/>
      <c r="QT375" s="120"/>
      <c r="QU375" s="120"/>
      <c r="QV375" s="120"/>
      <c r="QW375" s="120"/>
      <c r="QX375" s="120"/>
      <c r="QY375" s="120"/>
      <c r="QZ375" s="120"/>
      <c r="RA375" s="120"/>
      <c r="RB375" s="120"/>
      <c r="RC375" s="120"/>
      <c r="RD375" s="120"/>
      <c r="RE375" s="120"/>
      <c r="RF375" s="120"/>
      <c r="RG375" s="120"/>
      <c r="RH375" s="120"/>
      <c r="RI375" s="120"/>
      <c r="RJ375" s="120"/>
      <c r="RK375" s="120"/>
      <c r="RL375" s="120"/>
      <c r="RM375" s="120"/>
      <c r="RN375" s="120"/>
      <c r="RO375" s="120"/>
      <c r="RP375" s="120"/>
      <c r="RQ375" s="120"/>
      <c r="RR375" s="120"/>
      <c r="RS375" s="120"/>
      <c r="RT375" s="120"/>
      <c r="RU375" s="120"/>
      <c r="RV375" s="120"/>
      <c r="RW375" s="120"/>
      <c r="RX375" s="120"/>
      <c r="RY375" s="120"/>
      <c r="RZ375" s="120"/>
      <c r="SA375" s="120"/>
      <c r="SB375" s="120"/>
      <c r="SC375" s="120"/>
      <c r="SD375" s="120"/>
      <c r="SE375" s="120"/>
      <c r="SF375" s="120"/>
      <c r="SG375" s="120"/>
      <c r="SH375" s="120"/>
      <c r="SI375" s="120"/>
      <c r="SJ375" s="120"/>
      <c r="SK375" s="120"/>
      <c r="SL375" s="120"/>
      <c r="SM375" s="120"/>
      <c r="SN375" s="120"/>
      <c r="SO375" s="120"/>
      <c r="SP375" s="120"/>
      <c r="SQ375" s="120"/>
      <c r="SR375" s="120"/>
      <c r="SS375" s="120"/>
      <c r="ST375" s="120"/>
      <c r="SU375" s="120"/>
      <c r="SV375" s="120"/>
      <c r="SW375" s="120"/>
      <c r="SX375" s="120"/>
      <c r="SY375" s="120"/>
      <c r="SZ375" s="120"/>
      <c r="TA375" s="120"/>
      <c r="TB375" s="120"/>
      <c r="TC375" s="120"/>
      <c r="TD375" s="120"/>
      <c r="TE375" s="120"/>
    </row>
    <row r="376" spans="1:525" s="159" customFormat="1" ht="21" hidden="1" customHeight="1" x14ac:dyDescent="0.25">
      <c r="A376" s="117" t="s">
        <v>213</v>
      </c>
      <c r="B376" s="118" t="str">
        <f>'дод 6'!A194</f>
        <v>7130</v>
      </c>
      <c r="C376" s="118" t="str">
        <f>'дод 6'!B194</f>
        <v>0421</v>
      </c>
      <c r="D376" s="122" t="str">
        <f>'дод 6'!C194</f>
        <v>Здійснення заходів із землеустрою</v>
      </c>
      <c r="E376" s="81">
        <f t="shared" si="194"/>
        <v>0</v>
      </c>
      <c r="F376" s="81"/>
      <c r="G376" s="81"/>
      <c r="H376" s="81"/>
      <c r="I376" s="81"/>
      <c r="J376" s="81">
        <f t="shared" ref="J376:J380" si="196">L376+O376</f>
        <v>0</v>
      </c>
      <c r="K376" s="81"/>
      <c r="L376" s="81"/>
      <c r="M376" s="81"/>
      <c r="N376" s="81"/>
      <c r="O376" s="81"/>
      <c r="P376" s="81">
        <f t="shared" si="195"/>
        <v>0</v>
      </c>
      <c r="Q376" s="260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58"/>
      <c r="CD376" s="158"/>
      <c r="CE376" s="158"/>
      <c r="CF376" s="158"/>
      <c r="CG376" s="158"/>
      <c r="CH376" s="158"/>
      <c r="CI376" s="158"/>
      <c r="CJ376" s="158"/>
      <c r="CK376" s="158"/>
      <c r="CL376" s="158"/>
      <c r="CM376" s="158"/>
      <c r="CN376" s="158"/>
      <c r="CO376" s="158"/>
      <c r="CP376" s="158"/>
      <c r="CQ376" s="158"/>
      <c r="CR376" s="158"/>
      <c r="CS376" s="158"/>
      <c r="CT376" s="158"/>
      <c r="CU376" s="158"/>
      <c r="CV376" s="158"/>
      <c r="CW376" s="158"/>
      <c r="CX376" s="158"/>
      <c r="CY376" s="158"/>
      <c r="CZ376" s="158"/>
      <c r="DA376" s="158"/>
      <c r="DB376" s="158"/>
      <c r="DC376" s="158"/>
      <c r="DD376" s="158"/>
      <c r="DE376" s="158"/>
      <c r="DF376" s="158"/>
      <c r="DG376" s="158"/>
      <c r="DH376" s="158"/>
      <c r="DI376" s="158"/>
      <c r="DJ376" s="158"/>
      <c r="DK376" s="158"/>
      <c r="DL376" s="158"/>
      <c r="DM376" s="158"/>
      <c r="DN376" s="158"/>
      <c r="DO376" s="158"/>
      <c r="DP376" s="158"/>
      <c r="DQ376" s="158"/>
      <c r="DR376" s="158"/>
      <c r="DS376" s="158"/>
      <c r="DT376" s="158"/>
      <c r="DU376" s="158"/>
      <c r="DV376" s="158"/>
      <c r="DW376" s="158"/>
      <c r="DX376" s="158"/>
      <c r="DY376" s="158"/>
      <c r="DZ376" s="158"/>
      <c r="EA376" s="158"/>
      <c r="EB376" s="158"/>
      <c r="EC376" s="158"/>
      <c r="ED376" s="158"/>
      <c r="EE376" s="158"/>
      <c r="EF376" s="158"/>
      <c r="EG376" s="158"/>
      <c r="EH376" s="158"/>
      <c r="EI376" s="158"/>
      <c r="EJ376" s="158"/>
      <c r="EK376" s="158"/>
      <c r="EL376" s="158"/>
      <c r="EM376" s="158"/>
      <c r="EN376" s="158"/>
      <c r="EO376" s="158"/>
      <c r="EP376" s="158"/>
      <c r="EQ376" s="158"/>
      <c r="ER376" s="158"/>
      <c r="ES376" s="158"/>
      <c r="ET376" s="158"/>
      <c r="EU376" s="158"/>
      <c r="EV376" s="158"/>
      <c r="EW376" s="158"/>
      <c r="EX376" s="158"/>
      <c r="EY376" s="158"/>
      <c r="EZ376" s="158"/>
      <c r="FA376" s="158"/>
      <c r="FB376" s="158"/>
      <c r="FC376" s="158"/>
      <c r="FD376" s="158"/>
      <c r="FE376" s="158"/>
      <c r="FF376" s="158"/>
      <c r="FG376" s="158"/>
      <c r="FH376" s="158"/>
      <c r="FI376" s="158"/>
      <c r="FJ376" s="158"/>
      <c r="FK376" s="158"/>
      <c r="FL376" s="158"/>
      <c r="FM376" s="158"/>
      <c r="FN376" s="158"/>
      <c r="FO376" s="158"/>
      <c r="FP376" s="158"/>
      <c r="FQ376" s="158"/>
      <c r="FR376" s="158"/>
      <c r="FS376" s="158"/>
      <c r="FT376" s="158"/>
      <c r="FU376" s="158"/>
      <c r="FV376" s="158"/>
      <c r="FW376" s="158"/>
      <c r="FX376" s="158"/>
      <c r="FY376" s="158"/>
      <c r="FZ376" s="158"/>
      <c r="GA376" s="158"/>
      <c r="GB376" s="158"/>
      <c r="GC376" s="158"/>
      <c r="GD376" s="158"/>
      <c r="GE376" s="158"/>
      <c r="GF376" s="158"/>
      <c r="GG376" s="158"/>
      <c r="GH376" s="158"/>
      <c r="GI376" s="158"/>
      <c r="GJ376" s="158"/>
      <c r="GK376" s="158"/>
      <c r="GL376" s="158"/>
      <c r="GM376" s="158"/>
      <c r="GN376" s="158"/>
      <c r="GO376" s="158"/>
      <c r="GP376" s="158"/>
      <c r="GQ376" s="158"/>
      <c r="GR376" s="158"/>
      <c r="GS376" s="158"/>
      <c r="GT376" s="158"/>
      <c r="GU376" s="158"/>
      <c r="GV376" s="158"/>
      <c r="GW376" s="158"/>
      <c r="GX376" s="158"/>
      <c r="GY376" s="158"/>
      <c r="GZ376" s="158"/>
      <c r="HA376" s="158"/>
      <c r="HB376" s="158"/>
      <c r="HC376" s="158"/>
      <c r="HD376" s="158"/>
      <c r="HE376" s="158"/>
      <c r="HF376" s="158"/>
      <c r="HG376" s="158"/>
      <c r="HH376" s="158"/>
      <c r="HI376" s="158"/>
      <c r="HJ376" s="158"/>
      <c r="HK376" s="158"/>
      <c r="HL376" s="158"/>
      <c r="HM376" s="158"/>
      <c r="HN376" s="158"/>
      <c r="HO376" s="158"/>
      <c r="HP376" s="158"/>
      <c r="HQ376" s="158"/>
      <c r="HR376" s="158"/>
      <c r="HS376" s="158"/>
      <c r="HT376" s="158"/>
      <c r="HU376" s="158"/>
      <c r="HV376" s="158"/>
      <c r="HW376" s="158"/>
      <c r="HX376" s="158"/>
      <c r="HY376" s="158"/>
      <c r="HZ376" s="158"/>
      <c r="IA376" s="158"/>
      <c r="IB376" s="158"/>
      <c r="IC376" s="158"/>
      <c r="ID376" s="158"/>
      <c r="IE376" s="158"/>
      <c r="IF376" s="158"/>
      <c r="IG376" s="158"/>
      <c r="IH376" s="158"/>
      <c r="II376" s="158"/>
      <c r="IJ376" s="158"/>
      <c r="IK376" s="158"/>
      <c r="IL376" s="158"/>
      <c r="IM376" s="158"/>
      <c r="IN376" s="158"/>
      <c r="IO376" s="158"/>
      <c r="IP376" s="158"/>
      <c r="IQ376" s="158"/>
      <c r="IR376" s="158"/>
      <c r="IS376" s="158"/>
      <c r="IT376" s="158"/>
      <c r="IU376" s="158"/>
      <c r="IV376" s="158"/>
      <c r="IW376" s="158"/>
      <c r="IX376" s="158"/>
      <c r="IY376" s="158"/>
      <c r="IZ376" s="158"/>
      <c r="JA376" s="158"/>
      <c r="JB376" s="158"/>
      <c r="JC376" s="158"/>
      <c r="JD376" s="158"/>
      <c r="JE376" s="158"/>
      <c r="JF376" s="158"/>
      <c r="JG376" s="158"/>
      <c r="JH376" s="158"/>
      <c r="JI376" s="158"/>
      <c r="JJ376" s="158"/>
      <c r="JK376" s="158"/>
      <c r="JL376" s="158"/>
      <c r="JM376" s="158"/>
      <c r="JN376" s="158"/>
      <c r="JO376" s="158"/>
      <c r="JP376" s="158"/>
      <c r="JQ376" s="158"/>
      <c r="JR376" s="158"/>
      <c r="JS376" s="158"/>
      <c r="JT376" s="158"/>
      <c r="JU376" s="158"/>
      <c r="JV376" s="158"/>
      <c r="JW376" s="158"/>
      <c r="JX376" s="158"/>
      <c r="JY376" s="158"/>
      <c r="JZ376" s="158"/>
      <c r="KA376" s="158"/>
      <c r="KB376" s="158"/>
      <c r="KC376" s="158"/>
      <c r="KD376" s="158"/>
      <c r="KE376" s="158"/>
      <c r="KF376" s="158"/>
      <c r="KG376" s="158"/>
      <c r="KH376" s="158"/>
      <c r="KI376" s="158"/>
      <c r="KJ376" s="158"/>
      <c r="KK376" s="158"/>
      <c r="KL376" s="158"/>
      <c r="KM376" s="158"/>
      <c r="KN376" s="158"/>
      <c r="KO376" s="158"/>
      <c r="KP376" s="158"/>
      <c r="KQ376" s="158"/>
      <c r="KR376" s="158"/>
      <c r="KS376" s="158"/>
      <c r="KT376" s="158"/>
      <c r="KU376" s="158"/>
      <c r="KV376" s="158"/>
      <c r="KW376" s="158"/>
      <c r="KX376" s="158"/>
      <c r="KY376" s="158"/>
      <c r="KZ376" s="158"/>
      <c r="LA376" s="158"/>
      <c r="LB376" s="158"/>
      <c r="LC376" s="158"/>
      <c r="LD376" s="158"/>
      <c r="LE376" s="158"/>
      <c r="LF376" s="158"/>
      <c r="LG376" s="158"/>
      <c r="LH376" s="158"/>
      <c r="LI376" s="158"/>
      <c r="LJ376" s="158"/>
      <c r="LK376" s="158"/>
      <c r="LL376" s="158"/>
      <c r="LM376" s="158"/>
      <c r="LN376" s="158"/>
      <c r="LO376" s="158"/>
      <c r="LP376" s="158"/>
      <c r="LQ376" s="158"/>
      <c r="LR376" s="158"/>
      <c r="LS376" s="158"/>
      <c r="LT376" s="158"/>
      <c r="LU376" s="158"/>
      <c r="LV376" s="158"/>
      <c r="LW376" s="158"/>
      <c r="LX376" s="158"/>
      <c r="LY376" s="158"/>
      <c r="LZ376" s="158"/>
      <c r="MA376" s="158"/>
      <c r="MB376" s="158"/>
      <c r="MC376" s="158"/>
      <c r="MD376" s="158"/>
      <c r="ME376" s="158"/>
      <c r="MF376" s="158"/>
      <c r="MG376" s="158"/>
      <c r="MH376" s="158"/>
      <c r="MI376" s="158"/>
      <c r="MJ376" s="158"/>
      <c r="MK376" s="158"/>
      <c r="ML376" s="158"/>
      <c r="MM376" s="158"/>
      <c r="MN376" s="158"/>
      <c r="MO376" s="158"/>
      <c r="MP376" s="158"/>
      <c r="MQ376" s="158"/>
      <c r="MR376" s="158"/>
      <c r="MS376" s="158"/>
      <c r="MT376" s="158"/>
      <c r="MU376" s="158"/>
      <c r="MV376" s="158"/>
      <c r="MW376" s="158"/>
      <c r="MX376" s="158"/>
      <c r="MY376" s="158"/>
      <c r="MZ376" s="158"/>
      <c r="NA376" s="158"/>
      <c r="NB376" s="158"/>
      <c r="NC376" s="158"/>
      <c r="ND376" s="158"/>
      <c r="NE376" s="158"/>
      <c r="NF376" s="158"/>
      <c r="NG376" s="158"/>
      <c r="NH376" s="158"/>
      <c r="NI376" s="158"/>
      <c r="NJ376" s="158"/>
      <c r="NK376" s="158"/>
      <c r="NL376" s="158"/>
      <c r="NM376" s="158"/>
      <c r="NN376" s="158"/>
      <c r="NO376" s="158"/>
      <c r="NP376" s="158"/>
      <c r="NQ376" s="158"/>
      <c r="NR376" s="158"/>
      <c r="NS376" s="158"/>
      <c r="NT376" s="158"/>
      <c r="NU376" s="158"/>
      <c r="NV376" s="158"/>
      <c r="NW376" s="158"/>
      <c r="NX376" s="158"/>
      <c r="NY376" s="158"/>
      <c r="NZ376" s="158"/>
      <c r="OA376" s="158"/>
      <c r="OB376" s="158"/>
      <c r="OC376" s="158"/>
      <c r="OD376" s="158"/>
      <c r="OE376" s="158"/>
      <c r="OF376" s="158"/>
      <c r="OG376" s="158"/>
      <c r="OH376" s="158"/>
      <c r="OI376" s="158"/>
      <c r="OJ376" s="158"/>
      <c r="OK376" s="158"/>
      <c r="OL376" s="158"/>
      <c r="OM376" s="158"/>
      <c r="ON376" s="158"/>
      <c r="OO376" s="158"/>
      <c r="OP376" s="158"/>
      <c r="OQ376" s="158"/>
      <c r="OR376" s="158"/>
      <c r="OS376" s="158"/>
      <c r="OT376" s="158"/>
      <c r="OU376" s="158"/>
      <c r="OV376" s="158"/>
      <c r="OW376" s="158"/>
      <c r="OX376" s="158"/>
      <c r="OY376" s="158"/>
      <c r="OZ376" s="158"/>
      <c r="PA376" s="158"/>
      <c r="PB376" s="158"/>
      <c r="PC376" s="158"/>
      <c r="PD376" s="158"/>
      <c r="PE376" s="158"/>
      <c r="PF376" s="158"/>
      <c r="PG376" s="158"/>
      <c r="PH376" s="158"/>
      <c r="PI376" s="158"/>
      <c r="PJ376" s="158"/>
      <c r="PK376" s="158"/>
      <c r="PL376" s="158"/>
      <c r="PM376" s="158"/>
      <c r="PN376" s="158"/>
      <c r="PO376" s="158"/>
      <c r="PP376" s="158"/>
      <c r="PQ376" s="158"/>
      <c r="PR376" s="158"/>
      <c r="PS376" s="158"/>
      <c r="PT376" s="158"/>
      <c r="PU376" s="158"/>
      <c r="PV376" s="158"/>
      <c r="PW376" s="158"/>
      <c r="PX376" s="158"/>
      <c r="PY376" s="158"/>
      <c r="PZ376" s="158"/>
      <c r="QA376" s="158"/>
      <c r="QB376" s="158"/>
      <c r="QC376" s="158"/>
      <c r="QD376" s="158"/>
      <c r="QE376" s="158"/>
      <c r="QF376" s="158"/>
      <c r="QG376" s="158"/>
      <c r="QH376" s="158"/>
      <c r="QI376" s="158"/>
      <c r="QJ376" s="158"/>
      <c r="QK376" s="158"/>
      <c r="QL376" s="158"/>
      <c r="QM376" s="158"/>
      <c r="QN376" s="158"/>
      <c r="QO376" s="158"/>
      <c r="QP376" s="158"/>
      <c r="QQ376" s="158"/>
      <c r="QR376" s="158"/>
      <c r="QS376" s="158"/>
      <c r="QT376" s="158"/>
      <c r="QU376" s="158"/>
      <c r="QV376" s="158"/>
      <c r="QW376" s="158"/>
      <c r="QX376" s="158"/>
      <c r="QY376" s="158"/>
      <c r="QZ376" s="158"/>
      <c r="RA376" s="158"/>
      <c r="RB376" s="158"/>
      <c r="RC376" s="158"/>
      <c r="RD376" s="158"/>
      <c r="RE376" s="158"/>
      <c r="RF376" s="158"/>
      <c r="RG376" s="158"/>
      <c r="RH376" s="158"/>
      <c r="RI376" s="158"/>
      <c r="RJ376" s="158"/>
      <c r="RK376" s="158"/>
      <c r="RL376" s="158"/>
      <c r="RM376" s="158"/>
      <c r="RN376" s="158"/>
      <c r="RO376" s="158"/>
      <c r="RP376" s="158"/>
      <c r="RQ376" s="158"/>
      <c r="RR376" s="158"/>
      <c r="RS376" s="158"/>
      <c r="RT376" s="158"/>
      <c r="RU376" s="158"/>
      <c r="RV376" s="158"/>
      <c r="RW376" s="158"/>
      <c r="RX376" s="158"/>
      <c r="RY376" s="158"/>
      <c r="RZ376" s="158"/>
      <c r="SA376" s="158"/>
      <c r="SB376" s="158"/>
      <c r="SC376" s="158"/>
      <c r="SD376" s="158"/>
      <c r="SE376" s="158"/>
      <c r="SF376" s="158"/>
      <c r="SG376" s="158"/>
      <c r="SH376" s="158"/>
      <c r="SI376" s="158"/>
      <c r="SJ376" s="158"/>
      <c r="SK376" s="158"/>
      <c r="SL376" s="158"/>
      <c r="SM376" s="158"/>
      <c r="SN376" s="158"/>
      <c r="SO376" s="158"/>
      <c r="SP376" s="158"/>
      <c r="SQ376" s="158"/>
      <c r="SR376" s="158"/>
      <c r="SS376" s="158"/>
      <c r="ST376" s="158"/>
      <c r="SU376" s="158"/>
      <c r="SV376" s="158"/>
      <c r="SW376" s="158"/>
      <c r="SX376" s="158"/>
      <c r="SY376" s="158"/>
      <c r="SZ376" s="158"/>
      <c r="TA376" s="158"/>
      <c r="TB376" s="158"/>
      <c r="TC376" s="158"/>
      <c r="TD376" s="158"/>
      <c r="TE376" s="158"/>
    </row>
    <row r="377" spans="1:525" s="121" customFormat="1" ht="36" hidden="1" customHeight="1" x14ac:dyDescent="0.25">
      <c r="A377" s="129" t="s">
        <v>214</v>
      </c>
      <c r="B377" s="130" t="str">
        <f>'дод 6'!A238</f>
        <v>7610</v>
      </c>
      <c r="C377" s="130" t="str">
        <f>'дод 6'!B238</f>
        <v>0411</v>
      </c>
      <c r="D377" s="119" t="str">
        <f>'дод 6'!C238</f>
        <v>Сприяння розвитку малого та середнього підприємництва</v>
      </c>
      <c r="E377" s="81">
        <f t="shared" si="194"/>
        <v>0</v>
      </c>
      <c r="F377" s="81"/>
      <c r="G377" s="81"/>
      <c r="H377" s="81"/>
      <c r="I377" s="81"/>
      <c r="J377" s="81">
        <f t="shared" si="196"/>
        <v>0</v>
      </c>
      <c r="K377" s="81"/>
      <c r="L377" s="81"/>
      <c r="M377" s="81"/>
      <c r="N377" s="81"/>
      <c r="O377" s="81"/>
      <c r="P377" s="81">
        <f t="shared" si="195"/>
        <v>0</v>
      </c>
      <c r="Q377" s="26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  <c r="IW377" s="120"/>
      <c r="IX377" s="120"/>
      <c r="IY377" s="120"/>
      <c r="IZ377" s="120"/>
      <c r="JA377" s="120"/>
      <c r="JB377" s="120"/>
      <c r="JC377" s="120"/>
      <c r="JD377" s="120"/>
      <c r="JE377" s="120"/>
      <c r="JF377" s="120"/>
      <c r="JG377" s="120"/>
      <c r="JH377" s="120"/>
      <c r="JI377" s="120"/>
      <c r="JJ377" s="120"/>
      <c r="JK377" s="120"/>
      <c r="JL377" s="120"/>
      <c r="JM377" s="120"/>
      <c r="JN377" s="120"/>
      <c r="JO377" s="120"/>
      <c r="JP377" s="120"/>
      <c r="JQ377" s="120"/>
      <c r="JR377" s="120"/>
      <c r="JS377" s="120"/>
      <c r="JT377" s="120"/>
      <c r="JU377" s="120"/>
      <c r="JV377" s="120"/>
      <c r="JW377" s="120"/>
      <c r="JX377" s="120"/>
      <c r="JY377" s="120"/>
      <c r="JZ377" s="120"/>
      <c r="KA377" s="120"/>
      <c r="KB377" s="120"/>
      <c r="KC377" s="120"/>
      <c r="KD377" s="120"/>
      <c r="KE377" s="120"/>
      <c r="KF377" s="120"/>
      <c r="KG377" s="120"/>
      <c r="KH377" s="120"/>
      <c r="KI377" s="120"/>
      <c r="KJ377" s="120"/>
      <c r="KK377" s="120"/>
      <c r="KL377" s="120"/>
      <c r="KM377" s="120"/>
      <c r="KN377" s="120"/>
      <c r="KO377" s="120"/>
      <c r="KP377" s="120"/>
      <c r="KQ377" s="120"/>
      <c r="KR377" s="120"/>
      <c r="KS377" s="120"/>
      <c r="KT377" s="120"/>
      <c r="KU377" s="120"/>
      <c r="KV377" s="120"/>
      <c r="KW377" s="120"/>
      <c r="KX377" s="120"/>
      <c r="KY377" s="120"/>
      <c r="KZ377" s="120"/>
      <c r="LA377" s="120"/>
      <c r="LB377" s="120"/>
      <c r="LC377" s="120"/>
      <c r="LD377" s="120"/>
      <c r="LE377" s="120"/>
      <c r="LF377" s="120"/>
      <c r="LG377" s="120"/>
      <c r="LH377" s="120"/>
      <c r="LI377" s="120"/>
      <c r="LJ377" s="120"/>
      <c r="LK377" s="120"/>
      <c r="LL377" s="120"/>
      <c r="LM377" s="120"/>
      <c r="LN377" s="120"/>
      <c r="LO377" s="120"/>
      <c r="LP377" s="120"/>
      <c r="LQ377" s="120"/>
      <c r="LR377" s="120"/>
      <c r="LS377" s="120"/>
      <c r="LT377" s="120"/>
      <c r="LU377" s="120"/>
      <c r="LV377" s="120"/>
      <c r="LW377" s="120"/>
      <c r="LX377" s="120"/>
      <c r="LY377" s="120"/>
      <c r="LZ377" s="120"/>
      <c r="MA377" s="120"/>
      <c r="MB377" s="120"/>
      <c r="MC377" s="120"/>
      <c r="MD377" s="120"/>
      <c r="ME377" s="120"/>
      <c r="MF377" s="120"/>
      <c r="MG377" s="120"/>
      <c r="MH377" s="120"/>
      <c r="MI377" s="120"/>
      <c r="MJ377" s="120"/>
      <c r="MK377" s="120"/>
      <c r="ML377" s="120"/>
      <c r="MM377" s="120"/>
      <c r="MN377" s="120"/>
      <c r="MO377" s="120"/>
      <c r="MP377" s="120"/>
      <c r="MQ377" s="120"/>
      <c r="MR377" s="120"/>
      <c r="MS377" s="120"/>
      <c r="MT377" s="120"/>
      <c r="MU377" s="120"/>
      <c r="MV377" s="120"/>
      <c r="MW377" s="120"/>
      <c r="MX377" s="120"/>
      <c r="MY377" s="120"/>
      <c r="MZ377" s="120"/>
      <c r="NA377" s="120"/>
      <c r="NB377" s="120"/>
      <c r="NC377" s="120"/>
      <c r="ND377" s="120"/>
      <c r="NE377" s="120"/>
      <c r="NF377" s="120"/>
      <c r="NG377" s="120"/>
      <c r="NH377" s="120"/>
      <c r="NI377" s="120"/>
      <c r="NJ377" s="120"/>
      <c r="NK377" s="120"/>
      <c r="NL377" s="120"/>
      <c r="NM377" s="120"/>
      <c r="NN377" s="120"/>
      <c r="NO377" s="120"/>
      <c r="NP377" s="120"/>
      <c r="NQ377" s="120"/>
      <c r="NR377" s="120"/>
      <c r="NS377" s="120"/>
      <c r="NT377" s="120"/>
      <c r="NU377" s="120"/>
      <c r="NV377" s="120"/>
      <c r="NW377" s="120"/>
      <c r="NX377" s="120"/>
      <c r="NY377" s="120"/>
      <c r="NZ377" s="120"/>
      <c r="OA377" s="120"/>
      <c r="OB377" s="120"/>
      <c r="OC377" s="120"/>
      <c r="OD377" s="120"/>
      <c r="OE377" s="120"/>
      <c r="OF377" s="120"/>
      <c r="OG377" s="120"/>
      <c r="OH377" s="120"/>
      <c r="OI377" s="120"/>
      <c r="OJ377" s="120"/>
      <c r="OK377" s="120"/>
      <c r="OL377" s="120"/>
      <c r="OM377" s="120"/>
      <c r="ON377" s="120"/>
      <c r="OO377" s="120"/>
      <c r="OP377" s="120"/>
      <c r="OQ377" s="120"/>
      <c r="OR377" s="120"/>
      <c r="OS377" s="120"/>
      <c r="OT377" s="120"/>
      <c r="OU377" s="120"/>
      <c r="OV377" s="120"/>
      <c r="OW377" s="120"/>
      <c r="OX377" s="120"/>
      <c r="OY377" s="120"/>
      <c r="OZ377" s="120"/>
      <c r="PA377" s="120"/>
      <c r="PB377" s="120"/>
      <c r="PC377" s="120"/>
      <c r="PD377" s="120"/>
      <c r="PE377" s="120"/>
      <c r="PF377" s="120"/>
      <c r="PG377" s="120"/>
      <c r="PH377" s="120"/>
      <c r="PI377" s="120"/>
      <c r="PJ377" s="120"/>
      <c r="PK377" s="120"/>
      <c r="PL377" s="120"/>
      <c r="PM377" s="120"/>
      <c r="PN377" s="120"/>
      <c r="PO377" s="120"/>
      <c r="PP377" s="120"/>
      <c r="PQ377" s="120"/>
      <c r="PR377" s="120"/>
      <c r="PS377" s="120"/>
      <c r="PT377" s="120"/>
      <c r="PU377" s="120"/>
      <c r="PV377" s="120"/>
      <c r="PW377" s="120"/>
      <c r="PX377" s="120"/>
      <c r="PY377" s="120"/>
      <c r="PZ377" s="120"/>
      <c r="QA377" s="120"/>
      <c r="QB377" s="120"/>
      <c r="QC377" s="120"/>
      <c r="QD377" s="120"/>
      <c r="QE377" s="120"/>
      <c r="QF377" s="120"/>
      <c r="QG377" s="120"/>
      <c r="QH377" s="120"/>
      <c r="QI377" s="120"/>
      <c r="QJ377" s="120"/>
      <c r="QK377" s="120"/>
      <c r="QL377" s="120"/>
      <c r="QM377" s="120"/>
      <c r="QN377" s="120"/>
      <c r="QO377" s="120"/>
      <c r="QP377" s="120"/>
      <c r="QQ377" s="120"/>
      <c r="QR377" s="120"/>
      <c r="QS377" s="120"/>
      <c r="QT377" s="120"/>
      <c r="QU377" s="120"/>
      <c r="QV377" s="120"/>
      <c r="QW377" s="120"/>
      <c r="QX377" s="120"/>
      <c r="QY377" s="120"/>
      <c r="QZ377" s="120"/>
      <c r="RA377" s="120"/>
      <c r="RB377" s="120"/>
      <c r="RC377" s="120"/>
      <c r="RD377" s="120"/>
      <c r="RE377" s="120"/>
      <c r="RF377" s="120"/>
      <c r="RG377" s="120"/>
      <c r="RH377" s="120"/>
      <c r="RI377" s="120"/>
      <c r="RJ377" s="120"/>
      <c r="RK377" s="120"/>
      <c r="RL377" s="120"/>
      <c r="RM377" s="120"/>
      <c r="RN377" s="120"/>
      <c r="RO377" s="120"/>
      <c r="RP377" s="120"/>
      <c r="RQ377" s="120"/>
      <c r="RR377" s="120"/>
      <c r="RS377" s="120"/>
      <c r="RT377" s="120"/>
      <c r="RU377" s="120"/>
      <c r="RV377" s="120"/>
      <c r="RW377" s="120"/>
      <c r="RX377" s="120"/>
      <c r="RY377" s="120"/>
      <c r="RZ377" s="120"/>
      <c r="SA377" s="120"/>
      <c r="SB377" s="120"/>
      <c r="SC377" s="120"/>
      <c r="SD377" s="120"/>
      <c r="SE377" s="120"/>
      <c r="SF377" s="120"/>
      <c r="SG377" s="120"/>
      <c r="SH377" s="120"/>
      <c r="SI377" s="120"/>
      <c r="SJ377" s="120"/>
      <c r="SK377" s="120"/>
      <c r="SL377" s="120"/>
      <c r="SM377" s="120"/>
      <c r="SN377" s="120"/>
      <c r="SO377" s="120"/>
      <c r="SP377" s="120"/>
      <c r="SQ377" s="120"/>
      <c r="SR377" s="120"/>
      <c r="SS377" s="120"/>
      <c r="ST377" s="120"/>
      <c r="SU377" s="120"/>
      <c r="SV377" s="120"/>
      <c r="SW377" s="120"/>
      <c r="SX377" s="120"/>
      <c r="SY377" s="120"/>
      <c r="SZ377" s="120"/>
      <c r="TA377" s="120"/>
      <c r="TB377" s="120"/>
      <c r="TC377" s="120"/>
      <c r="TD377" s="120"/>
      <c r="TE377" s="120"/>
    </row>
    <row r="378" spans="1:525" s="121" customFormat="1" ht="32.25" hidden="1" customHeight="1" x14ac:dyDescent="0.25">
      <c r="A378" s="129" t="s">
        <v>263</v>
      </c>
      <c r="B378" s="130" t="str">
        <f>'дод 6'!A241</f>
        <v>7650</v>
      </c>
      <c r="C378" s="130" t="str">
        <f>'дод 6'!B241</f>
        <v>0490</v>
      </c>
      <c r="D378" s="119" t="str">
        <f>'дод 6'!C241</f>
        <v>Проведення експертної грошової оцінки земельної ділянки чи права на неї</v>
      </c>
      <c r="E378" s="81">
        <f t="shared" si="194"/>
        <v>0</v>
      </c>
      <c r="F378" s="81"/>
      <c r="G378" s="81"/>
      <c r="H378" s="81"/>
      <c r="I378" s="81"/>
      <c r="J378" s="81">
        <f t="shared" si="196"/>
        <v>0</v>
      </c>
      <c r="K378" s="81"/>
      <c r="L378" s="81"/>
      <c r="M378" s="81"/>
      <c r="N378" s="81"/>
      <c r="O378" s="81"/>
      <c r="P378" s="81">
        <f t="shared" si="195"/>
        <v>0</v>
      </c>
      <c r="Q378" s="26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  <c r="IW378" s="120"/>
      <c r="IX378" s="120"/>
      <c r="IY378" s="120"/>
      <c r="IZ378" s="120"/>
      <c r="JA378" s="120"/>
      <c r="JB378" s="120"/>
      <c r="JC378" s="120"/>
      <c r="JD378" s="120"/>
      <c r="JE378" s="120"/>
      <c r="JF378" s="120"/>
      <c r="JG378" s="120"/>
      <c r="JH378" s="120"/>
      <c r="JI378" s="120"/>
      <c r="JJ378" s="120"/>
      <c r="JK378" s="120"/>
      <c r="JL378" s="120"/>
      <c r="JM378" s="120"/>
      <c r="JN378" s="120"/>
      <c r="JO378" s="120"/>
      <c r="JP378" s="120"/>
      <c r="JQ378" s="120"/>
      <c r="JR378" s="120"/>
      <c r="JS378" s="120"/>
      <c r="JT378" s="120"/>
      <c r="JU378" s="120"/>
      <c r="JV378" s="120"/>
      <c r="JW378" s="120"/>
      <c r="JX378" s="120"/>
      <c r="JY378" s="120"/>
      <c r="JZ378" s="120"/>
      <c r="KA378" s="120"/>
      <c r="KB378" s="120"/>
      <c r="KC378" s="120"/>
      <c r="KD378" s="120"/>
      <c r="KE378" s="120"/>
      <c r="KF378" s="120"/>
      <c r="KG378" s="120"/>
      <c r="KH378" s="120"/>
      <c r="KI378" s="120"/>
      <c r="KJ378" s="120"/>
      <c r="KK378" s="120"/>
      <c r="KL378" s="120"/>
      <c r="KM378" s="120"/>
      <c r="KN378" s="120"/>
      <c r="KO378" s="120"/>
      <c r="KP378" s="120"/>
      <c r="KQ378" s="120"/>
      <c r="KR378" s="120"/>
      <c r="KS378" s="120"/>
      <c r="KT378" s="120"/>
      <c r="KU378" s="120"/>
      <c r="KV378" s="120"/>
      <c r="KW378" s="120"/>
      <c r="KX378" s="120"/>
      <c r="KY378" s="120"/>
      <c r="KZ378" s="120"/>
      <c r="LA378" s="120"/>
      <c r="LB378" s="120"/>
      <c r="LC378" s="120"/>
      <c r="LD378" s="120"/>
      <c r="LE378" s="120"/>
      <c r="LF378" s="120"/>
      <c r="LG378" s="120"/>
      <c r="LH378" s="120"/>
      <c r="LI378" s="120"/>
      <c r="LJ378" s="120"/>
      <c r="LK378" s="120"/>
      <c r="LL378" s="120"/>
      <c r="LM378" s="120"/>
      <c r="LN378" s="120"/>
      <c r="LO378" s="120"/>
      <c r="LP378" s="120"/>
      <c r="LQ378" s="120"/>
      <c r="LR378" s="120"/>
      <c r="LS378" s="120"/>
      <c r="LT378" s="120"/>
      <c r="LU378" s="120"/>
      <c r="LV378" s="120"/>
      <c r="LW378" s="120"/>
      <c r="LX378" s="120"/>
      <c r="LY378" s="120"/>
      <c r="LZ378" s="120"/>
      <c r="MA378" s="120"/>
      <c r="MB378" s="120"/>
      <c r="MC378" s="120"/>
      <c r="MD378" s="120"/>
      <c r="ME378" s="120"/>
      <c r="MF378" s="120"/>
      <c r="MG378" s="120"/>
      <c r="MH378" s="120"/>
      <c r="MI378" s="120"/>
      <c r="MJ378" s="120"/>
      <c r="MK378" s="120"/>
      <c r="ML378" s="120"/>
      <c r="MM378" s="120"/>
      <c r="MN378" s="120"/>
      <c r="MO378" s="120"/>
      <c r="MP378" s="120"/>
      <c r="MQ378" s="120"/>
      <c r="MR378" s="120"/>
      <c r="MS378" s="120"/>
      <c r="MT378" s="120"/>
      <c r="MU378" s="120"/>
      <c r="MV378" s="120"/>
      <c r="MW378" s="120"/>
      <c r="MX378" s="120"/>
      <c r="MY378" s="120"/>
      <c r="MZ378" s="120"/>
      <c r="NA378" s="120"/>
      <c r="NB378" s="120"/>
      <c r="NC378" s="120"/>
      <c r="ND378" s="120"/>
      <c r="NE378" s="120"/>
      <c r="NF378" s="120"/>
      <c r="NG378" s="120"/>
      <c r="NH378" s="120"/>
      <c r="NI378" s="120"/>
      <c r="NJ378" s="120"/>
      <c r="NK378" s="120"/>
      <c r="NL378" s="120"/>
      <c r="NM378" s="120"/>
      <c r="NN378" s="120"/>
      <c r="NO378" s="120"/>
      <c r="NP378" s="120"/>
      <c r="NQ378" s="120"/>
      <c r="NR378" s="120"/>
      <c r="NS378" s="120"/>
      <c r="NT378" s="120"/>
      <c r="NU378" s="120"/>
      <c r="NV378" s="120"/>
      <c r="NW378" s="120"/>
      <c r="NX378" s="120"/>
      <c r="NY378" s="120"/>
      <c r="NZ378" s="120"/>
      <c r="OA378" s="120"/>
      <c r="OB378" s="120"/>
      <c r="OC378" s="120"/>
      <c r="OD378" s="120"/>
      <c r="OE378" s="120"/>
      <c r="OF378" s="120"/>
      <c r="OG378" s="120"/>
      <c r="OH378" s="120"/>
      <c r="OI378" s="120"/>
      <c r="OJ378" s="120"/>
      <c r="OK378" s="120"/>
      <c r="OL378" s="120"/>
      <c r="OM378" s="120"/>
      <c r="ON378" s="120"/>
      <c r="OO378" s="120"/>
      <c r="OP378" s="120"/>
      <c r="OQ378" s="120"/>
      <c r="OR378" s="120"/>
      <c r="OS378" s="120"/>
      <c r="OT378" s="120"/>
      <c r="OU378" s="120"/>
      <c r="OV378" s="120"/>
      <c r="OW378" s="120"/>
      <c r="OX378" s="120"/>
      <c r="OY378" s="120"/>
      <c r="OZ378" s="120"/>
      <c r="PA378" s="120"/>
      <c r="PB378" s="120"/>
      <c r="PC378" s="120"/>
      <c r="PD378" s="120"/>
      <c r="PE378" s="120"/>
      <c r="PF378" s="120"/>
      <c r="PG378" s="120"/>
      <c r="PH378" s="120"/>
      <c r="PI378" s="120"/>
      <c r="PJ378" s="120"/>
      <c r="PK378" s="120"/>
      <c r="PL378" s="120"/>
      <c r="PM378" s="120"/>
      <c r="PN378" s="120"/>
      <c r="PO378" s="120"/>
      <c r="PP378" s="120"/>
      <c r="PQ378" s="120"/>
      <c r="PR378" s="120"/>
      <c r="PS378" s="120"/>
      <c r="PT378" s="120"/>
      <c r="PU378" s="120"/>
      <c r="PV378" s="120"/>
      <c r="PW378" s="120"/>
      <c r="PX378" s="120"/>
      <c r="PY378" s="120"/>
      <c r="PZ378" s="120"/>
      <c r="QA378" s="120"/>
      <c r="QB378" s="120"/>
      <c r="QC378" s="120"/>
      <c r="QD378" s="120"/>
      <c r="QE378" s="120"/>
      <c r="QF378" s="120"/>
      <c r="QG378" s="120"/>
      <c r="QH378" s="120"/>
      <c r="QI378" s="120"/>
      <c r="QJ378" s="120"/>
      <c r="QK378" s="120"/>
      <c r="QL378" s="120"/>
      <c r="QM378" s="120"/>
      <c r="QN378" s="120"/>
      <c r="QO378" s="120"/>
      <c r="QP378" s="120"/>
      <c r="QQ378" s="120"/>
      <c r="QR378" s="120"/>
      <c r="QS378" s="120"/>
      <c r="QT378" s="120"/>
      <c r="QU378" s="120"/>
      <c r="QV378" s="120"/>
      <c r="QW378" s="120"/>
      <c r="QX378" s="120"/>
      <c r="QY378" s="120"/>
      <c r="QZ378" s="120"/>
      <c r="RA378" s="120"/>
      <c r="RB378" s="120"/>
      <c r="RC378" s="120"/>
      <c r="RD378" s="120"/>
      <c r="RE378" s="120"/>
      <c r="RF378" s="120"/>
      <c r="RG378" s="120"/>
      <c r="RH378" s="120"/>
      <c r="RI378" s="120"/>
      <c r="RJ378" s="120"/>
      <c r="RK378" s="120"/>
      <c r="RL378" s="120"/>
      <c r="RM378" s="120"/>
      <c r="RN378" s="120"/>
      <c r="RO378" s="120"/>
      <c r="RP378" s="120"/>
      <c r="RQ378" s="120"/>
      <c r="RR378" s="120"/>
      <c r="RS378" s="120"/>
      <c r="RT378" s="120"/>
      <c r="RU378" s="120"/>
      <c r="RV378" s="120"/>
      <c r="RW378" s="120"/>
      <c r="RX378" s="120"/>
      <c r="RY378" s="120"/>
      <c r="RZ378" s="120"/>
      <c r="SA378" s="120"/>
      <c r="SB378" s="120"/>
      <c r="SC378" s="120"/>
      <c r="SD378" s="120"/>
      <c r="SE378" s="120"/>
      <c r="SF378" s="120"/>
      <c r="SG378" s="120"/>
      <c r="SH378" s="120"/>
      <c r="SI378" s="120"/>
      <c r="SJ378" s="120"/>
      <c r="SK378" s="120"/>
      <c r="SL378" s="120"/>
      <c r="SM378" s="120"/>
      <c r="SN378" s="120"/>
      <c r="SO378" s="120"/>
      <c r="SP378" s="120"/>
      <c r="SQ378" s="120"/>
      <c r="SR378" s="120"/>
      <c r="SS378" s="120"/>
      <c r="ST378" s="120"/>
      <c r="SU378" s="120"/>
      <c r="SV378" s="120"/>
      <c r="SW378" s="120"/>
      <c r="SX378" s="120"/>
      <c r="SY378" s="120"/>
      <c r="SZ378" s="120"/>
      <c r="TA378" s="120"/>
      <c r="TB378" s="120"/>
      <c r="TC378" s="120"/>
      <c r="TD378" s="120"/>
      <c r="TE378" s="120"/>
    </row>
    <row r="379" spans="1:525" s="121" customFormat="1" ht="63" hidden="1" customHeight="1" x14ac:dyDescent="0.25">
      <c r="A379" s="129" t="s">
        <v>265</v>
      </c>
      <c r="B379" s="130" t="str">
        <f>'дод 6'!A242</f>
        <v>7660</v>
      </c>
      <c r="C379" s="130" t="str">
        <f>'дод 6'!B242</f>
        <v>0490</v>
      </c>
      <c r="D379" s="119" t="str">
        <f>'дод 6'!C242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9" s="81">
        <f t="shared" si="194"/>
        <v>0</v>
      </c>
      <c r="F379" s="81"/>
      <c r="G379" s="81"/>
      <c r="H379" s="81"/>
      <c r="I379" s="81"/>
      <c r="J379" s="81">
        <f t="shared" si="196"/>
        <v>0</v>
      </c>
      <c r="K379" s="81"/>
      <c r="L379" s="81"/>
      <c r="M379" s="81"/>
      <c r="N379" s="81"/>
      <c r="O379" s="81"/>
      <c r="P379" s="81">
        <f t="shared" si="195"/>
        <v>0</v>
      </c>
      <c r="Q379" s="26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1" customFormat="1" ht="22.5" hidden="1" customHeight="1" x14ac:dyDescent="0.25">
      <c r="A380" s="129" t="s">
        <v>261</v>
      </c>
      <c r="B380" s="130" t="str">
        <f>'дод 6'!A247</f>
        <v>7693</v>
      </c>
      <c r="C380" s="130" t="str">
        <f>'дод 6'!B247</f>
        <v>0490</v>
      </c>
      <c r="D380" s="119" t="str">
        <f>'дод 6'!C247</f>
        <v>Інші заходи, пов'язані з економічною діяльністю</v>
      </c>
      <c r="E380" s="81">
        <f t="shared" si="194"/>
        <v>0</v>
      </c>
      <c r="F380" s="81"/>
      <c r="G380" s="81"/>
      <c r="H380" s="81"/>
      <c r="I380" s="81"/>
      <c r="J380" s="81">
        <f t="shared" si="196"/>
        <v>0</v>
      </c>
      <c r="K380" s="81"/>
      <c r="L380" s="81"/>
      <c r="M380" s="81"/>
      <c r="N380" s="81"/>
      <c r="O380" s="81"/>
      <c r="P380" s="81">
        <f t="shared" si="195"/>
        <v>0</v>
      </c>
      <c r="Q380" s="26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  <c r="IW380" s="120"/>
      <c r="IX380" s="120"/>
      <c r="IY380" s="120"/>
      <c r="IZ380" s="120"/>
      <c r="JA380" s="120"/>
      <c r="JB380" s="120"/>
      <c r="JC380" s="120"/>
      <c r="JD380" s="120"/>
      <c r="JE380" s="120"/>
      <c r="JF380" s="120"/>
      <c r="JG380" s="120"/>
      <c r="JH380" s="120"/>
      <c r="JI380" s="120"/>
      <c r="JJ380" s="120"/>
      <c r="JK380" s="120"/>
      <c r="JL380" s="120"/>
      <c r="JM380" s="120"/>
      <c r="JN380" s="120"/>
      <c r="JO380" s="120"/>
      <c r="JP380" s="120"/>
      <c r="JQ380" s="120"/>
      <c r="JR380" s="120"/>
      <c r="JS380" s="120"/>
      <c r="JT380" s="120"/>
      <c r="JU380" s="120"/>
      <c r="JV380" s="120"/>
      <c r="JW380" s="120"/>
      <c r="JX380" s="120"/>
      <c r="JY380" s="120"/>
      <c r="JZ380" s="120"/>
      <c r="KA380" s="120"/>
      <c r="KB380" s="120"/>
      <c r="KC380" s="120"/>
      <c r="KD380" s="120"/>
      <c r="KE380" s="120"/>
      <c r="KF380" s="120"/>
      <c r="KG380" s="120"/>
      <c r="KH380" s="120"/>
      <c r="KI380" s="120"/>
      <c r="KJ380" s="120"/>
      <c r="KK380" s="120"/>
      <c r="KL380" s="120"/>
      <c r="KM380" s="120"/>
      <c r="KN380" s="120"/>
      <c r="KO380" s="120"/>
      <c r="KP380" s="120"/>
      <c r="KQ380" s="120"/>
      <c r="KR380" s="120"/>
      <c r="KS380" s="120"/>
      <c r="KT380" s="120"/>
      <c r="KU380" s="120"/>
      <c r="KV380" s="120"/>
      <c r="KW380" s="120"/>
      <c r="KX380" s="120"/>
      <c r="KY380" s="120"/>
      <c r="KZ380" s="120"/>
      <c r="LA380" s="120"/>
      <c r="LB380" s="120"/>
      <c r="LC380" s="120"/>
      <c r="LD380" s="120"/>
      <c r="LE380" s="120"/>
      <c r="LF380" s="120"/>
      <c r="LG380" s="120"/>
      <c r="LH380" s="120"/>
      <c r="LI380" s="120"/>
      <c r="LJ380" s="120"/>
      <c r="LK380" s="120"/>
      <c r="LL380" s="120"/>
      <c r="LM380" s="120"/>
      <c r="LN380" s="120"/>
      <c r="LO380" s="120"/>
      <c r="LP380" s="120"/>
      <c r="LQ380" s="120"/>
      <c r="LR380" s="120"/>
      <c r="LS380" s="120"/>
      <c r="LT380" s="120"/>
      <c r="LU380" s="120"/>
      <c r="LV380" s="120"/>
      <c r="LW380" s="120"/>
      <c r="LX380" s="120"/>
      <c r="LY380" s="120"/>
      <c r="LZ380" s="120"/>
      <c r="MA380" s="120"/>
      <c r="MB380" s="120"/>
      <c r="MC380" s="120"/>
      <c r="MD380" s="120"/>
      <c r="ME380" s="120"/>
      <c r="MF380" s="120"/>
      <c r="MG380" s="120"/>
      <c r="MH380" s="120"/>
      <c r="MI380" s="120"/>
      <c r="MJ380" s="120"/>
      <c r="MK380" s="120"/>
      <c r="ML380" s="120"/>
      <c r="MM380" s="120"/>
      <c r="MN380" s="120"/>
      <c r="MO380" s="120"/>
      <c r="MP380" s="120"/>
      <c r="MQ380" s="120"/>
      <c r="MR380" s="120"/>
      <c r="MS380" s="120"/>
      <c r="MT380" s="120"/>
      <c r="MU380" s="120"/>
      <c r="MV380" s="120"/>
      <c r="MW380" s="120"/>
      <c r="MX380" s="120"/>
      <c r="MY380" s="120"/>
      <c r="MZ380" s="120"/>
      <c r="NA380" s="120"/>
      <c r="NB380" s="120"/>
      <c r="NC380" s="120"/>
      <c r="ND380" s="120"/>
      <c r="NE380" s="120"/>
      <c r="NF380" s="120"/>
      <c r="NG380" s="120"/>
      <c r="NH380" s="120"/>
      <c r="NI380" s="120"/>
      <c r="NJ380" s="120"/>
      <c r="NK380" s="120"/>
      <c r="NL380" s="120"/>
      <c r="NM380" s="120"/>
      <c r="NN380" s="120"/>
      <c r="NO380" s="120"/>
      <c r="NP380" s="120"/>
      <c r="NQ380" s="120"/>
      <c r="NR380" s="120"/>
      <c r="NS380" s="120"/>
      <c r="NT380" s="120"/>
      <c r="NU380" s="120"/>
      <c r="NV380" s="120"/>
      <c r="NW380" s="120"/>
      <c r="NX380" s="120"/>
      <c r="NY380" s="120"/>
      <c r="NZ380" s="120"/>
      <c r="OA380" s="120"/>
      <c r="OB380" s="120"/>
      <c r="OC380" s="120"/>
      <c r="OD380" s="120"/>
      <c r="OE380" s="120"/>
      <c r="OF380" s="120"/>
      <c r="OG380" s="120"/>
      <c r="OH380" s="120"/>
      <c r="OI380" s="120"/>
      <c r="OJ380" s="120"/>
      <c r="OK380" s="120"/>
      <c r="OL380" s="120"/>
      <c r="OM380" s="120"/>
      <c r="ON380" s="120"/>
      <c r="OO380" s="120"/>
      <c r="OP380" s="120"/>
      <c r="OQ380" s="120"/>
      <c r="OR380" s="120"/>
      <c r="OS380" s="120"/>
      <c r="OT380" s="120"/>
      <c r="OU380" s="120"/>
      <c r="OV380" s="120"/>
      <c r="OW380" s="120"/>
      <c r="OX380" s="120"/>
      <c r="OY380" s="120"/>
      <c r="OZ380" s="120"/>
      <c r="PA380" s="120"/>
      <c r="PB380" s="120"/>
      <c r="PC380" s="120"/>
      <c r="PD380" s="120"/>
      <c r="PE380" s="120"/>
      <c r="PF380" s="120"/>
      <c r="PG380" s="120"/>
      <c r="PH380" s="120"/>
      <c r="PI380" s="120"/>
      <c r="PJ380" s="120"/>
      <c r="PK380" s="120"/>
      <c r="PL380" s="120"/>
      <c r="PM380" s="120"/>
      <c r="PN380" s="120"/>
      <c r="PO380" s="120"/>
      <c r="PP380" s="120"/>
      <c r="PQ380" s="120"/>
      <c r="PR380" s="120"/>
      <c r="PS380" s="120"/>
      <c r="PT380" s="120"/>
      <c r="PU380" s="120"/>
      <c r="PV380" s="120"/>
      <c r="PW380" s="120"/>
      <c r="PX380" s="120"/>
      <c r="PY380" s="120"/>
      <c r="PZ380" s="120"/>
      <c r="QA380" s="120"/>
      <c r="QB380" s="120"/>
      <c r="QC380" s="120"/>
      <c r="QD380" s="120"/>
      <c r="QE380" s="120"/>
      <c r="QF380" s="120"/>
      <c r="QG380" s="120"/>
      <c r="QH380" s="120"/>
      <c r="QI380" s="120"/>
      <c r="QJ380" s="120"/>
      <c r="QK380" s="120"/>
      <c r="QL380" s="120"/>
      <c r="QM380" s="120"/>
      <c r="QN380" s="120"/>
      <c r="QO380" s="120"/>
      <c r="QP380" s="120"/>
      <c r="QQ380" s="120"/>
      <c r="QR380" s="120"/>
      <c r="QS380" s="120"/>
      <c r="QT380" s="120"/>
      <c r="QU380" s="120"/>
      <c r="QV380" s="120"/>
      <c r="QW380" s="120"/>
      <c r="QX380" s="120"/>
      <c r="QY380" s="120"/>
      <c r="QZ380" s="120"/>
      <c r="RA380" s="120"/>
      <c r="RB380" s="120"/>
      <c r="RC380" s="120"/>
      <c r="RD380" s="120"/>
      <c r="RE380" s="120"/>
      <c r="RF380" s="120"/>
      <c r="RG380" s="120"/>
      <c r="RH380" s="120"/>
      <c r="RI380" s="120"/>
      <c r="RJ380" s="120"/>
      <c r="RK380" s="120"/>
      <c r="RL380" s="120"/>
      <c r="RM380" s="120"/>
      <c r="RN380" s="120"/>
      <c r="RO380" s="120"/>
      <c r="RP380" s="120"/>
      <c r="RQ380" s="120"/>
      <c r="RR380" s="120"/>
      <c r="RS380" s="120"/>
      <c r="RT380" s="120"/>
      <c r="RU380" s="120"/>
      <c r="RV380" s="120"/>
      <c r="RW380" s="120"/>
      <c r="RX380" s="120"/>
      <c r="RY380" s="120"/>
      <c r="RZ380" s="120"/>
      <c r="SA380" s="120"/>
      <c r="SB380" s="120"/>
      <c r="SC380" s="120"/>
      <c r="SD380" s="120"/>
      <c r="SE380" s="120"/>
      <c r="SF380" s="120"/>
      <c r="SG380" s="120"/>
      <c r="SH380" s="120"/>
      <c r="SI380" s="120"/>
      <c r="SJ380" s="120"/>
      <c r="SK380" s="120"/>
      <c r="SL380" s="120"/>
      <c r="SM380" s="120"/>
      <c r="SN380" s="120"/>
      <c r="SO380" s="120"/>
      <c r="SP380" s="120"/>
      <c r="SQ380" s="120"/>
      <c r="SR380" s="120"/>
      <c r="SS380" s="120"/>
      <c r="ST380" s="120"/>
      <c r="SU380" s="120"/>
      <c r="SV380" s="120"/>
      <c r="SW380" s="120"/>
      <c r="SX380" s="120"/>
      <c r="SY380" s="120"/>
      <c r="SZ380" s="120"/>
      <c r="TA380" s="120"/>
      <c r="TB380" s="120"/>
      <c r="TC380" s="120"/>
      <c r="TD380" s="120"/>
      <c r="TE380" s="120"/>
    </row>
    <row r="381" spans="1:525" s="111" customFormat="1" ht="33" customHeight="1" x14ac:dyDescent="0.25">
      <c r="A381" s="142" t="s">
        <v>210</v>
      </c>
      <c r="B381" s="148"/>
      <c r="C381" s="148"/>
      <c r="D381" s="138" t="s">
        <v>642</v>
      </c>
      <c r="E381" s="79">
        <f>E382</f>
        <v>10316800</v>
      </c>
      <c r="F381" s="79">
        <f t="shared" ref="F381:O381" si="197">F382</f>
        <v>10316800</v>
      </c>
      <c r="G381" s="79">
        <f t="shared" si="197"/>
        <v>7510800</v>
      </c>
      <c r="H381" s="79">
        <f t="shared" si="197"/>
        <v>164500</v>
      </c>
      <c r="I381" s="79">
        <f t="shared" si="197"/>
        <v>0</v>
      </c>
      <c r="J381" s="79">
        <f t="shared" si="197"/>
        <v>0</v>
      </c>
      <c r="K381" s="79">
        <f t="shared" si="197"/>
        <v>0</v>
      </c>
      <c r="L381" s="79">
        <f t="shared" si="197"/>
        <v>0</v>
      </c>
      <c r="M381" s="79">
        <f t="shared" si="197"/>
        <v>0</v>
      </c>
      <c r="N381" s="79">
        <f t="shared" si="197"/>
        <v>0</v>
      </c>
      <c r="O381" s="79">
        <f t="shared" si="197"/>
        <v>0</v>
      </c>
      <c r="P381" s="79">
        <f>P382</f>
        <v>10316800</v>
      </c>
      <c r="Q381" s="26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10"/>
      <c r="EW381" s="110"/>
      <c r="EX381" s="110"/>
      <c r="EY381" s="110"/>
      <c r="EZ381" s="110"/>
      <c r="FA381" s="110"/>
      <c r="FB381" s="110"/>
      <c r="FC381" s="110"/>
      <c r="FD381" s="110"/>
      <c r="FE381" s="110"/>
      <c r="FF381" s="110"/>
      <c r="FG381" s="110"/>
      <c r="FH381" s="110"/>
      <c r="FI381" s="110"/>
      <c r="FJ381" s="110"/>
      <c r="FK381" s="110"/>
      <c r="FL381" s="110"/>
      <c r="FM381" s="110"/>
      <c r="FN381" s="110"/>
      <c r="FO381" s="110"/>
      <c r="FP381" s="110"/>
      <c r="FQ381" s="110"/>
      <c r="FR381" s="110"/>
      <c r="FS381" s="110"/>
      <c r="FT381" s="110"/>
      <c r="FU381" s="110"/>
      <c r="FV381" s="110"/>
      <c r="FW381" s="110"/>
      <c r="FX381" s="110"/>
      <c r="FY381" s="110"/>
      <c r="FZ381" s="110"/>
      <c r="GA381" s="110"/>
      <c r="GB381" s="110"/>
      <c r="GC381" s="110"/>
      <c r="GD381" s="110"/>
      <c r="GE381" s="110"/>
      <c r="GF381" s="110"/>
      <c r="GG381" s="110"/>
      <c r="GH381" s="110"/>
      <c r="GI381" s="110"/>
      <c r="GJ381" s="110"/>
      <c r="GK381" s="110"/>
      <c r="GL381" s="110"/>
      <c r="GM381" s="110"/>
      <c r="GN381" s="110"/>
      <c r="GO381" s="110"/>
      <c r="GP381" s="110"/>
      <c r="GQ381" s="110"/>
      <c r="GR381" s="110"/>
      <c r="GS381" s="110"/>
      <c r="GT381" s="110"/>
      <c r="GU381" s="110"/>
      <c r="GV381" s="110"/>
      <c r="GW381" s="110"/>
      <c r="GX381" s="110"/>
      <c r="GY381" s="110"/>
      <c r="GZ381" s="110"/>
      <c r="HA381" s="110"/>
      <c r="HB381" s="110"/>
      <c r="HC381" s="110"/>
      <c r="HD381" s="110"/>
      <c r="HE381" s="110"/>
      <c r="HF381" s="110"/>
      <c r="HG381" s="110"/>
      <c r="HH381" s="110"/>
      <c r="HI381" s="110"/>
      <c r="HJ381" s="110"/>
      <c r="HK381" s="110"/>
      <c r="HL381" s="110"/>
      <c r="HM381" s="110"/>
      <c r="HN381" s="110"/>
      <c r="HO381" s="110"/>
      <c r="HP381" s="110"/>
      <c r="HQ381" s="110"/>
      <c r="HR381" s="110"/>
      <c r="HS381" s="110"/>
      <c r="HT381" s="110"/>
      <c r="HU381" s="110"/>
      <c r="HV381" s="110"/>
      <c r="HW381" s="110"/>
      <c r="HX381" s="110"/>
      <c r="HY381" s="110"/>
      <c r="HZ381" s="110"/>
      <c r="IA381" s="110"/>
      <c r="IB381" s="110"/>
      <c r="IC381" s="110"/>
      <c r="ID381" s="110"/>
      <c r="IE381" s="110"/>
      <c r="IF381" s="110"/>
      <c r="IG381" s="110"/>
      <c r="IH381" s="110"/>
      <c r="II381" s="110"/>
      <c r="IJ381" s="110"/>
      <c r="IK381" s="110"/>
      <c r="IL381" s="110"/>
      <c r="IM381" s="110"/>
      <c r="IN381" s="110"/>
      <c r="IO381" s="110"/>
      <c r="IP381" s="110"/>
      <c r="IQ381" s="110"/>
      <c r="IR381" s="110"/>
      <c r="IS381" s="110"/>
      <c r="IT381" s="110"/>
      <c r="IU381" s="110"/>
      <c r="IV381" s="110"/>
      <c r="IW381" s="110"/>
      <c r="IX381" s="110"/>
      <c r="IY381" s="110"/>
      <c r="IZ381" s="110"/>
      <c r="JA381" s="110"/>
      <c r="JB381" s="110"/>
      <c r="JC381" s="110"/>
      <c r="JD381" s="110"/>
      <c r="JE381" s="110"/>
      <c r="JF381" s="110"/>
      <c r="JG381" s="110"/>
      <c r="JH381" s="110"/>
      <c r="JI381" s="110"/>
      <c r="JJ381" s="110"/>
      <c r="JK381" s="110"/>
      <c r="JL381" s="110"/>
      <c r="JM381" s="110"/>
      <c r="JN381" s="110"/>
      <c r="JO381" s="110"/>
      <c r="JP381" s="110"/>
      <c r="JQ381" s="110"/>
      <c r="JR381" s="110"/>
      <c r="JS381" s="110"/>
      <c r="JT381" s="110"/>
      <c r="JU381" s="110"/>
      <c r="JV381" s="110"/>
      <c r="JW381" s="110"/>
      <c r="JX381" s="110"/>
      <c r="JY381" s="110"/>
      <c r="JZ381" s="110"/>
      <c r="KA381" s="110"/>
      <c r="KB381" s="110"/>
      <c r="KC381" s="110"/>
      <c r="KD381" s="110"/>
      <c r="KE381" s="110"/>
      <c r="KF381" s="110"/>
      <c r="KG381" s="110"/>
      <c r="KH381" s="110"/>
      <c r="KI381" s="110"/>
      <c r="KJ381" s="110"/>
      <c r="KK381" s="110"/>
      <c r="KL381" s="110"/>
      <c r="KM381" s="110"/>
      <c r="KN381" s="110"/>
      <c r="KO381" s="110"/>
      <c r="KP381" s="110"/>
      <c r="KQ381" s="110"/>
      <c r="KR381" s="110"/>
      <c r="KS381" s="110"/>
      <c r="KT381" s="110"/>
      <c r="KU381" s="110"/>
      <c r="KV381" s="110"/>
      <c r="KW381" s="110"/>
      <c r="KX381" s="110"/>
      <c r="KY381" s="110"/>
      <c r="KZ381" s="110"/>
      <c r="LA381" s="110"/>
      <c r="LB381" s="110"/>
      <c r="LC381" s="110"/>
      <c r="LD381" s="110"/>
      <c r="LE381" s="110"/>
      <c r="LF381" s="110"/>
      <c r="LG381" s="110"/>
      <c r="LH381" s="110"/>
      <c r="LI381" s="110"/>
      <c r="LJ381" s="110"/>
      <c r="LK381" s="110"/>
      <c r="LL381" s="110"/>
      <c r="LM381" s="110"/>
      <c r="LN381" s="110"/>
      <c r="LO381" s="110"/>
      <c r="LP381" s="110"/>
      <c r="LQ381" s="110"/>
      <c r="LR381" s="110"/>
      <c r="LS381" s="110"/>
      <c r="LT381" s="110"/>
      <c r="LU381" s="110"/>
      <c r="LV381" s="110"/>
      <c r="LW381" s="110"/>
      <c r="LX381" s="110"/>
      <c r="LY381" s="110"/>
      <c r="LZ381" s="110"/>
      <c r="MA381" s="110"/>
      <c r="MB381" s="110"/>
      <c r="MC381" s="110"/>
      <c r="MD381" s="110"/>
      <c r="ME381" s="110"/>
      <c r="MF381" s="110"/>
      <c r="MG381" s="110"/>
      <c r="MH381" s="110"/>
      <c r="MI381" s="110"/>
      <c r="MJ381" s="110"/>
      <c r="MK381" s="110"/>
      <c r="ML381" s="110"/>
      <c r="MM381" s="110"/>
      <c r="MN381" s="110"/>
      <c r="MO381" s="110"/>
      <c r="MP381" s="110"/>
      <c r="MQ381" s="110"/>
      <c r="MR381" s="110"/>
      <c r="MS381" s="110"/>
      <c r="MT381" s="110"/>
      <c r="MU381" s="110"/>
      <c r="MV381" s="110"/>
      <c r="MW381" s="110"/>
      <c r="MX381" s="110"/>
      <c r="MY381" s="110"/>
      <c r="MZ381" s="110"/>
      <c r="NA381" s="110"/>
      <c r="NB381" s="110"/>
      <c r="NC381" s="110"/>
      <c r="ND381" s="110"/>
      <c r="NE381" s="110"/>
      <c r="NF381" s="110"/>
      <c r="NG381" s="110"/>
      <c r="NH381" s="110"/>
      <c r="NI381" s="110"/>
      <c r="NJ381" s="110"/>
      <c r="NK381" s="110"/>
      <c r="NL381" s="110"/>
      <c r="NM381" s="110"/>
      <c r="NN381" s="110"/>
      <c r="NO381" s="110"/>
      <c r="NP381" s="110"/>
      <c r="NQ381" s="110"/>
      <c r="NR381" s="110"/>
      <c r="NS381" s="110"/>
      <c r="NT381" s="110"/>
      <c r="NU381" s="110"/>
      <c r="NV381" s="110"/>
      <c r="NW381" s="110"/>
      <c r="NX381" s="110"/>
      <c r="NY381" s="110"/>
      <c r="NZ381" s="110"/>
      <c r="OA381" s="110"/>
      <c r="OB381" s="110"/>
      <c r="OC381" s="110"/>
      <c r="OD381" s="110"/>
      <c r="OE381" s="110"/>
      <c r="OF381" s="110"/>
      <c r="OG381" s="110"/>
      <c r="OH381" s="110"/>
      <c r="OI381" s="110"/>
      <c r="OJ381" s="110"/>
      <c r="OK381" s="110"/>
      <c r="OL381" s="110"/>
      <c r="OM381" s="110"/>
      <c r="ON381" s="110"/>
      <c r="OO381" s="110"/>
      <c r="OP381" s="110"/>
      <c r="OQ381" s="110"/>
      <c r="OR381" s="110"/>
      <c r="OS381" s="110"/>
      <c r="OT381" s="110"/>
      <c r="OU381" s="110"/>
      <c r="OV381" s="110"/>
      <c r="OW381" s="110"/>
      <c r="OX381" s="110"/>
      <c r="OY381" s="110"/>
      <c r="OZ381" s="110"/>
      <c r="PA381" s="110"/>
      <c r="PB381" s="110"/>
      <c r="PC381" s="110"/>
      <c r="PD381" s="110"/>
      <c r="PE381" s="110"/>
      <c r="PF381" s="110"/>
      <c r="PG381" s="110"/>
      <c r="PH381" s="110"/>
      <c r="PI381" s="110"/>
      <c r="PJ381" s="110"/>
      <c r="PK381" s="110"/>
      <c r="PL381" s="110"/>
      <c r="PM381" s="110"/>
      <c r="PN381" s="110"/>
      <c r="PO381" s="110"/>
      <c r="PP381" s="110"/>
      <c r="PQ381" s="110"/>
      <c r="PR381" s="110"/>
      <c r="PS381" s="110"/>
      <c r="PT381" s="110"/>
      <c r="PU381" s="110"/>
      <c r="PV381" s="110"/>
      <c r="PW381" s="110"/>
      <c r="PX381" s="110"/>
      <c r="PY381" s="110"/>
      <c r="PZ381" s="110"/>
      <c r="QA381" s="110"/>
      <c r="QB381" s="110"/>
      <c r="QC381" s="110"/>
      <c r="QD381" s="110"/>
      <c r="QE381" s="110"/>
      <c r="QF381" s="110"/>
      <c r="QG381" s="110"/>
      <c r="QH381" s="110"/>
      <c r="QI381" s="110"/>
      <c r="QJ381" s="110"/>
      <c r="QK381" s="110"/>
      <c r="QL381" s="110"/>
      <c r="QM381" s="110"/>
      <c r="QN381" s="110"/>
      <c r="QO381" s="110"/>
      <c r="QP381" s="110"/>
      <c r="QQ381" s="110"/>
      <c r="QR381" s="110"/>
      <c r="QS381" s="110"/>
      <c r="QT381" s="110"/>
      <c r="QU381" s="110"/>
      <c r="QV381" s="110"/>
      <c r="QW381" s="110"/>
      <c r="QX381" s="110"/>
      <c r="QY381" s="110"/>
      <c r="QZ381" s="110"/>
      <c r="RA381" s="110"/>
      <c r="RB381" s="110"/>
      <c r="RC381" s="110"/>
      <c r="RD381" s="110"/>
      <c r="RE381" s="110"/>
      <c r="RF381" s="110"/>
      <c r="RG381" s="110"/>
      <c r="RH381" s="110"/>
      <c r="RI381" s="110"/>
      <c r="RJ381" s="110"/>
      <c r="RK381" s="110"/>
      <c r="RL381" s="110"/>
      <c r="RM381" s="110"/>
      <c r="RN381" s="110"/>
      <c r="RO381" s="110"/>
      <c r="RP381" s="110"/>
      <c r="RQ381" s="110"/>
      <c r="RR381" s="110"/>
      <c r="RS381" s="110"/>
      <c r="RT381" s="110"/>
      <c r="RU381" s="110"/>
      <c r="RV381" s="110"/>
      <c r="RW381" s="110"/>
      <c r="RX381" s="110"/>
      <c r="RY381" s="110"/>
      <c r="RZ381" s="110"/>
      <c r="SA381" s="110"/>
      <c r="SB381" s="110"/>
      <c r="SC381" s="110"/>
      <c r="SD381" s="110"/>
      <c r="SE381" s="110"/>
      <c r="SF381" s="110"/>
      <c r="SG381" s="110"/>
      <c r="SH381" s="110"/>
      <c r="SI381" s="110"/>
      <c r="SJ381" s="110"/>
      <c r="SK381" s="110"/>
      <c r="SL381" s="110"/>
      <c r="SM381" s="110"/>
      <c r="SN381" s="110"/>
      <c r="SO381" s="110"/>
      <c r="SP381" s="110"/>
      <c r="SQ381" s="110"/>
      <c r="SR381" s="110"/>
      <c r="SS381" s="110"/>
      <c r="ST381" s="110"/>
      <c r="SU381" s="110"/>
      <c r="SV381" s="110"/>
      <c r="SW381" s="110"/>
      <c r="SX381" s="110"/>
      <c r="SY381" s="110"/>
      <c r="SZ381" s="110"/>
      <c r="TA381" s="110"/>
      <c r="TB381" s="110"/>
      <c r="TC381" s="110"/>
      <c r="TD381" s="110"/>
      <c r="TE381" s="110"/>
    </row>
    <row r="382" spans="1:525" s="116" customFormat="1" ht="32.25" customHeight="1" x14ac:dyDescent="0.25">
      <c r="A382" s="112" t="s">
        <v>211</v>
      </c>
      <c r="B382" s="141"/>
      <c r="C382" s="141"/>
      <c r="D382" s="114" t="s">
        <v>642</v>
      </c>
      <c r="E382" s="80">
        <f>E383+E384++E385+E386+E387+E388</f>
        <v>10316800</v>
      </c>
      <c r="F382" s="80">
        <f t="shared" ref="F382:J382" si="198">F383+F384++F385+F386+F387+F388</f>
        <v>10316800</v>
      </c>
      <c r="G382" s="80">
        <f t="shared" si="198"/>
        <v>7510800</v>
      </c>
      <c r="H382" s="80">
        <f t="shared" si="198"/>
        <v>164500</v>
      </c>
      <c r="I382" s="80">
        <f t="shared" si="198"/>
        <v>0</v>
      </c>
      <c r="J382" s="80">
        <f t="shared" si="198"/>
        <v>0</v>
      </c>
      <c r="K382" s="80">
        <f>K383+K384++K385+K386+K387+K388</f>
        <v>0</v>
      </c>
      <c r="L382" s="80">
        <f t="shared" ref="L382:P382" si="199">L383+L384++L385+L386+L387+L388</f>
        <v>0</v>
      </c>
      <c r="M382" s="80">
        <f t="shared" si="199"/>
        <v>0</v>
      </c>
      <c r="N382" s="80">
        <f t="shared" si="199"/>
        <v>0</v>
      </c>
      <c r="O382" s="80">
        <f t="shared" si="199"/>
        <v>0</v>
      </c>
      <c r="P382" s="80">
        <f t="shared" si="199"/>
        <v>10316800</v>
      </c>
      <c r="Q382" s="260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  <c r="HU382" s="115"/>
      <c r="HV382" s="115"/>
      <c r="HW382" s="115"/>
      <c r="HX382" s="115"/>
      <c r="HY382" s="115"/>
      <c r="HZ382" s="115"/>
      <c r="IA382" s="115"/>
      <c r="IB382" s="115"/>
      <c r="IC382" s="115"/>
      <c r="ID382" s="115"/>
      <c r="IE382" s="115"/>
      <c r="IF382" s="115"/>
      <c r="IG382" s="115"/>
      <c r="IH382" s="115"/>
      <c r="II382" s="115"/>
      <c r="IJ382" s="115"/>
      <c r="IK382" s="115"/>
      <c r="IL382" s="115"/>
      <c r="IM382" s="115"/>
      <c r="IN382" s="115"/>
      <c r="IO382" s="115"/>
      <c r="IP382" s="115"/>
      <c r="IQ382" s="115"/>
      <c r="IR382" s="115"/>
      <c r="IS382" s="115"/>
      <c r="IT382" s="115"/>
      <c r="IU382" s="115"/>
      <c r="IV382" s="115"/>
      <c r="IW382" s="115"/>
      <c r="IX382" s="115"/>
      <c r="IY382" s="115"/>
      <c r="IZ382" s="115"/>
      <c r="JA382" s="115"/>
      <c r="JB382" s="115"/>
      <c r="JC382" s="115"/>
      <c r="JD382" s="115"/>
      <c r="JE382" s="115"/>
      <c r="JF382" s="115"/>
      <c r="JG382" s="115"/>
      <c r="JH382" s="115"/>
      <c r="JI382" s="115"/>
      <c r="JJ382" s="115"/>
      <c r="JK382" s="115"/>
      <c r="JL382" s="115"/>
      <c r="JM382" s="115"/>
      <c r="JN382" s="115"/>
      <c r="JO382" s="115"/>
      <c r="JP382" s="115"/>
      <c r="JQ382" s="115"/>
      <c r="JR382" s="115"/>
      <c r="JS382" s="115"/>
      <c r="JT382" s="115"/>
      <c r="JU382" s="115"/>
      <c r="JV382" s="115"/>
      <c r="JW382" s="115"/>
      <c r="JX382" s="115"/>
      <c r="JY382" s="115"/>
      <c r="JZ382" s="115"/>
      <c r="KA382" s="115"/>
      <c r="KB382" s="115"/>
      <c r="KC382" s="115"/>
      <c r="KD382" s="115"/>
      <c r="KE382" s="115"/>
      <c r="KF382" s="115"/>
      <c r="KG382" s="115"/>
      <c r="KH382" s="115"/>
      <c r="KI382" s="115"/>
      <c r="KJ382" s="115"/>
      <c r="KK382" s="115"/>
      <c r="KL382" s="115"/>
      <c r="KM382" s="115"/>
      <c r="KN382" s="115"/>
      <c r="KO382" s="115"/>
      <c r="KP382" s="115"/>
      <c r="KQ382" s="115"/>
      <c r="KR382" s="115"/>
      <c r="KS382" s="115"/>
      <c r="KT382" s="115"/>
      <c r="KU382" s="115"/>
      <c r="KV382" s="115"/>
      <c r="KW382" s="115"/>
      <c r="KX382" s="115"/>
      <c r="KY382" s="115"/>
      <c r="KZ382" s="115"/>
      <c r="LA382" s="115"/>
      <c r="LB382" s="115"/>
      <c r="LC382" s="115"/>
      <c r="LD382" s="115"/>
      <c r="LE382" s="115"/>
      <c r="LF382" s="115"/>
      <c r="LG382" s="115"/>
      <c r="LH382" s="115"/>
      <c r="LI382" s="115"/>
      <c r="LJ382" s="115"/>
      <c r="LK382" s="115"/>
      <c r="LL382" s="115"/>
      <c r="LM382" s="115"/>
      <c r="LN382" s="115"/>
      <c r="LO382" s="115"/>
      <c r="LP382" s="115"/>
      <c r="LQ382" s="115"/>
      <c r="LR382" s="115"/>
      <c r="LS382" s="115"/>
      <c r="LT382" s="115"/>
      <c r="LU382" s="115"/>
      <c r="LV382" s="115"/>
      <c r="LW382" s="115"/>
      <c r="LX382" s="115"/>
      <c r="LY382" s="115"/>
      <c r="LZ382" s="115"/>
      <c r="MA382" s="115"/>
      <c r="MB382" s="115"/>
      <c r="MC382" s="115"/>
      <c r="MD382" s="115"/>
      <c r="ME382" s="115"/>
      <c r="MF382" s="115"/>
      <c r="MG382" s="115"/>
      <c r="MH382" s="115"/>
      <c r="MI382" s="115"/>
      <c r="MJ382" s="115"/>
      <c r="MK382" s="115"/>
      <c r="ML382" s="115"/>
      <c r="MM382" s="115"/>
      <c r="MN382" s="115"/>
      <c r="MO382" s="115"/>
      <c r="MP382" s="115"/>
      <c r="MQ382" s="115"/>
      <c r="MR382" s="115"/>
      <c r="MS382" s="115"/>
      <c r="MT382" s="115"/>
      <c r="MU382" s="115"/>
      <c r="MV382" s="115"/>
      <c r="MW382" s="115"/>
      <c r="MX382" s="115"/>
      <c r="MY382" s="115"/>
      <c r="MZ382" s="115"/>
      <c r="NA382" s="115"/>
      <c r="NB382" s="115"/>
      <c r="NC382" s="115"/>
      <c r="ND382" s="115"/>
      <c r="NE382" s="115"/>
      <c r="NF382" s="115"/>
      <c r="NG382" s="115"/>
      <c r="NH382" s="115"/>
      <c r="NI382" s="115"/>
      <c r="NJ382" s="115"/>
      <c r="NK382" s="115"/>
      <c r="NL382" s="115"/>
      <c r="NM382" s="115"/>
      <c r="NN382" s="115"/>
      <c r="NO382" s="115"/>
      <c r="NP382" s="115"/>
      <c r="NQ382" s="115"/>
      <c r="NR382" s="115"/>
      <c r="NS382" s="115"/>
      <c r="NT382" s="115"/>
      <c r="NU382" s="115"/>
      <c r="NV382" s="115"/>
      <c r="NW382" s="115"/>
      <c r="NX382" s="115"/>
      <c r="NY382" s="115"/>
      <c r="NZ382" s="115"/>
      <c r="OA382" s="115"/>
      <c r="OB382" s="115"/>
      <c r="OC382" s="115"/>
      <c r="OD382" s="115"/>
      <c r="OE382" s="115"/>
      <c r="OF382" s="115"/>
      <c r="OG382" s="115"/>
      <c r="OH382" s="115"/>
      <c r="OI382" s="115"/>
      <c r="OJ382" s="115"/>
      <c r="OK382" s="115"/>
      <c r="OL382" s="115"/>
      <c r="OM382" s="115"/>
      <c r="ON382" s="115"/>
      <c r="OO382" s="115"/>
      <c r="OP382" s="115"/>
      <c r="OQ382" s="115"/>
      <c r="OR382" s="115"/>
      <c r="OS382" s="115"/>
      <c r="OT382" s="115"/>
      <c r="OU382" s="115"/>
      <c r="OV382" s="115"/>
      <c r="OW382" s="115"/>
      <c r="OX382" s="115"/>
      <c r="OY382" s="115"/>
      <c r="OZ382" s="115"/>
      <c r="PA382" s="115"/>
      <c r="PB382" s="115"/>
      <c r="PC382" s="115"/>
      <c r="PD382" s="115"/>
      <c r="PE382" s="115"/>
      <c r="PF382" s="115"/>
      <c r="PG382" s="115"/>
      <c r="PH382" s="115"/>
      <c r="PI382" s="115"/>
      <c r="PJ382" s="115"/>
      <c r="PK382" s="115"/>
      <c r="PL382" s="115"/>
      <c r="PM382" s="115"/>
      <c r="PN382" s="115"/>
      <c r="PO382" s="115"/>
      <c r="PP382" s="115"/>
      <c r="PQ382" s="115"/>
      <c r="PR382" s="115"/>
      <c r="PS382" s="115"/>
      <c r="PT382" s="115"/>
      <c r="PU382" s="115"/>
      <c r="PV382" s="115"/>
      <c r="PW382" s="115"/>
      <c r="PX382" s="115"/>
      <c r="PY382" s="115"/>
      <c r="PZ382" s="115"/>
      <c r="QA382" s="115"/>
      <c r="QB382" s="115"/>
      <c r="QC382" s="115"/>
      <c r="QD382" s="115"/>
      <c r="QE382" s="115"/>
      <c r="QF382" s="115"/>
      <c r="QG382" s="115"/>
      <c r="QH382" s="115"/>
      <c r="QI382" s="115"/>
      <c r="QJ382" s="115"/>
      <c r="QK382" s="115"/>
      <c r="QL382" s="115"/>
      <c r="QM382" s="115"/>
      <c r="QN382" s="115"/>
      <c r="QO382" s="115"/>
      <c r="QP382" s="115"/>
      <c r="QQ382" s="115"/>
      <c r="QR382" s="115"/>
      <c r="QS382" s="115"/>
      <c r="QT382" s="115"/>
      <c r="QU382" s="115"/>
      <c r="QV382" s="115"/>
      <c r="QW382" s="115"/>
      <c r="QX382" s="115"/>
      <c r="QY382" s="115"/>
      <c r="QZ382" s="115"/>
      <c r="RA382" s="115"/>
      <c r="RB382" s="115"/>
      <c r="RC382" s="115"/>
      <c r="RD382" s="115"/>
      <c r="RE382" s="115"/>
      <c r="RF382" s="115"/>
      <c r="RG382" s="115"/>
      <c r="RH382" s="115"/>
      <c r="RI382" s="115"/>
      <c r="RJ382" s="115"/>
      <c r="RK382" s="115"/>
      <c r="RL382" s="115"/>
      <c r="RM382" s="115"/>
      <c r="RN382" s="115"/>
      <c r="RO382" s="115"/>
      <c r="RP382" s="115"/>
      <c r="RQ382" s="115"/>
      <c r="RR382" s="115"/>
      <c r="RS382" s="115"/>
      <c r="RT382" s="115"/>
      <c r="RU382" s="115"/>
      <c r="RV382" s="115"/>
      <c r="RW382" s="115"/>
      <c r="RX382" s="115"/>
      <c r="RY382" s="115"/>
      <c r="RZ382" s="115"/>
      <c r="SA382" s="115"/>
      <c r="SB382" s="115"/>
      <c r="SC382" s="115"/>
      <c r="SD382" s="115"/>
      <c r="SE382" s="115"/>
      <c r="SF382" s="115"/>
      <c r="SG382" s="115"/>
      <c r="SH382" s="115"/>
      <c r="SI382" s="115"/>
      <c r="SJ382" s="115"/>
      <c r="SK382" s="115"/>
      <c r="SL382" s="115"/>
      <c r="SM382" s="115"/>
      <c r="SN382" s="115"/>
      <c r="SO382" s="115"/>
      <c r="SP382" s="115"/>
      <c r="SQ382" s="115"/>
      <c r="SR382" s="115"/>
      <c r="SS382" s="115"/>
      <c r="ST382" s="115"/>
      <c r="SU382" s="115"/>
      <c r="SV382" s="115"/>
      <c r="SW382" s="115"/>
      <c r="SX382" s="115"/>
      <c r="SY382" s="115"/>
      <c r="SZ382" s="115"/>
      <c r="TA382" s="115"/>
      <c r="TB382" s="115"/>
      <c r="TC382" s="115"/>
      <c r="TD382" s="115"/>
      <c r="TE382" s="115"/>
    </row>
    <row r="383" spans="1:525" s="121" customFormat="1" ht="50.25" customHeight="1" x14ac:dyDescent="0.25">
      <c r="A383" s="117" t="s">
        <v>212</v>
      </c>
      <c r="B383" s="118" t="str">
        <f>'дод 6'!A16</f>
        <v>0160</v>
      </c>
      <c r="C383" s="118" t="str">
        <f>'дод 6'!B16</f>
        <v>0111</v>
      </c>
      <c r="D38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83" s="81">
        <f t="shared" ref="E383:E388" si="200">F383+I383</f>
        <v>9726600</v>
      </c>
      <c r="F383" s="81">
        <f>7869800+200600+2197900+8700-546000-23900+19500</f>
        <v>9726600</v>
      </c>
      <c r="G383" s="81">
        <f>6156700+1801600-447500</f>
        <v>7510800</v>
      </c>
      <c r="H383" s="81">
        <f>153900+8700-23900+19500+6300</f>
        <v>164500</v>
      </c>
      <c r="I383" s="81"/>
      <c r="J383" s="81">
        <f>L383+O383</f>
        <v>0</v>
      </c>
      <c r="K383" s="81"/>
      <c r="L383" s="81"/>
      <c r="M383" s="81"/>
      <c r="N383" s="81"/>
      <c r="O383" s="81"/>
      <c r="P383" s="81">
        <f t="shared" ref="P383:P388" si="201">E383+J383</f>
        <v>9726600</v>
      </c>
      <c r="Q383" s="26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  <c r="IW383" s="120"/>
      <c r="IX383" s="120"/>
      <c r="IY383" s="120"/>
      <c r="IZ383" s="120"/>
      <c r="JA383" s="120"/>
      <c r="JB383" s="120"/>
      <c r="JC383" s="120"/>
      <c r="JD383" s="120"/>
      <c r="JE383" s="120"/>
      <c r="JF383" s="120"/>
      <c r="JG383" s="120"/>
      <c r="JH383" s="120"/>
      <c r="JI383" s="120"/>
      <c r="JJ383" s="120"/>
      <c r="JK383" s="120"/>
      <c r="JL383" s="120"/>
      <c r="JM383" s="120"/>
      <c r="JN383" s="120"/>
      <c r="JO383" s="120"/>
      <c r="JP383" s="120"/>
      <c r="JQ383" s="120"/>
      <c r="JR383" s="120"/>
      <c r="JS383" s="120"/>
      <c r="JT383" s="120"/>
      <c r="JU383" s="120"/>
      <c r="JV383" s="120"/>
      <c r="JW383" s="120"/>
      <c r="JX383" s="120"/>
      <c r="JY383" s="120"/>
      <c r="JZ383" s="120"/>
      <c r="KA383" s="120"/>
      <c r="KB383" s="120"/>
      <c r="KC383" s="120"/>
      <c r="KD383" s="120"/>
      <c r="KE383" s="120"/>
      <c r="KF383" s="120"/>
      <c r="KG383" s="120"/>
      <c r="KH383" s="120"/>
      <c r="KI383" s="120"/>
      <c r="KJ383" s="120"/>
      <c r="KK383" s="120"/>
      <c r="KL383" s="120"/>
      <c r="KM383" s="120"/>
      <c r="KN383" s="120"/>
      <c r="KO383" s="120"/>
      <c r="KP383" s="120"/>
      <c r="KQ383" s="120"/>
      <c r="KR383" s="120"/>
      <c r="KS383" s="120"/>
      <c r="KT383" s="120"/>
      <c r="KU383" s="120"/>
      <c r="KV383" s="120"/>
      <c r="KW383" s="120"/>
      <c r="KX383" s="120"/>
      <c r="KY383" s="120"/>
      <c r="KZ383" s="120"/>
      <c r="LA383" s="120"/>
      <c r="LB383" s="120"/>
      <c r="LC383" s="120"/>
      <c r="LD383" s="120"/>
      <c r="LE383" s="120"/>
      <c r="LF383" s="120"/>
      <c r="LG383" s="120"/>
      <c r="LH383" s="120"/>
      <c r="LI383" s="120"/>
      <c r="LJ383" s="120"/>
      <c r="LK383" s="120"/>
      <c r="LL383" s="120"/>
      <c r="LM383" s="120"/>
      <c r="LN383" s="120"/>
      <c r="LO383" s="120"/>
      <c r="LP383" s="120"/>
      <c r="LQ383" s="120"/>
      <c r="LR383" s="120"/>
      <c r="LS383" s="120"/>
      <c r="LT383" s="120"/>
      <c r="LU383" s="120"/>
      <c r="LV383" s="120"/>
      <c r="LW383" s="120"/>
      <c r="LX383" s="120"/>
      <c r="LY383" s="120"/>
      <c r="LZ383" s="120"/>
      <c r="MA383" s="120"/>
      <c r="MB383" s="120"/>
      <c r="MC383" s="120"/>
      <c r="MD383" s="120"/>
      <c r="ME383" s="120"/>
      <c r="MF383" s="120"/>
      <c r="MG383" s="120"/>
      <c r="MH383" s="120"/>
      <c r="MI383" s="120"/>
      <c r="MJ383" s="120"/>
      <c r="MK383" s="120"/>
      <c r="ML383" s="120"/>
      <c r="MM383" s="120"/>
      <c r="MN383" s="120"/>
      <c r="MO383" s="120"/>
      <c r="MP383" s="120"/>
      <c r="MQ383" s="120"/>
      <c r="MR383" s="120"/>
      <c r="MS383" s="120"/>
      <c r="MT383" s="120"/>
      <c r="MU383" s="120"/>
      <c r="MV383" s="120"/>
      <c r="MW383" s="120"/>
      <c r="MX383" s="120"/>
      <c r="MY383" s="120"/>
      <c r="MZ383" s="120"/>
      <c r="NA383" s="120"/>
      <c r="NB383" s="120"/>
      <c r="NC383" s="120"/>
      <c r="ND383" s="120"/>
      <c r="NE383" s="120"/>
      <c r="NF383" s="120"/>
      <c r="NG383" s="120"/>
      <c r="NH383" s="120"/>
      <c r="NI383" s="120"/>
      <c r="NJ383" s="120"/>
      <c r="NK383" s="120"/>
      <c r="NL383" s="120"/>
      <c r="NM383" s="120"/>
      <c r="NN383" s="120"/>
      <c r="NO383" s="120"/>
      <c r="NP383" s="120"/>
      <c r="NQ383" s="120"/>
      <c r="NR383" s="120"/>
      <c r="NS383" s="120"/>
      <c r="NT383" s="120"/>
      <c r="NU383" s="120"/>
      <c r="NV383" s="120"/>
      <c r="NW383" s="120"/>
      <c r="NX383" s="120"/>
      <c r="NY383" s="120"/>
      <c r="NZ383" s="120"/>
      <c r="OA383" s="120"/>
      <c r="OB383" s="120"/>
      <c r="OC383" s="120"/>
      <c r="OD383" s="120"/>
      <c r="OE383" s="120"/>
      <c r="OF383" s="120"/>
      <c r="OG383" s="120"/>
      <c r="OH383" s="120"/>
      <c r="OI383" s="120"/>
      <c r="OJ383" s="120"/>
      <c r="OK383" s="120"/>
      <c r="OL383" s="120"/>
      <c r="OM383" s="120"/>
      <c r="ON383" s="120"/>
      <c r="OO383" s="120"/>
      <c r="OP383" s="120"/>
      <c r="OQ383" s="120"/>
      <c r="OR383" s="120"/>
      <c r="OS383" s="120"/>
      <c r="OT383" s="120"/>
      <c r="OU383" s="120"/>
      <c r="OV383" s="120"/>
      <c r="OW383" s="120"/>
      <c r="OX383" s="120"/>
      <c r="OY383" s="120"/>
      <c r="OZ383" s="120"/>
      <c r="PA383" s="120"/>
      <c r="PB383" s="120"/>
      <c r="PC383" s="120"/>
      <c r="PD383" s="120"/>
      <c r="PE383" s="120"/>
      <c r="PF383" s="120"/>
      <c r="PG383" s="120"/>
      <c r="PH383" s="120"/>
      <c r="PI383" s="120"/>
      <c r="PJ383" s="120"/>
      <c r="PK383" s="120"/>
      <c r="PL383" s="120"/>
      <c r="PM383" s="120"/>
      <c r="PN383" s="120"/>
      <c r="PO383" s="120"/>
      <c r="PP383" s="120"/>
      <c r="PQ383" s="120"/>
      <c r="PR383" s="120"/>
      <c r="PS383" s="120"/>
      <c r="PT383" s="120"/>
      <c r="PU383" s="120"/>
      <c r="PV383" s="120"/>
      <c r="PW383" s="120"/>
      <c r="PX383" s="120"/>
      <c r="PY383" s="120"/>
      <c r="PZ383" s="120"/>
      <c r="QA383" s="120"/>
      <c r="QB383" s="120"/>
      <c r="QC383" s="120"/>
      <c r="QD383" s="120"/>
      <c r="QE383" s="120"/>
      <c r="QF383" s="120"/>
      <c r="QG383" s="120"/>
      <c r="QH383" s="120"/>
      <c r="QI383" s="120"/>
      <c r="QJ383" s="120"/>
      <c r="QK383" s="120"/>
      <c r="QL383" s="120"/>
      <c r="QM383" s="120"/>
      <c r="QN383" s="120"/>
      <c r="QO383" s="120"/>
      <c r="QP383" s="120"/>
      <c r="QQ383" s="120"/>
      <c r="QR383" s="120"/>
      <c r="QS383" s="120"/>
      <c r="QT383" s="120"/>
      <c r="QU383" s="120"/>
      <c r="QV383" s="120"/>
      <c r="QW383" s="120"/>
      <c r="QX383" s="120"/>
      <c r="QY383" s="120"/>
      <c r="QZ383" s="120"/>
      <c r="RA383" s="120"/>
      <c r="RB383" s="120"/>
      <c r="RC383" s="120"/>
      <c r="RD383" s="120"/>
      <c r="RE383" s="120"/>
      <c r="RF383" s="120"/>
      <c r="RG383" s="120"/>
      <c r="RH383" s="120"/>
      <c r="RI383" s="120"/>
      <c r="RJ383" s="120"/>
      <c r="RK383" s="120"/>
      <c r="RL383" s="120"/>
      <c r="RM383" s="120"/>
      <c r="RN383" s="120"/>
      <c r="RO383" s="120"/>
      <c r="RP383" s="120"/>
      <c r="RQ383" s="120"/>
      <c r="RR383" s="120"/>
      <c r="RS383" s="120"/>
      <c r="RT383" s="120"/>
      <c r="RU383" s="120"/>
      <c r="RV383" s="120"/>
      <c r="RW383" s="120"/>
      <c r="RX383" s="120"/>
      <c r="RY383" s="120"/>
      <c r="RZ383" s="120"/>
      <c r="SA383" s="120"/>
      <c r="SB383" s="120"/>
      <c r="SC383" s="120"/>
      <c r="SD383" s="120"/>
      <c r="SE383" s="120"/>
      <c r="SF383" s="120"/>
      <c r="SG383" s="120"/>
      <c r="SH383" s="120"/>
      <c r="SI383" s="120"/>
      <c r="SJ383" s="120"/>
      <c r="SK383" s="120"/>
      <c r="SL383" s="120"/>
      <c r="SM383" s="120"/>
      <c r="SN383" s="120"/>
      <c r="SO383" s="120"/>
      <c r="SP383" s="120"/>
      <c r="SQ383" s="120"/>
      <c r="SR383" s="120"/>
      <c r="SS383" s="120"/>
      <c r="ST383" s="120"/>
      <c r="SU383" s="120"/>
      <c r="SV383" s="120"/>
      <c r="SW383" s="120"/>
      <c r="SX383" s="120"/>
      <c r="SY383" s="120"/>
      <c r="SZ383" s="120"/>
      <c r="TA383" s="120"/>
      <c r="TB383" s="120"/>
      <c r="TC383" s="120"/>
      <c r="TD383" s="120"/>
      <c r="TE383" s="120"/>
    </row>
    <row r="384" spans="1:525" s="159" customFormat="1" ht="21" hidden="1" customHeight="1" x14ac:dyDescent="0.25">
      <c r="A384" s="117" t="s">
        <v>213</v>
      </c>
      <c r="B384" s="118" t="str">
        <f>'дод 6'!A194</f>
        <v>7130</v>
      </c>
      <c r="C384" s="118" t="str">
        <f>'дод 6'!B194</f>
        <v>0421</v>
      </c>
      <c r="D384" s="122" t="str">
        <f>'дод 6'!C194</f>
        <v>Здійснення заходів із землеустрою</v>
      </c>
      <c r="E384" s="81">
        <f t="shared" si="200"/>
        <v>0</v>
      </c>
      <c r="F384" s="81"/>
      <c r="G384" s="81"/>
      <c r="H384" s="81"/>
      <c r="I384" s="81"/>
      <c r="J384" s="81">
        <f t="shared" ref="J384:J388" si="202">L384+O384</f>
        <v>0</v>
      </c>
      <c r="K384" s="81"/>
      <c r="L384" s="81"/>
      <c r="M384" s="81"/>
      <c r="N384" s="81"/>
      <c r="O384" s="81"/>
      <c r="P384" s="81">
        <f t="shared" si="201"/>
        <v>0</v>
      </c>
      <c r="Q384" s="260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  <c r="CW384" s="158"/>
      <c r="CX384" s="158"/>
      <c r="CY384" s="158"/>
      <c r="CZ384" s="158"/>
      <c r="DA384" s="158"/>
      <c r="DB384" s="158"/>
      <c r="DC384" s="158"/>
      <c r="DD384" s="158"/>
      <c r="DE384" s="158"/>
      <c r="DF384" s="158"/>
      <c r="DG384" s="158"/>
      <c r="DH384" s="158"/>
      <c r="DI384" s="158"/>
      <c r="DJ384" s="158"/>
      <c r="DK384" s="158"/>
      <c r="DL384" s="158"/>
      <c r="DM384" s="158"/>
      <c r="DN384" s="158"/>
      <c r="DO384" s="158"/>
      <c r="DP384" s="158"/>
      <c r="DQ384" s="158"/>
      <c r="DR384" s="158"/>
      <c r="DS384" s="158"/>
      <c r="DT384" s="158"/>
      <c r="DU384" s="158"/>
      <c r="DV384" s="158"/>
      <c r="DW384" s="158"/>
      <c r="DX384" s="158"/>
      <c r="DY384" s="158"/>
      <c r="DZ384" s="158"/>
      <c r="EA384" s="158"/>
      <c r="EB384" s="158"/>
      <c r="EC384" s="158"/>
      <c r="ED384" s="158"/>
      <c r="EE384" s="158"/>
      <c r="EF384" s="158"/>
      <c r="EG384" s="158"/>
      <c r="EH384" s="158"/>
      <c r="EI384" s="158"/>
      <c r="EJ384" s="158"/>
      <c r="EK384" s="158"/>
      <c r="EL384" s="158"/>
      <c r="EM384" s="158"/>
      <c r="EN384" s="158"/>
      <c r="EO384" s="158"/>
      <c r="EP384" s="158"/>
      <c r="EQ384" s="158"/>
      <c r="ER384" s="158"/>
      <c r="ES384" s="158"/>
      <c r="ET384" s="158"/>
      <c r="EU384" s="158"/>
      <c r="EV384" s="158"/>
      <c r="EW384" s="158"/>
      <c r="EX384" s="158"/>
      <c r="EY384" s="158"/>
      <c r="EZ384" s="158"/>
      <c r="FA384" s="158"/>
      <c r="FB384" s="158"/>
      <c r="FC384" s="158"/>
      <c r="FD384" s="158"/>
      <c r="FE384" s="158"/>
      <c r="FF384" s="158"/>
      <c r="FG384" s="158"/>
      <c r="FH384" s="158"/>
      <c r="FI384" s="158"/>
      <c r="FJ384" s="158"/>
      <c r="FK384" s="158"/>
      <c r="FL384" s="158"/>
      <c r="FM384" s="158"/>
      <c r="FN384" s="158"/>
      <c r="FO384" s="158"/>
      <c r="FP384" s="158"/>
      <c r="FQ384" s="158"/>
      <c r="FR384" s="158"/>
      <c r="FS384" s="158"/>
      <c r="FT384" s="158"/>
      <c r="FU384" s="158"/>
      <c r="FV384" s="158"/>
      <c r="FW384" s="158"/>
      <c r="FX384" s="158"/>
      <c r="FY384" s="158"/>
      <c r="FZ384" s="158"/>
      <c r="GA384" s="158"/>
      <c r="GB384" s="158"/>
      <c r="GC384" s="158"/>
      <c r="GD384" s="158"/>
      <c r="GE384" s="158"/>
      <c r="GF384" s="158"/>
      <c r="GG384" s="158"/>
      <c r="GH384" s="158"/>
      <c r="GI384" s="158"/>
      <c r="GJ384" s="158"/>
      <c r="GK384" s="158"/>
      <c r="GL384" s="158"/>
      <c r="GM384" s="158"/>
      <c r="GN384" s="158"/>
      <c r="GO384" s="158"/>
      <c r="GP384" s="158"/>
      <c r="GQ384" s="158"/>
      <c r="GR384" s="158"/>
      <c r="GS384" s="158"/>
      <c r="GT384" s="158"/>
      <c r="GU384" s="158"/>
      <c r="GV384" s="158"/>
      <c r="GW384" s="158"/>
      <c r="GX384" s="158"/>
      <c r="GY384" s="158"/>
      <c r="GZ384" s="158"/>
      <c r="HA384" s="158"/>
      <c r="HB384" s="158"/>
      <c r="HC384" s="158"/>
      <c r="HD384" s="158"/>
      <c r="HE384" s="158"/>
      <c r="HF384" s="158"/>
      <c r="HG384" s="158"/>
      <c r="HH384" s="158"/>
      <c r="HI384" s="158"/>
      <c r="HJ384" s="158"/>
      <c r="HK384" s="158"/>
      <c r="HL384" s="158"/>
      <c r="HM384" s="158"/>
      <c r="HN384" s="158"/>
      <c r="HO384" s="158"/>
      <c r="HP384" s="158"/>
      <c r="HQ384" s="158"/>
      <c r="HR384" s="158"/>
      <c r="HS384" s="158"/>
      <c r="HT384" s="158"/>
      <c r="HU384" s="158"/>
      <c r="HV384" s="158"/>
      <c r="HW384" s="158"/>
      <c r="HX384" s="158"/>
      <c r="HY384" s="158"/>
      <c r="HZ384" s="158"/>
      <c r="IA384" s="158"/>
      <c r="IB384" s="158"/>
      <c r="IC384" s="158"/>
      <c r="ID384" s="158"/>
      <c r="IE384" s="158"/>
      <c r="IF384" s="158"/>
      <c r="IG384" s="158"/>
      <c r="IH384" s="158"/>
      <c r="II384" s="158"/>
      <c r="IJ384" s="158"/>
      <c r="IK384" s="158"/>
      <c r="IL384" s="158"/>
      <c r="IM384" s="158"/>
      <c r="IN384" s="158"/>
      <c r="IO384" s="158"/>
      <c r="IP384" s="158"/>
      <c r="IQ384" s="158"/>
      <c r="IR384" s="158"/>
      <c r="IS384" s="158"/>
      <c r="IT384" s="158"/>
      <c r="IU384" s="158"/>
      <c r="IV384" s="158"/>
      <c r="IW384" s="158"/>
      <c r="IX384" s="158"/>
      <c r="IY384" s="158"/>
      <c r="IZ384" s="158"/>
      <c r="JA384" s="158"/>
      <c r="JB384" s="158"/>
      <c r="JC384" s="158"/>
      <c r="JD384" s="158"/>
      <c r="JE384" s="158"/>
      <c r="JF384" s="158"/>
      <c r="JG384" s="158"/>
      <c r="JH384" s="158"/>
      <c r="JI384" s="158"/>
      <c r="JJ384" s="158"/>
      <c r="JK384" s="158"/>
      <c r="JL384" s="158"/>
      <c r="JM384" s="158"/>
      <c r="JN384" s="158"/>
      <c r="JO384" s="158"/>
      <c r="JP384" s="158"/>
      <c r="JQ384" s="158"/>
      <c r="JR384" s="158"/>
      <c r="JS384" s="158"/>
      <c r="JT384" s="158"/>
      <c r="JU384" s="158"/>
      <c r="JV384" s="158"/>
      <c r="JW384" s="158"/>
      <c r="JX384" s="158"/>
      <c r="JY384" s="158"/>
      <c r="JZ384" s="158"/>
      <c r="KA384" s="158"/>
      <c r="KB384" s="158"/>
      <c r="KC384" s="158"/>
      <c r="KD384" s="158"/>
      <c r="KE384" s="158"/>
      <c r="KF384" s="158"/>
      <c r="KG384" s="158"/>
      <c r="KH384" s="158"/>
      <c r="KI384" s="158"/>
      <c r="KJ384" s="158"/>
      <c r="KK384" s="158"/>
      <c r="KL384" s="158"/>
      <c r="KM384" s="158"/>
      <c r="KN384" s="158"/>
      <c r="KO384" s="158"/>
      <c r="KP384" s="158"/>
      <c r="KQ384" s="158"/>
      <c r="KR384" s="158"/>
      <c r="KS384" s="158"/>
      <c r="KT384" s="158"/>
      <c r="KU384" s="158"/>
      <c r="KV384" s="158"/>
      <c r="KW384" s="158"/>
      <c r="KX384" s="158"/>
      <c r="KY384" s="158"/>
      <c r="KZ384" s="158"/>
      <c r="LA384" s="158"/>
      <c r="LB384" s="158"/>
      <c r="LC384" s="158"/>
      <c r="LD384" s="158"/>
      <c r="LE384" s="158"/>
      <c r="LF384" s="158"/>
      <c r="LG384" s="158"/>
      <c r="LH384" s="158"/>
      <c r="LI384" s="158"/>
      <c r="LJ384" s="158"/>
      <c r="LK384" s="158"/>
      <c r="LL384" s="158"/>
      <c r="LM384" s="158"/>
      <c r="LN384" s="158"/>
      <c r="LO384" s="158"/>
      <c r="LP384" s="158"/>
      <c r="LQ384" s="158"/>
      <c r="LR384" s="158"/>
      <c r="LS384" s="158"/>
      <c r="LT384" s="158"/>
      <c r="LU384" s="158"/>
      <c r="LV384" s="158"/>
      <c r="LW384" s="158"/>
      <c r="LX384" s="158"/>
      <c r="LY384" s="158"/>
      <c r="LZ384" s="158"/>
      <c r="MA384" s="158"/>
      <c r="MB384" s="158"/>
      <c r="MC384" s="158"/>
      <c r="MD384" s="158"/>
      <c r="ME384" s="158"/>
      <c r="MF384" s="158"/>
      <c r="MG384" s="158"/>
      <c r="MH384" s="158"/>
      <c r="MI384" s="158"/>
      <c r="MJ384" s="158"/>
      <c r="MK384" s="158"/>
      <c r="ML384" s="158"/>
      <c r="MM384" s="158"/>
      <c r="MN384" s="158"/>
      <c r="MO384" s="158"/>
      <c r="MP384" s="158"/>
      <c r="MQ384" s="158"/>
      <c r="MR384" s="158"/>
      <c r="MS384" s="158"/>
      <c r="MT384" s="158"/>
      <c r="MU384" s="158"/>
      <c r="MV384" s="158"/>
      <c r="MW384" s="158"/>
      <c r="MX384" s="158"/>
      <c r="MY384" s="158"/>
      <c r="MZ384" s="158"/>
      <c r="NA384" s="158"/>
      <c r="NB384" s="158"/>
      <c r="NC384" s="158"/>
      <c r="ND384" s="158"/>
      <c r="NE384" s="158"/>
      <c r="NF384" s="158"/>
      <c r="NG384" s="158"/>
      <c r="NH384" s="158"/>
      <c r="NI384" s="158"/>
      <c r="NJ384" s="158"/>
      <c r="NK384" s="158"/>
      <c r="NL384" s="158"/>
      <c r="NM384" s="158"/>
      <c r="NN384" s="158"/>
      <c r="NO384" s="158"/>
      <c r="NP384" s="158"/>
      <c r="NQ384" s="158"/>
      <c r="NR384" s="158"/>
      <c r="NS384" s="158"/>
      <c r="NT384" s="158"/>
      <c r="NU384" s="158"/>
      <c r="NV384" s="158"/>
      <c r="NW384" s="158"/>
      <c r="NX384" s="158"/>
      <c r="NY384" s="158"/>
      <c r="NZ384" s="158"/>
      <c r="OA384" s="158"/>
      <c r="OB384" s="158"/>
      <c r="OC384" s="158"/>
      <c r="OD384" s="158"/>
      <c r="OE384" s="158"/>
      <c r="OF384" s="158"/>
      <c r="OG384" s="158"/>
      <c r="OH384" s="158"/>
      <c r="OI384" s="158"/>
      <c r="OJ384" s="158"/>
      <c r="OK384" s="158"/>
      <c r="OL384" s="158"/>
      <c r="OM384" s="158"/>
      <c r="ON384" s="158"/>
      <c r="OO384" s="158"/>
      <c r="OP384" s="158"/>
      <c r="OQ384" s="158"/>
      <c r="OR384" s="158"/>
      <c r="OS384" s="158"/>
      <c r="OT384" s="158"/>
      <c r="OU384" s="158"/>
      <c r="OV384" s="158"/>
      <c r="OW384" s="158"/>
      <c r="OX384" s="158"/>
      <c r="OY384" s="158"/>
      <c r="OZ384" s="158"/>
      <c r="PA384" s="158"/>
      <c r="PB384" s="158"/>
      <c r="PC384" s="158"/>
      <c r="PD384" s="158"/>
      <c r="PE384" s="158"/>
      <c r="PF384" s="158"/>
      <c r="PG384" s="158"/>
      <c r="PH384" s="158"/>
      <c r="PI384" s="158"/>
      <c r="PJ384" s="158"/>
      <c r="PK384" s="158"/>
      <c r="PL384" s="158"/>
      <c r="PM384" s="158"/>
      <c r="PN384" s="158"/>
      <c r="PO384" s="158"/>
      <c r="PP384" s="158"/>
      <c r="PQ384" s="158"/>
      <c r="PR384" s="158"/>
      <c r="PS384" s="158"/>
      <c r="PT384" s="158"/>
      <c r="PU384" s="158"/>
      <c r="PV384" s="158"/>
      <c r="PW384" s="158"/>
      <c r="PX384" s="158"/>
      <c r="PY384" s="158"/>
      <c r="PZ384" s="158"/>
      <c r="QA384" s="158"/>
      <c r="QB384" s="158"/>
      <c r="QC384" s="158"/>
      <c r="QD384" s="158"/>
      <c r="QE384" s="158"/>
      <c r="QF384" s="158"/>
      <c r="QG384" s="158"/>
      <c r="QH384" s="158"/>
      <c r="QI384" s="158"/>
      <c r="QJ384" s="158"/>
      <c r="QK384" s="158"/>
      <c r="QL384" s="158"/>
      <c r="QM384" s="158"/>
      <c r="QN384" s="158"/>
      <c r="QO384" s="158"/>
      <c r="QP384" s="158"/>
      <c r="QQ384" s="158"/>
      <c r="QR384" s="158"/>
      <c r="QS384" s="158"/>
      <c r="QT384" s="158"/>
      <c r="QU384" s="158"/>
      <c r="QV384" s="158"/>
      <c r="QW384" s="158"/>
      <c r="QX384" s="158"/>
      <c r="QY384" s="158"/>
      <c r="QZ384" s="158"/>
      <c r="RA384" s="158"/>
      <c r="RB384" s="158"/>
      <c r="RC384" s="158"/>
      <c r="RD384" s="158"/>
      <c r="RE384" s="158"/>
      <c r="RF384" s="158"/>
      <c r="RG384" s="158"/>
      <c r="RH384" s="158"/>
      <c r="RI384" s="158"/>
      <c r="RJ384" s="158"/>
      <c r="RK384" s="158"/>
      <c r="RL384" s="158"/>
      <c r="RM384" s="158"/>
      <c r="RN384" s="158"/>
      <c r="RO384" s="158"/>
      <c r="RP384" s="158"/>
      <c r="RQ384" s="158"/>
      <c r="RR384" s="158"/>
      <c r="RS384" s="158"/>
      <c r="RT384" s="158"/>
      <c r="RU384" s="158"/>
      <c r="RV384" s="158"/>
      <c r="RW384" s="158"/>
      <c r="RX384" s="158"/>
      <c r="RY384" s="158"/>
      <c r="RZ384" s="158"/>
      <c r="SA384" s="158"/>
      <c r="SB384" s="158"/>
      <c r="SC384" s="158"/>
      <c r="SD384" s="158"/>
      <c r="SE384" s="158"/>
      <c r="SF384" s="158"/>
      <c r="SG384" s="158"/>
      <c r="SH384" s="158"/>
      <c r="SI384" s="158"/>
      <c r="SJ384" s="158"/>
      <c r="SK384" s="158"/>
      <c r="SL384" s="158"/>
      <c r="SM384" s="158"/>
      <c r="SN384" s="158"/>
      <c r="SO384" s="158"/>
      <c r="SP384" s="158"/>
      <c r="SQ384" s="158"/>
      <c r="SR384" s="158"/>
      <c r="SS384" s="158"/>
      <c r="ST384" s="158"/>
      <c r="SU384" s="158"/>
      <c r="SV384" s="158"/>
      <c r="SW384" s="158"/>
      <c r="SX384" s="158"/>
      <c r="SY384" s="158"/>
      <c r="SZ384" s="158"/>
      <c r="TA384" s="158"/>
      <c r="TB384" s="158"/>
      <c r="TC384" s="158"/>
      <c r="TD384" s="158"/>
      <c r="TE384" s="158"/>
    </row>
    <row r="385" spans="1:525" s="121" customFormat="1" ht="33.75" hidden="1" customHeight="1" x14ac:dyDescent="0.25">
      <c r="A385" s="129" t="s">
        <v>214</v>
      </c>
      <c r="B385" s="130" t="str">
        <f>'дод 6'!A238</f>
        <v>7610</v>
      </c>
      <c r="C385" s="130" t="str">
        <f>'дод 6'!B238</f>
        <v>0411</v>
      </c>
      <c r="D385" s="119" t="str">
        <f>'дод 6'!C238</f>
        <v>Сприяння розвитку малого та середнього підприємництва</v>
      </c>
      <c r="E385" s="81">
        <f t="shared" si="200"/>
        <v>0</v>
      </c>
      <c r="F385" s="81"/>
      <c r="G385" s="81"/>
      <c r="H385" s="81"/>
      <c r="I385" s="81"/>
      <c r="J385" s="81">
        <f t="shared" si="202"/>
        <v>0</v>
      </c>
      <c r="K385" s="81"/>
      <c r="L385" s="81"/>
      <c r="M385" s="81"/>
      <c r="N385" s="81"/>
      <c r="O385" s="81"/>
      <c r="P385" s="81">
        <f t="shared" si="201"/>
        <v>0</v>
      </c>
      <c r="Q385" s="26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  <c r="IW385" s="120"/>
      <c r="IX385" s="120"/>
      <c r="IY385" s="120"/>
      <c r="IZ385" s="120"/>
      <c r="JA385" s="120"/>
      <c r="JB385" s="120"/>
      <c r="JC385" s="120"/>
      <c r="JD385" s="120"/>
      <c r="JE385" s="120"/>
      <c r="JF385" s="120"/>
      <c r="JG385" s="120"/>
      <c r="JH385" s="120"/>
      <c r="JI385" s="120"/>
      <c r="JJ385" s="120"/>
      <c r="JK385" s="120"/>
      <c r="JL385" s="120"/>
      <c r="JM385" s="120"/>
      <c r="JN385" s="120"/>
      <c r="JO385" s="120"/>
      <c r="JP385" s="120"/>
      <c r="JQ385" s="120"/>
      <c r="JR385" s="120"/>
      <c r="JS385" s="120"/>
      <c r="JT385" s="120"/>
      <c r="JU385" s="120"/>
      <c r="JV385" s="120"/>
      <c r="JW385" s="120"/>
      <c r="JX385" s="120"/>
      <c r="JY385" s="120"/>
      <c r="JZ385" s="120"/>
      <c r="KA385" s="120"/>
      <c r="KB385" s="120"/>
      <c r="KC385" s="120"/>
      <c r="KD385" s="120"/>
      <c r="KE385" s="120"/>
      <c r="KF385" s="120"/>
      <c r="KG385" s="120"/>
      <c r="KH385" s="120"/>
      <c r="KI385" s="120"/>
      <c r="KJ385" s="120"/>
      <c r="KK385" s="120"/>
      <c r="KL385" s="120"/>
      <c r="KM385" s="120"/>
      <c r="KN385" s="120"/>
      <c r="KO385" s="120"/>
      <c r="KP385" s="120"/>
      <c r="KQ385" s="120"/>
      <c r="KR385" s="120"/>
      <c r="KS385" s="120"/>
      <c r="KT385" s="120"/>
      <c r="KU385" s="120"/>
      <c r="KV385" s="120"/>
      <c r="KW385" s="120"/>
      <c r="KX385" s="120"/>
      <c r="KY385" s="120"/>
      <c r="KZ385" s="120"/>
      <c r="LA385" s="120"/>
      <c r="LB385" s="120"/>
      <c r="LC385" s="120"/>
      <c r="LD385" s="120"/>
      <c r="LE385" s="120"/>
      <c r="LF385" s="120"/>
      <c r="LG385" s="120"/>
      <c r="LH385" s="120"/>
      <c r="LI385" s="120"/>
      <c r="LJ385" s="120"/>
      <c r="LK385" s="120"/>
      <c r="LL385" s="120"/>
      <c r="LM385" s="120"/>
      <c r="LN385" s="120"/>
      <c r="LO385" s="120"/>
      <c r="LP385" s="120"/>
      <c r="LQ385" s="120"/>
      <c r="LR385" s="120"/>
      <c r="LS385" s="120"/>
      <c r="LT385" s="120"/>
      <c r="LU385" s="120"/>
      <c r="LV385" s="120"/>
      <c r="LW385" s="120"/>
      <c r="LX385" s="120"/>
      <c r="LY385" s="120"/>
      <c r="LZ385" s="120"/>
      <c r="MA385" s="120"/>
      <c r="MB385" s="120"/>
      <c r="MC385" s="120"/>
      <c r="MD385" s="120"/>
      <c r="ME385" s="120"/>
      <c r="MF385" s="120"/>
      <c r="MG385" s="120"/>
      <c r="MH385" s="120"/>
      <c r="MI385" s="120"/>
      <c r="MJ385" s="120"/>
      <c r="MK385" s="120"/>
      <c r="ML385" s="120"/>
      <c r="MM385" s="120"/>
      <c r="MN385" s="120"/>
      <c r="MO385" s="120"/>
      <c r="MP385" s="120"/>
      <c r="MQ385" s="120"/>
      <c r="MR385" s="120"/>
      <c r="MS385" s="120"/>
      <c r="MT385" s="120"/>
      <c r="MU385" s="120"/>
      <c r="MV385" s="120"/>
      <c r="MW385" s="120"/>
      <c r="MX385" s="120"/>
      <c r="MY385" s="120"/>
      <c r="MZ385" s="120"/>
      <c r="NA385" s="120"/>
      <c r="NB385" s="120"/>
      <c r="NC385" s="120"/>
      <c r="ND385" s="120"/>
      <c r="NE385" s="120"/>
      <c r="NF385" s="120"/>
      <c r="NG385" s="120"/>
      <c r="NH385" s="120"/>
      <c r="NI385" s="120"/>
      <c r="NJ385" s="120"/>
      <c r="NK385" s="120"/>
      <c r="NL385" s="120"/>
      <c r="NM385" s="120"/>
      <c r="NN385" s="120"/>
      <c r="NO385" s="120"/>
      <c r="NP385" s="120"/>
      <c r="NQ385" s="120"/>
      <c r="NR385" s="120"/>
      <c r="NS385" s="120"/>
      <c r="NT385" s="120"/>
      <c r="NU385" s="120"/>
      <c r="NV385" s="120"/>
      <c r="NW385" s="120"/>
      <c r="NX385" s="120"/>
      <c r="NY385" s="120"/>
      <c r="NZ385" s="120"/>
      <c r="OA385" s="120"/>
      <c r="OB385" s="120"/>
      <c r="OC385" s="120"/>
      <c r="OD385" s="120"/>
      <c r="OE385" s="120"/>
      <c r="OF385" s="120"/>
      <c r="OG385" s="120"/>
      <c r="OH385" s="120"/>
      <c r="OI385" s="120"/>
      <c r="OJ385" s="120"/>
      <c r="OK385" s="120"/>
      <c r="OL385" s="120"/>
      <c r="OM385" s="120"/>
      <c r="ON385" s="120"/>
      <c r="OO385" s="120"/>
      <c r="OP385" s="120"/>
      <c r="OQ385" s="120"/>
      <c r="OR385" s="120"/>
      <c r="OS385" s="120"/>
      <c r="OT385" s="120"/>
      <c r="OU385" s="120"/>
      <c r="OV385" s="120"/>
      <c r="OW385" s="120"/>
      <c r="OX385" s="120"/>
      <c r="OY385" s="120"/>
      <c r="OZ385" s="120"/>
      <c r="PA385" s="120"/>
      <c r="PB385" s="120"/>
      <c r="PC385" s="120"/>
      <c r="PD385" s="120"/>
      <c r="PE385" s="120"/>
      <c r="PF385" s="120"/>
      <c r="PG385" s="120"/>
      <c r="PH385" s="120"/>
      <c r="PI385" s="120"/>
      <c r="PJ385" s="120"/>
      <c r="PK385" s="120"/>
      <c r="PL385" s="120"/>
      <c r="PM385" s="120"/>
      <c r="PN385" s="120"/>
      <c r="PO385" s="120"/>
      <c r="PP385" s="120"/>
      <c r="PQ385" s="120"/>
      <c r="PR385" s="120"/>
      <c r="PS385" s="120"/>
      <c r="PT385" s="120"/>
      <c r="PU385" s="120"/>
      <c r="PV385" s="120"/>
      <c r="PW385" s="120"/>
      <c r="PX385" s="120"/>
      <c r="PY385" s="120"/>
      <c r="PZ385" s="120"/>
      <c r="QA385" s="120"/>
      <c r="QB385" s="120"/>
      <c r="QC385" s="120"/>
      <c r="QD385" s="120"/>
      <c r="QE385" s="120"/>
      <c r="QF385" s="120"/>
      <c r="QG385" s="120"/>
      <c r="QH385" s="120"/>
      <c r="QI385" s="120"/>
      <c r="QJ385" s="120"/>
      <c r="QK385" s="120"/>
      <c r="QL385" s="120"/>
      <c r="QM385" s="120"/>
      <c r="QN385" s="120"/>
      <c r="QO385" s="120"/>
      <c r="QP385" s="120"/>
      <c r="QQ385" s="120"/>
      <c r="QR385" s="120"/>
      <c r="QS385" s="120"/>
      <c r="QT385" s="120"/>
      <c r="QU385" s="120"/>
      <c r="QV385" s="120"/>
      <c r="QW385" s="120"/>
      <c r="QX385" s="120"/>
      <c r="QY385" s="120"/>
      <c r="QZ385" s="120"/>
      <c r="RA385" s="120"/>
      <c r="RB385" s="120"/>
      <c r="RC385" s="120"/>
      <c r="RD385" s="120"/>
      <c r="RE385" s="120"/>
      <c r="RF385" s="120"/>
      <c r="RG385" s="120"/>
      <c r="RH385" s="120"/>
      <c r="RI385" s="120"/>
      <c r="RJ385" s="120"/>
      <c r="RK385" s="120"/>
      <c r="RL385" s="120"/>
      <c r="RM385" s="120"/>
      <c r="RN385" s="120"/>
      <c r="RO385" s="120"/>
      <c r="RP385" s="120"/>
      <c r="RQ385" s="120"/>
      <c r="RR385" s="120"/>
      <c r="RS385" s="120"/>
      <c r="RT385" s="120"/>
      <c r="RU385" s="120"/>
      <c r="RV385" s="120"/>
      <c r="RW385" s="120"/>
      <c r="RX385" s="120"/>
      <c r="RY385" s="120"/>
      <c r="RZ385" s="120"/>
      <c r="SA385" s="120"/>
      <c r="SB385" s="120"/>
      <c r="SC385" s="120"/>
      <c r="SD385" s="120"/>
      <c r="SE385" s="120"/>
      <c r="SF385" s="120"/>
      <c r="SG385" s="120"/>
      <c r="SH385" s="120"/>
      <c r="SI385" s="120"/>
      <c r="SJ385" s="120"/>
      <c r="SK385" s="120"/>
      <c r="SL385" s="120"/>
      <c r="SM385" s="120"/>
      <c r="SN385" s="120"/>
      <c r="SO385" s="120"/>
      <c r="SP385" s="120"/>
      <c r="SQ385" s="120"/>
      <c r="SR385" s="120"/>
      <c r="SS385" s="120"/>
      <c r="ST385" s="120"/>
      <c r="SU385" s="120"/>
      <c r="SV385" s="120"/>
      <c r="SW385" s="120"/>
      <c r="SX385" s="120"/>
      <c r="SY385" s="120"/>
      <c r="SZ385" s="120"/>
      <c r="TA385" s="120"/>
      <c r="TB385" s="120"/>
      <c r="TC385" s="120"/>
      <c r="TD385" s="120"/>
      <c r="TE385" s="120"/>
    </row>
    <row r="386" spans="1:525" s="121" customFormat="1" ht="32.25" hidden="1" customHeight="1" x14ac:dyDescent="0.25">
      <c r="A386" s="129" t="s">
        <v>263</v>
      </c>
      <c r="B386" s="130" t="str">
        <f>'дод 6'!A241</f>
        <v>7650</v>
      </c>
      <c r="C386" s="130" t="str">
        <f>'дод 6'!B241</f>
        <v>0490</v>
      </c>
      <c r="D386" s="119" t="str">
        <f>'дод 6'!C241</f>
        <v>Проведення експертної грошової оцінки земельної ділянки чи права на неї</v>
      </c>
      <c r="E386" s="81">
        <f t="shared" si="200"/>
        <v>0</v>
      </c>
      <c r="F386" s="81"/>
      <c r="G386" s="81"/>
      <c r="H386" s="81"/>
      <c r="I386" s="81"/>
      <c r="J386" s="81">
        <f t="shared" si="202"/>
        <v>0</v>
      </c>
      <c r="K386" s="81"/>
      <c r="L386" s="81"/>
      <c r="M386" s="81"/>
      <c r="N386" s="81"/>
      <c r="O386" s="81"/>
      <c r="P386" s="81">
        <f t="shared" si="201"/>
        <v>0</v>
      </c>
      <c r="Q386" s="26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  <c r="IW386" s="120"/>
      <c r="IX386" s="120"/>
      <c r="IY386" s="120"/>
      <c r="IZ386" s="120"/>
      <c r="JA386" s="120"/>
      <c r="JB386" s="120"/>
      <c r="JC386" s="120"/>
      <c r="JD386" s="120"/>
      <c r="JE386" s="120"/>
      <c r="JF386" s="120"/>
      <c r="JG386" s="120"/>
      <c r="JH386" s="120"/>
      <c r="JI386" s="120"/>
      <c r="JJ386" s="120"/>
      <c r="JK386" s="120"/>
      <c r="JL386" s="120"/>
      <c r="JM386" s="120"/>
      <c r="JN386" s="120"/>
      <c r="JO386" s="120"/>
      <c r="JP386" s="120"/>
      <c r="JQ386" s="120"/>
      <c r="JR386" s="120"/>
      <c r="JS386" s="120"/>
      <c r="JT386" s="120"/>
      <c r="JU386" s="120"/>
      <c r="JV386" s="120"/>
      <c r="JW386" s="120"/>
      <c r="JX386" s="120"/>
      <c r="JY386" s="120"/>
      <c r="JZ386" s="120"/>
      <c r="KA386" s="120"/>
      <c r="KB386" s="120"/>
      <c r="KC386" s="120"/>
      <c r="KD386" s="120"/>
      <c r="KE386" s="120"/>
      <c r="KF386" s="120"/>
      <c r="KG386" s="120"/>
      <c r="KH386" s="120"/>
      <c r="KI386" s="120"/>
      <c r="KJ386" s="120"/>
      <c r="KK386" s="120"/>
      <c r="KL386" s="120"/>
      <c r="KM386" s="120"/>
      <c r="KN386" s="120"/>
      <c r="KO386" s="120"/>
      <c r="KP386" s="120"/>
      <c r="KQ386" s="120"/>
      <c r="KR386" s="120"/>
      <c r="KS386" s="120"/>
      <c r="KT386" s="120"/>
      <c r="KU386" s="120"/>
      <c r="KV386" s="120"/>
      <c r="KW386" s="120"/>
      <c r="KX386" s="120"/>
      <c r="KY386" s="120"/>
      <c r="KZ386" s="120"/>
      <c r="LA386" s="120"/>
      <c r="LB386" s="120"/>
      <c r="LC386" s="120"/>
      <c r="LD386" s="120"/>
      <c r="LE386" s="120"/>
      <c r="LF386" s="120"/>
      <c r="LG386" s="120"/>
      <c r="LH386" s="120"/>
      <c r="LI386" s="120"/>
      <c r="LJ386" s="120"/>
      <c r="LK386" s="120"/>
      <c r="LL386" s="120"/>
      <c r="LM386" s="120"/>
      <c r="LN386" s="120"/>
      <c r="LO386" s="120"/>
      <c r="LP386" s="120"/>
      <c r="LQ386" s="120"/>
      <c r="LR386" s="120"/>
      <c r="LS386" s="120"/>
      <c r="LT386" s="120"/>
      <c r="LU386" s="120"/>
      <c r="LV386" s="120"/>
      <c r="LW386" s="120"/>
      <c r="LX386" s="120"/>
      <c r="LY386" s="120"/>
      <c r="LZ386" s="120"/>
      <c r="MA386" s="120"/>
      <c r="MB386" s="120"/>
      <c r="MC386" s="120"/>
      <c r="MD386" s="120"/>
      <c r="ME386" s="120"/>
      <c r="MF386" s="120"/>
      <c r="MG386" s="120"/>
      <c r="MH386" s="120"/>
      <c r="MI386" s="120"/>
      <c r="MJ386" s="120"/>
      <c r="MK386" s="120"/>
      <c r="ML386" s="120"/>
      <c r="MM386" s="120"/>
      <c r="MN386" s="120"/>
      <c r="MO386" s="120"/>
      <c r="MP386" s="120"/>
      <c r="MQ386" s="120"/>
      <c r="MR386" s="120"/>
      <c r="MS386" s="120"/>
      <c r="MT386" s="120"/>
      <c r="MU386" s="120"/>
      <c r="MV386" s="120"/>
      <c r="MW386" s="120"/>
      <c r="MX386" s="120"/>
      <c r="MY386" s="120"/>
      <c r="MZ386" s="120"/>
      <c r="NA386" s="120"/>
      <c r="NB386" s="120"/>
      <c r="NC386" s="120"/>
      <c r="ND386" s="120"/>
      <c r="NE386" s="120"/>
      <c r="NF386" s="120"/>
      <c r="NG386" s="120"/>
      <c r="NH386" s="120"/>
      <c r="NI386" s="120"/>
      <c r="NJ386" s="120"/>
      <c r="NK386" s="120"/>
      <c r="NL386" s="120"/>
      <c r="NM386" s="120"/>
      <c r="NN386" s="120"/>
      <c r="NO386" s="120"/>
      <c r="NP386" s="120"/>
      <c r="NQ386" s="120"/>
      <c r="NR386" s="120"/>
      <c r="NS386" s="120"/>
      <c r="NT386" s="120"/>
      <c r="NU386" s="120"/>
      <c r="NV386" s="120"/>
      <c r="NW386" s="120"/>
      <c r="NX386" s="120"/>
      <c r="NY386" s="120"/>
      <c r="NZ386" s="120"/>
      <c r="OA386" s="120"/>
      <c r="OB386" s="120"/>
      <c r="OC386" s="120"/>
      <c r="OD386" s="120"/>
      <c r="OE386" s="120"/>
      <c r="OF386" s="120"/>
      <c r="OG386" s="120"/>
      <c r="OH386" s="120"/>
      <c r="OI386" s="120"/>
      <c r="OJ386" s="120"/>
      <c r="OK386" s="120"/>
      <c r="OL386" s="120"/>
      <c r="OM386" s="120"/>
      <c r="ON386" s="120"/>
      <c r="OO386" s="120"/>
      <c r="OP386" s="120"/>
      <c r="OQ386" s="120"/>
      <c r="OR386" s="120"/>
      <c r="OS386" s="120"/>
      <c r="OT386" s="120"/>
      <c r="OU386" s="120"/>
      <c r="OV386" s="120"/>
      <c r="OW386" s="120"/>
      <c r="OX386" s="120"/>
      <c r="OY386" s="120"/>
      <c r="OZ386" s="120"/>
      <c r="PA386" s="120"/>
      <c r="PB386" s="120"/>
      <c r="PC386" s="120"/>
      <c r="PD386" s="120"/>
      <c r="PE386" s="120"/>
      <c r="PF386" s="120"/>
      <c r="PG386" s="120"/>
      <c r="PH386" s="120"/>
      <c r="PI386" s="120"/>
      <c r="PJ386" s="120"/>
      <c r="PK386" s="120"/>
      <c r="PL386" s="120"/>
      <c r="PM386" s="120"/>
      <c r="PN386" s="120"/>
      <c r="PO386" s="120"/>
      <c r="PP386" s="120"/>
      <c r="PQ386" s="120"/>
      <c r="PR386" s="120"/>
      <c r="PS386" s="120"/>
      <c r="PT386" s="120"/>
      <c r="PU386" s="120"/>
      <c r="PV386" s="120"/>
      <c r="PW386" s="120"/>
      <c r="PX386" s="120"/>
      <c r="PY386" s="120"/>
      <c r="PZ386" s="120"/>
      <c r="QA386" s="120"/>
      <c r="QB386" s="120"/>
      <c r="QC386" s="120"/>
      <c r="QD386" s="120"/>
      <c r="QE386" s="120"/>
      <c r="QF386" s="120"/>
      <c r="QG386" s="120"/>
      <c r="QH386" s="120"/>
      <c r="QI386" s="120"/>
      <c r="QJ386" s="120"/>
      <c r="QK386" s="120"/>
      <c r="QL386" s="120"/>
      <c r="QM386" s="120"/>
      <c r="QN386" s="120"/>
      <c r="QO386" s="120"/>
      <c r="QP386" s="120"/>
      <c r="QQ386" s="120"/>
      <c r="QR386" s="120"/>
      <c r="QS386" s="120"/>
      <c r="QT386" s="120"/>
      <c r="QU386" s="120"/>
      <c r="QV386" s="120"/>
      <c r="QW386" s="120"/>
      <c r="QX386" s="120"/>
      <c r="QY386" s="120"/>
      <c r="QZ386" s="120"/>
      <c r="RA386" s="120"/>
      <c r="RB386" s="120"/>
      <c r="RC386" s="120"/>
      <c r="RD386" s="120"/>
      <c r="RE386" s="120"/>
      <c r="RF386" s="120"/>
      <c r="RG386" s="120"/>
      <c r="RH386" s="120"/>
      <c r="RI386" s="120"/>
      <c r="RJ386" s="120"/>
      <c r="RK386" s="120"/>
      <c r="RL386" s="120"/>
      <c r="RM386" s="120"/>
      <c r="RN386" s="120"/>
      <c r="RO386" s="120"/>
      <c r="RP386" s="120"/>
      <c r="RQ386" s="120"/>
      <c r="RR386" s="120"/>
      <c r="RS386" s="120"/>
      <c r="RT386" s="120"/>
      <c r="RU386" s="120"/>
      <c r="RV386" s="120"/>
      <c r="RW386" s="120"/>
      <c r="RX386" s="120"/>
      <c r="RY386" s="120"/>
      <c r="RZ386" s="120"/>
      <c r="SA386" s="120"/>
      <c r="SB386" s="120"/>
      <c r="SC386" s="120"/>
      <c r="SD386" s="120"/>
      <c r="SE386" s="120"/>
      <c r="SF386" s="120"/>
      <c r="SG386" s="120"/>
      <c r="SH386" s="120"/>
      <c r="SI386" s="120"/>
      <c r="SJ386" s="120"/>
      <c r="SK386" s="120"/>
      <c r="SL386" s="120"/>
      <c r="SM386" s="120"/>
      <c r="SN386" s="120"/>
      <c r="SO386" s="120"/>
      <c r="SP386" s="120"/>
      <c r="SQ386" s="120"/>
      <c r="SR386" s="120"/>
      <c r="SS386" s="120"/>
      <c r="ST386" s="120"/>
      <c r="SU386" s="120"/>
      <c r="SV386" s="120"/>
      <c r="SW386" s="120"/>
      <c r="SX386" s="120"/>
      <c r="SY386" s="120"/>
      <c r="SZ386" s="120"/>
      <c r="TA386" s="120"/>
      <c r="TB386" s="120"/>
      <c r="TC386" s="120"/>
      <c r="TD386" s="120"/>
      <c r="TE386" s="120"/>
    </row>
    <row r="387" spans="1:525" s="121" customFormat="1" ht="63" hidden="1" customHeight="1" x14ac:dyDescent="0.25">
      <c r="A387" s="129" t="s">
        <v>265</v>
      </c>
      <c r="B387" s="130" t="str">
        <f>'дод 6'!A242</f>
        <v>7660</v>
      </c>
      <c r="C387" s="130" t="str">
        <f>'дод 6'!B242</f>
        <v>0490</v>
      </c>
      <c r="D387" s="119" t="str">
        <f>'дод 6'!C242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7" s="81">
        <f t="shared" si="200"/>
        <v>0</v>
      </c>
      <c r="F387" s="81"/>
      <c r="G387" s="81"/>
      <c r="H387" s="81"/>
      <c r="I387" s="81"/>
      <c r="J387" s="81">
        <f t="shared" si="202"/>
        <v>0</v>
      </c>
      <c r="K387" s="81"/>
      <c r="L387" s="81"/>
      <c r="M387" s="81"/>
      <c r="N387" s="81"/>
      <c r="O387" s="81"/>
      <c r="P387" s="81">
        <f t="shared" si="201"/>
        <v>0</v>
      </c>
      <c r="Q387" s="26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  <c r="IW387" s="120"/>
      <c r="IX387" s="120"/>
      <c r="IY387" s="120"/>
      <c r="IZ387" s="120"/>
      <c r="JA387" s="120"/>
      <c r="JB387" s="120"/>
      <c r="JC387" s="120"/>
      <c r="JD387" s="120"/>
      <c r="JE387" s="120"/>
      <c r="JF387" s="120"/>
      <c r="JG387" s="120"/>
      <c r="JH387" s="120"/>
      <c r="JI387" s="120"/>
      <c r="JJ387" s="120"/>
      <c r="JK387" s="120"/>
      <c r="JL387" s="120"/>
      <c r="JM387" s="120"/>
      <c r="JN387" s="120"/>
      <c r="JO387" s="120"/>
      <c r="JP387" s="120"/>
      <c r="JQ387" s="120"/>
      <c r="JR387" s="120"/>
      <c r="JS387" s="120"/>
      <c r="JT387" s="120"/>
      <c r="JU387" s="120"/>
      <c r="JV387" s="120"/>
      <c r="JW387" s="120"/>
      <c r="JX387" s="120"/>
      <c r="JY387" s="120"/>
      <c r="JZ387" s="120"/>
      <c r="KA387" s="120"/>
      <c r="KB387" s="120"/>
      <c r="KC387" s="120"/>
      <c r="KD387" s="120"/>
      <c r="KE387" s="120"/>
      <c r="KF387" s="120"/>
      <c r="KG387" s="120"/>
      <c r="KH387" s="120"/>
      <c r="KI387" s="120"/>
      <c r="KJ387" s="120"/>
      <c r="KK387" s="120"/>
      <c r="KL387" s="120"/>
      <c r="KM387" s="120"/>
      <c r="KN387" s="120"/>
      <c r="KO387" s="120"/>
      <c r="KP387" s="120"/>
      <c r="KQ387" s="120"/>
      <c r="KR387" s="120"/>
      <c r="KS387" s="120"/>
      <c r="KT387" s="120"/>
      <c r="KU387" s="120"/>
      <c r="KV387" s="120"/>
      <c r="KW387" s="120"/>
      <c r="KX387" s="120"/>
      <c r="KY387" s="120"/>
      <c r="KZ387" s="120"/>
      <c r="LA387" s="120"/>
      <c r="LB387" s="120"/>
      <c r="LC387" s="120"/>
      <c r="LD387" s="120"/>
      <c r="LE387" s="120"/>
      <c r="LF387" s="120"/>
      <c r="LG387" s="120"/>
      <c r="LH387" s="120"/>
      <c r="LI387" s="120"/>
      <c r="LJ387" s="120"/>
      <c r="LK387" s="120"/>
      <c r="LL387" s="120"/>
      <c r="LM387" s="120"/>
      <c r="LN387" s="120"/>
      <c r="LO387" s="120"/>
      <c r="LP387" s="120"/>
      <c r="LQ387" s="120"/>
      <c r="LR387" s="120"/>
      <c r="LS387" s="120"/>
      <c r="LT387" s="120"/>
      <c r="LU387" s="120"/>
      <c r="LV387" s="120"/>
      <c r="LW387" s="120"/>
      <c r="LX387" s="120"/>
      <c r="LY387" s="120"/>
      <c r="LZ387" s="120"/>
      <c r="MA387" s="120"/>
      <c r="MB387" s="120"/>
      <c r="MC387" s="120"/>
      <c r="MD387" s="120"/>
      <c r="ME387" s="120"/>
      <c r="MF387" s="120"/>
      <c r="MG387" s="120"/>
      <c r="MH387" s="120"/>
      <c r="MI387" s="120"/>
      <c r="MJ387" s="120"/>
      <c r="MK387" s="120"/>
      <c r="ML387" s="120"/>
      <c r="MM387" s="120"/>
      <c r="MN387" s="120"/>
      <c r="MO387" s="120"/>
      <c r="MP387" s="120"/>
      <c r="MQ387" s="120"/>
      <c r="MR387" s="120"/>
      <c r="MS387" s="120"/>
      <c r="MT387" s="120"/>
      <c r="MU387" s="120"/>
      <c r="MV387" s="120"/>
      <c r="MW387" s="120"/>
      <c r="MX387" s="120"/>
      <c r="MY387" s="120"/>
      <c r="MZ387" s="120"/>
      <c r="NA387" s="120"/>
      <c r="NB387" s="120"/>
      <c r="NC387" s="120"/>
      <c r="ND387" s="120"/>
      <c r="NE387" s="120"/>
      <c r="NF387" s="120"/>
      <c r="NG387" s="120"/>
      <c r="NH387" s="120"/>
      <c r="NI387" s="120"/>
      <c r="NJ387" s="120"/>
      <c r="NK387" s="120"/>
      <c r="NL387" s="120"/>
      <c r="NM387" s="120"/>
      <c r="NN387" s="120"/>
      <c r="NO387" s="120"/>
      <c r="NP387" s="120"/>
      <c r="NQ387" s="120"/>
      <c r="NR387" s="120"/>
      <c r="NS387" s="120"/>
      <c r="NT387" s="120"/>
      <c r="NU387" s="120"/>
      <c r="NV387" s="120"/>
      <c r="NW387" s="120"/>
      <c r="NX387" s="120"/>
      <c r="NY387" s="120"/>
      <c r="NZ387" s="120"/>
      <c r="OA387" s="120"/>
      <c r="OB387" s="120"/>
      <c r="OC387" s="120"/>
      <c r="OD387" s="120"/>
      <c r="OE387" s="120"/>
      <c r="OF387" s="120"/>
      <c r="OG387" s="120"/>
      <c r="OH387" s="120"/>
      <c r="OI387" s="120"/>
      <c r="OJ387" s="120"/>
      <c r="OK387" s="120"/>
      <c r="OL387" s="120"/>
      <c r="OM387" s="120"/>
      <c r="ON387" s="120"/>
      <c r="OO387" s="120"/>
      <c r="OP387" s="120"/>
      <c r="OQ387" s="120"/>
      <c r="OR387" s="120"/>
      <c r="OS387" s="120"/>
      <c r="OT387" s="120"/>
      <c r="OU387" s="120"/>
      <c r="OV387" s="120"/>
      <c r="OW387" s="120"/>
      <c r="OX387" s="120"/>
      <c r="OY387" s="120"/>
      <c r="OZ387" s="120"/>
      <c r="PA387" s="120"/>
      <c r="PB387" s="120"/>
      <c r="PC387" s="120"/>
      <c r="PD387" s="120"/>
      <c r="PE387" s="120"/>
      <c r="PF387" s="120"/>
      <c r="PG387" s="120"/>
      <c r="PH387" s="120"/>
      <c r="PI387" s="120"/>
      <c r="PJ387" s="120"/>
      <c r="PK387" s="120"/>
      <c r="PL387" s="120"/>
      <c r="PM387" s="120"/>
      <c r="PN387" s="120"/>
      <c r="PO387" s="120"/>
      <c r="PP387" s="120"/>
      <c r="PQ387" s="120"/>
      <c r="PR387" s="120"/>
      <c r="PS387" s="120"/>
      <c r="PT387" s="120"/>
      <c r="PU387" s="120"/>
      <c r="PV387" s="120"/>
      <c r="PW387" s="120"/>
      <c r="PX387" s="120"/>
      <c r="PY387" s="120"/>
      <c r="PZ387" s="120"/>
      <c r="QA387" s="120"/>
      <c r="QB387" s="120"/>
      <c r="QC387" s="120"/>
      <c r="QD387" s="120"/>
      <c r="QE387" s="120"/>
      <c r="QF387" s="120"/>
      <c r="QG387" s="120"/>
      <c r="QH387" s="120"/>
      <c r="QI387" s="120"/>
      <c r="QJ387" s="120"/>
      <c r="QK387" s="120"/>
      <c r="QL387" s="120"/>
      <c r="QM387" s="120"/>
      <c r="QN387" s="120"/>
      <c r="QO387" s="120"/>
      <c r="QP387" s="120"/>
      <c r="QQ387" s="120"/>
      <c r="QR387" s="120"/>
      <c r="QS387" s="120"/>
      <c r="QT387" s="120"/>
      <c r="QU387" s="120"/>
      <c r="QV387" s="120"/>
      <c r="QW387" s="120"/>
      <c r="QX387" s="120"/>
      <c r="QY387" s="120"/>
      <c r="QZ387" s="120"/>
      <c r="RA387" s="120"/>
      <c r="RB387" s="120"/>
      <c r="RC387" s="120"/>
      <c r="RD387" s="120"/>
      <c r="RE387" s="120"/>
      <c r="RF387" s="120"/>
      <c r="RG387" s="120"/>
      <c r="RH387" s="120"/>
      <c r="RI387" s="120"/>
      <c r="RJ387" s="120"/>
      <c r="RK387" s="120"/>
      <c r="RL387" s="120"/>
      <c r="RM387" s="120"/>
      <c r="RN387" s="120"/>
      <c r="RO387" s="120"/>
      <c r="RP387" s="120"/>
      <c r="RQ387" s="120"/>
      <c r="RR387" s="120"/>
      <c r="RS387" s="120"/>
      <c r="RT387" s="120"/>
      <c r="RU387" s="120"/>
      <c r="RV387" s="120"/>
      <c r="RW387" s="120"/>
      <c r="RX387" s="120"/>
      <c r="RY387" s="120"/>
      <c r="RZ387" s="120"/>
      <c r="SA387" s="120"/>
      <c r="SB387" s="120"/>
      <c r="SC387" s="120"/>
      <c r="SD387" s="120"/>
      <c r="SE387" s="120"/>
      <c r="SF387" s="120"/>
      <c r="SG387" s="120"/>
      <c r="SH387" s="120"/>
      <c r="SI387" s="120"/>
      <c r="SJ387" s="120"/>
      <c r="SK387" s="120"/>
      <c r="SL387" s="120"/>
      <c r="SM387" s="120"/>
      <c r="SN387" s="120"/>
      <c r="SO387" s="120"/>
      <c r="SP387" s="120"/>
      <c r="SQ387" s="120"/>
      <c r="SR387" s="120"/>
      <c r="SS387" s="120"/>
      <c r="ST387" s="120"/>
      <c r="SU387" s="120"/>
      <c r="SV387" s="120"/>
      <c r="SW387" s="120"/>
      <c r="SX387" s="120"/>
      <c r="SY387" s="120"/>
      <c r="SZ387" s="120"/>
      <c r="TA387" s="120"/>
      <c r="TB387" s="120"/>
      <c r="TC387" s="120"/>
      <c r="TD387" s="120"/>
      <c r="TE387" s="120"/>
    </row>
    <row r="388" spans="1:525" s="121" customFormat="1" ht="22.5" customHeight="1" x14ac:dyDescent="0.25">
      <c r="A388" s="129" t="s">
        <v>261</v>
      </c>
      <c r="B388" s="130" t="str">
        <f>'дод 6'!A247</f>
        <v>7693</v>
      </c>
      <c r="C388" s="130" t="str">
        <f>'дод 6'!B247</f>
        <v>0490</v>
      </c>
      <c r="D388" s="119" t="str">
        <f>'дод 6'!C247</f>
        <v>Інші заходи, пов'язані з економічною діяльністю</v>
      </c>
      <c r="E388" s="81">
        <f t="shared" si="200"/>
        <v>590200</v>
      </c>
      <c r="F388" s="81">
        <f>160000+200000+230200</f>
        <v>590200</v>
      </c>
      <c r="G388" s="81"/>
      <c r="H388" s="81"/>
      <c r="I388" s="81"/>
      <c r="J388" s="81">
        <f t="shared" si="202"/>
        <v>0</v>
      </c>
      <c r="K388" s="81"/>
      <c r="L388" s="81"/>
      <c r="M388" s="81"/>
      <c r="N388" s="81"/>
      <c r="O388" s="81"/>
      <c r="P388" s="81">
        <f t="shared" si="201"/>
        <v>590200</v>
      </c>
      <c r="Q388" s="26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  <c r="IW388" s="120"/>
      <c r="IX388" s="120"/>
      <c r="IY388" s="120"/>
      <c r="IZ388" s="120"/>
      <c r="JA388" s="120"/>
      <c r="JB388" s="120"/>
      <c r="JC388" s="120"/>
      <c r="JD388" s="120"/>
      <c r="JE388" s="120"/>
      <c r="JF388" s="120"/>
      <c r="JG388" s="120"/>
      <c r="JH388" s="120"/>
      <c r="JI388" s="120"/>
      <c r="JJ388" s="120"/>
      <c r="JK388" s="120"/>
      <c r="JL388" s="120"/>
      <c r="JM388" s="120"/>
      <c r="JN388" s="120"/>
      <c r="JO388" s="120"/>
      <c r="JP388" s="120"/>
      <c r="JQ388" s="120"/>
      <c r="JR388" s="120"/>
      <c r="JS388" s="120"/>
      <c r="JT388" s="120"/>
      <c r="JU388" s="120"/>
      <c r="JV388" s="120"/>
      <c r="JW388" s="120"/>
      <c r="JX388" s="120"/>
      <c r="JY388" s="120"/>
      <c r="JZ388" s="120"/>
      <c r="KA388" s="120"/>
      <c r="KB388" s="120"/>
      <c r="KC388" s="120"/>
      <c r="KD388" s="120"/>
      <c r="KE388" s="120"/>
      <c r="KF388" s="120"/>
      <c r="KG388" s="120"/>
      <c r="KH388" s="120"/>
      <c r="KI388" s="120"/>
      <c r="KJ388" s="120"/>
      <c r="KK388" s="120"/>
      <c r="KL388" s="120"/>
      <c r="KM388" s="120"/>
      <c r="KN388" s="120"/>
      <c r="KO388" s="120"/>
      <c r="KP388" s="120"/>
      <c r="KQ388" s="120"/>
      <c r="KR388" s="120"/>
      <c r="KS388" s="120"/>
      <c r="KT388" s="120"/>
      <c r="KU388" s="120"/>
      <c r="KV388" s="120"/>
      <c r="KW388" s="120"/>
      <c r="KX388" s="120"/>
      <c r="KY388" s="120"/>
      <c r="KZ388" s="120"/>
      <c r="LA388" s="120"/>
      <c r="LB388" s="120"/>
      <c r="LC388" s="120"/>
      <c r="LD388" s="120"/>
      <c r="LE388" s="120"/>
      <c r="LF388" s="120"/>
      <c r="LG388" s="120"/>
      <c r="LH388" s="120"/>
      <c r="LI388" s="120"/>
      <c r="LJ388" s="120"/>
      <c r="LK388" s="120"/>
      <c r="LL388" s="120"/>
      <c r="LM388" s="120"/>
      <c r="LN388" s="120"/>
      <c r="LO388" s="120"/>
      <c r="LP388" s="120"/>
      <c r="LQ388" s="120"/>
      <c r="LR388" s="120"/>
      <c r="LS388" s="120"/>
      <c r="LT388" s="120"/>
      <c r="LU388" s="120"/>
      <c r="LV388" s="120"/>
      <c r="LW388" s="120"/>
      <c r="LX388" s="120"/>
      <c r="LY388" s="120"/>
      <c r="LZ388" s="120"/>
      <c r="MA388" s="120"/>
      <c r="MB388" s="120"/>
      <c r="MC388" s="120"/>
      <c r="MD388" s="120"/>
      <c r="ME388" s="120"/>
      <c r="MF388" s="120"/>
      <c r="MG388" s="120"/>
      <c r="MH388" s="120"/>
      <c r="MI388" s="120"/>
      <c r="MJ388" s="120"/>
      <c r="MK388" s="120"/>
      <c r="ML388" s="120"/>
      <c r="MM388" s="120"/>
      <c r="MN388" s="120"/>
      <c r="MO388" s="120"/>
      <c r="MP388" s="120"/>
      <c r="MQ388" s="120"/>
      <c r="MR388" s="120"/>
      <c r="MS388" s="120"/>
      <c r="MT388" s="120"/>
      <c r="MU388" s="120"/>
      <c r="MV388" s="120"/>
      <c r="MW388" s="120"/>
      <c r="MX388" s="120"/>
      <c r="MY388" s="120"/>
      <c r="MZ388" s="120"/>
      <c r="NA388" s="120"/>
      <c r="NB388" s="120"/>
      <c r="NC388" s="120"/>
      <c r="ND388" s="120"/>
      <c r="NE388" s="120"/>
      <c r="NF388" s="120"/>
      <c r="NG388" s="120"/>
      <c r="NH388" s="120"/>
      <c r="NI388" s="120"/>
      <c r="NJ388" s="120"/>
      <c r="NK388" s="120"/>
      <c r="NL388" s="120"/>
      <c r="NM388" s="120"/>
      <c r="NN388" s="120"/>
      <c r="NO388" s="120"/>
      <c r="NP388" s="120"/>
      <c r="NQ388" s="120"/>
      <c r="NR388" s="120"/>
      <c r="NS388" s="120"/>
      <c r="NT388" s="120"/>
      <c r="NU388" s="120"/>
      <c r="NV388" s="120"/>
      <c r="NW388" s="120"/>
      <c r="NX388" s="120"/>
      <c r="NY388" s="120"/>
      <c r="NZ388" s="120"/>
      <c r="OA388" s="120"/>
      <c r="OB388" s="120"/>
      <c r="OC388" s="120"/>
      <c r="OD388" s="120"/>
      <c r="OE388" s="120"/>
      <c r="OF388" s="120"/>
      <c r="OG388" s="120"/>
      <c r="OH388" s="120"/>
      <c r="OI388" s="120"/>
      <c r="OJ388" s="120"/>
      <c r="OK388" s="120"/>
      <c r="OL388" s="120"/>
      <c r="OM388" s="120"/>
      <c r="ON388" s="120"/>
      <c r="OO388" s="120"/>
      <c r="OP388" s="120"/>
      <c r="OQ388" s="120"/>
      <c r="OR388" s="120"/>
      <c r="OS388" s="120"/>
      <c r="OT388" s="120"/>
      <c r="OU388" s="120"/>
      <c r="OV388" s="120"/>
      <c r="OW388" s="120"/>
      <c r="OX388" s="120"/>
      <c r="OY388" s="120"/>
      <c r="OZ388" s="120"/>
      <c r="PA388" s="120"/>
      <c r="PB388" s="120"/>
      <c r="PC388" s="120"/>
      <c r="PD388" s="120"/>
      <c r="PE388" s="120"/>
      <c r="PF388" s="120"/>
      <c r="PG388" s="120"/>
      <c r="PH388" s="120"/>
      <c r="PI388" s="120"/>
      <c r="PJ388" s="120"/>
      <c r="PK388" s="120"/>
      <c r="PL388" s="120"/>
      <c r="PM388" s="120"/>
      <c r="PN388" s="120"/>
      <c r="PO388" s="120"/>
      <c r="PP388" s="120"/>
      <c r="PQ388" s="120"/>
      <c r="PR388" s="120"/>
      <c r="PS388" s="120"/>
      <c r="PT388" s="120"/>
      <c r="PU388" s="120"/>
      <c r="PV388" s="120"/>
      <c r="PW388" s="120"/>
      <c r="PX388" s="120"/>
      <c r="PY388" s="120"/>
      <c r="PZ388" s="120"/>
      <c r="QA388" s="120"/>
      <c r="QB388" s="120"/>
      <c r="QC388" s="120"/>
      <c r="QD388" s="120"/>
      <c r="QE388" s="120"/>
      <c r="QF388" s="120"/>
      <c r="QG388" s="120"/>
      <c r="QH388" s="120"/>
      <c r="QI388" s="120"/>
      <c r="QJ388" s="120"/>
      <c r="QK388" s="120"/>
      <c r="QL388" s="120"/>
      <c r="QM388" s="120"/>
      <c r="QN388" s="120"/>
      <c r="QO388" s="120"/>
      <c r="QP388" s="120"/>
      <c r="QQ388" s="120"/>
      <c r="QR388" s="120"/>
      <c r="QS388" s="120"/>
      <c r="QT388" s="120"/>
      <c r="QU388" s="120"/>
      <c r="QV388" s="120"/>
      <c r="QW388" s="120"/>
      <c r="QX388" s="120"/>
      <c r="QY388" s="120"/>
      <c r="QZ388" s="120"/>
      <c r="RA388" s="120"/>
      <c r="RB388" s="120"/>
      <c r="RC388" s="120"/>
      <c r="RD388" s="120"/>
      <c r="RE388" s="120"/>
      <c r="RF388" s="120"/>
      <c r="RG388" s="120"/>
      <c r="RH388" s="120"/>
      <c r="RI388" s="120"/>
      <c r="RJ388" s="120"/>
      <c r="RK388" s="120"/>
      <c r="RL388" s="120"/>
      <c r="RM388" s="120"/>
      <c r="RN388" s="120"/>
      <c r="RO388" s="120"/>
      <c r="RP388" s="120"/>
      <c r="RQ388" s="120"/>
      <c r="RR388" s="120"/>
      <c r="RS388" s="120"/>
      <c r="RT388" s="120"/>
      <c r="RU388" s="120"/>
      <c r="RV388" s="120"/>
      <c r="RW388" s="120"/>
      <c r="RX388" s="120"/>
      <c r="RY388" s="120"/>
      <c r="RZ388" s="120"/>
      <c r="SA388" s="120"/>
      <c r="SB388" s="120"/>
      <c r="SC388" s="120"/>
      <c r="SD388" s="120"/>
      <c r="SE388" s="120"/>
      <c r="SF388" s="120"/>
      <c r="SG388" s="120"/>
      <c r="SH388" s="120"/>
      <c r="SI388" s="120"/>
      <c r="SJ388" s="120"/>
      <c r="SK388" s="120"/>
      <c r="SL388" s="120"/>
      <c r="SM388" s="120"/>
      <c r="SN388" s="120"/>
      <c r="SO388" s="120"/>
      <c r="SP388" s="120"/>
      <c r="SQ388" s="120"/>
      <c r="SR388" s="120"/>
      <c r="SS388" s="120"/>
      <c r="ST388" s="120"/>
      <c r="SU388" s="120"/>
      <c r="SV388" s="120"/>
      <c r="SW388" s="120"/>
      <c r="SX388" s="120"/>
      <c r="SY388" s="120"/>
      <c r="SZ388" s="120"/>
      <c r="TA388" s="120"/>
      <c r="TB388" s="120"/>
      <c r="TC388" s="120"/>
      <c r="TD388" s="120"/>
      <c r="TE388" s="120"/>
    </row>
    <row r="389" spans="1:525" s="111" customFormat="1" ht="33.75" customHeight="1" x14ac:dyDescent="0.25">
      <c r="A389" s="142" t="s">
        <v>639</v>
      </c>
      <c r="B389" s="148"/>
      <c r="C389" s="148"/>
      <c r="D389" s="138" t="s">
        <v>38</v>
      </c>
      <c r="E389" s="79">
        <f>E390</f>
        <v>22717500</v>
      </c>
      <c r="F389" s="79">
        <f t="shared" ref="F389:P389" si="203">F390</f>
        <v>22717500</v>
      </c>
      <c r="G389" s="79">
        <f t="shared" si="203"/>
        <v>15190500</v>
      </c>
      <c r="H389" s="79">
        <f t="shared" si="203"/>
        <v>692800</v>
      </c>
      <c r="I389" s="79">
        <f t="shared" si="203"/>
        <v>0</v>
      </c>
      <c r="J389" s="79">
        <f t="shared" si="203"/>
        <v>319600</v>
      </c>
      <c r="K389" s="79">
        <f t="shared" si="203"/>
        <v>175000</v>
      </c>
      <c r="L389" s="79">
        <f t="shared" si="203"/>
        <v>144600</v>
      </c>
      <c r="M389" s="79">
        <f t="shared" si="203"/>
        <v>0</v>
      </c>
      <c r="N389" s="79">
        <f t="shared" si="203"/>
        <v>0</v>
      </c>
      <c r="O389" s="79">
        <f t="shared" si="203"/>
        <v>175000</v>
      </c>
      <c r="P389" s="79">
        <f t="shared" si="203"/>
        <v>23037100</v>
      </c>
      <c r="Q389" s="26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  <c r="IV389" s="110"/>
      <c r="IW389" s="110"/>
      <c r="IX389" s="110"/>
      <c r="IY389" s="110"/>
      <c r="IZ389" s="110"/>
      <c r="JA389" s="110"/>
      <c r="JB389" s="110"/>
      <c r="JC389" s="110"/>
      <c r="JD389" s="110"/>
      <c r="JE389" s="110"/>
      <c r="JF389" s="110"/>
      <c r="JG389" s="110"/>
      <c r="JH389" s="110"/>
      <c r="JI389" s="110"/>
      <c r="JJ389" s="110"/>
      <c r="JK389" s="110"/>
      <c r="JL389" s="110"/>
      <c r="JM389" s="110"/>
      <c r="JN389" s="110"/>
      <c r="JO389" s="110"/>
      <c r="JP389" s="110"/>
      <c r="JQ389" s="110"/>
      <c r="JR389" s="110"/>
      <c r="JS389" s="110"/>
      <c r="JT389" s="110"/>
      <c r="JU389" s="110"/>
      <c r="JV389" s="110"/>
      <c r="JW389" s="110"/>
      <c r="JX389" s="110"/>
      <c r="JY389" s="110"/>
      <c r="JZ389" s="110"/>
      <c r="KA389" s="110"/>
      <c r="KB389" s="110"/>
      <c r="KC389" s="110"/>
      <c r="KD389" s="110"/>
      <c r="KE389" s="110"/>
      <c r="KF389" s="110"/>
      <c r="KG389" s="110"/>
      <c r="KH389" s="110"/>
      <c r="KI389" s="110"/>
      <c r="KJ389" s="110"/>
      <c r="KK389" s="110"/>
      <c r="KL389" s="110"/>
      <c r="KM389" s="110"/>
      <c r="KN389" s="110"/>
      <c r="KO389" s="110"/>
      <c r="KP389" s="110"/>
      <c r="KQ389" s="110"/>
      <c r="KR389" s="110"/>
      <c r="KS389" s="110"/>
      <c r="KT389" s="110"/>
      <c r="KU389" s="110"/>
      <c r="KV389" s="110"/>
      <c r="KW389" s="110"/>
      <c r="KX389" s="110"/>
      <c r="KY389" s="110"/>
      <c r="KZ389" s="110"/>
      <c r="LA389" s="110"/>
      <c r="LB389" s="110"/>
      <c r="LC389" s="110"/>
      <c r="LD389" s="110"/>
      <c r="LE389" s="110"/>
      <c r="LF389" s="110"/>
      <c r="LG389" s="110"/>
      <c r="LH389" s="110"/>
      <c r="LI389" s="110"/>
      <c r="LJ389" s="110"/>
      <c r="LK389" s="110"/>
      <c r="LL389" s="110"/>
      <c r="LM389" s="110"/>
      <c r="LN389" s="110"/>
      <c r="LO389" s="110"/>
      <c r="LP389" s="110"/>
      <c r="LQ389" s="110"/>
      <c r="LR389" s="110"/>
      <c r="LS389" s="110"/>
      <c r="LT389" s="110"/>
      <c r="LU389" s="110"/>
      <c r="LV389" s="110"/>
      <c r="LW389" s="110"/>
      <c r="LX389" s="110"/>
      <c r="LY389" s="110"/>
      <c r="LZ389" s="110"/>
      <c r="MA389" s="110"/>
      <c r="MB389" s="110"/>
      <c r="MC389" s="110"/>
      <c r="MD389" s="110"/>
      <c r="ME389" s="110"/>
      <c r="MF389" s="110"/>
      <c r="MG389" s="110"/>
      <c r="MH389" s="110"/>
      <c r="MI389" s="110"/>
      <c r="MJ389" s="110"/>
      <c r="MK389" s="110"/>
      <c r="ML389" s="110"/>
      <c r="MM389" s="110"/>
      <c r="MN389" s="110"/>
      <c r="MO389" s="110"/>
      <c r="MP389" s="110"/>
      <c r="MQ389" s="110"/>
      <c r="MR389" s="110"/>
      <c r="MS389" s="110"/>
      <c r="MT389" s="110"/>
      <c r="MU389" s="110"/>
      <c r="MV389" s="110"/>
      <c r="MW389" s="110"/>
      <c r="MX389" s="110"/>
      <c r="MY389" s="110"/>
      <c r="MZ389" s="110"/>
      <c r="NA389" s="110"/>
      <c r="NB389" s="110"/>
      <c r="NC389" s="110"/>
      <c r="ND389" s="110"/>
      <c r="NE389" s="110"/>
      <c r="NF389" s="110"/>
      <c r="NG389" s="110"/>
      <c r="NH389" s="110"/>
      <c r="NI389" s="110"/>
      <c r="NJ389" s="110"/>
      <c r="NK389" s="110"/>
      <c r="NL389" s="110"/>
      <c r="NM389" s="110"/>
      <c r="NN389" s="110"/>
      <c r="NO389" s="110"/>
      <c r="NP389" s="110"/>
      <c r="NQ389" s="110"/>
      <c r="NR389" s="110"/>
      <c r="NS389" s="110"/>
      <c r="NT389" s="110"/>
      <c r="NU389" s="110"/>
      <c r="NV389" s="110"/>
      <c r="NW389" s="110"/>
      <c r="NX389" s="110"/>
      <c r="NY389" s="110"/>
      <c r="NZ389" s="110"/>
      <c r="OA389" s="110"/>
      <c r="OB389" s="110"/>
      <c r="OC389" s="110"/>
      <c r="OD389" s="110"/>
      <c r="OE389" s="110"/>
      <c r="OF389" s="110"/>
      <c r="OG389" s="110"/>
      <c r="OH389" s="110"/>
      <c r="OI389" s="110"/>
      <c r="OJ389" s="110"/>
      <c r="OK389" s="110"/>
      <c r="OL389" s="110"/>
      <c r="OM389" s="110"/>
      <c r="ON389" s="110"/>
      <c r="OO389" s="110"/>
      <c r="OP389" s="110"/>
      <c r="OQ389" s="110"/>
      <c r="OR389" s="110"/>
      <c r="OS389" s="110"/>
      <c r="OT389" s="110"/>
      <c r="OU389" s="110"/>
      <c r="OV389" s="110"/>
      <c r="OW389" s="110"/>
      <c r="OX389" s="110"/>
      <c r="OY389" s="110"/>
      <c r="OZ389" s="110"/>
      <c r="PA389" s="110"/>
      <c r="PB389" s="110"/>
      <c r="PC389" s="110"/>
      <c r="PD389" s="110"/>
      <c r="PE389" s="110"/>
      <c r="PF389" s="110"/>
      <c r="PG389" s="110"/>
      <c r="PH389" s="110"/>
      <c r="PI389" s="110"/>
      <c r="PJ389" s="110"/>
      <c r="PK389" s="110"/>
      <c r="PL389" s="110"/>
      <c r="PM389" s="110"/>
      <c r="PN389" s="110"/>
      <c r="PO389" s="110"/>
      <c r="PP389" s="110"/>
      <c r="PQ389" s="110"/>
      <c r="PR389" s="110"/>
      <c r="PS389" s="110"/>
      <c r="PT389" s="110"/>
      <c r="PU389" s="110"/>
      <c r="PV389" s="110"/>
      <c r="PW389" s="110"/>
      <c r="PX389" s="110"/>
      <c r="PY389" s="110"/>
      <c r="PZ389" s="110"/>
      <c r="QA389" s="110"/>
      <c r="QB389" s="110"/>
      <c r="QC389" s="110"/>
      <c r="QD389" s="110"/>
      <c r="QE389" s="110"/>
      <c r="QF389" s="110"/>
      <c r="QG389" s="110"/>
      <c r="QH389" s="110"/>
      <c r="QI389" s="110"/>
      <c r="QJ389" s="110"/>
      <c r="QK389" s="110"/>
      <c r="QL389" s="110"/>
      <c r="QM389" s="110"/>
      <c r="QN389" s="110"/>
      <c r="QO389" s="110"/>
      <c r="QP389" s="110"/>
      <c r="QQ389" s="110"/>
      <c r="QR389" s="110"/>
      <c r="QS389" s="110"/>
      <c r="QT389" s="110"/>
      <c r="QU389" s="110"/>
      <c r="QV389" s="110"/>
      <c r="QW389" s="110"/>
      <c r="QX389" s="110"/>
      <c r="QY389" s="110"/>
      <c r="QZ389" s="110"/>
      <c r="RA389" s="110"/>
      <c r="RB389" s="110"/>
      <c r="RC389" s="110"/>
      <c r="RD389" s="110"/>
      <c r="RE389" s="110"/>
      <c r="RF389" s="110"/>
      <c r="RG389" s="110"/>
      <c r="RH389" s="110"/>
      <c r="RI389" s="110"/>
      <c r="RJ389" s="110"/>
      <c r="RK389" s="110"/>
      <c r="RL389" s="110"/>
      <c r="RM389" s="110"/>
      <c r="RN389" s="110"/>
      <c r="RO389" s="110"/>
      <c r="RP389" s="110"/>
      <c r="RQ389" s="110"/>
      <c r="RR389" s="110"/>
      <c r="RS389" s="110"/>
      <c r="RT389" s="110"/>
      <c r="RU389" s="110"/>
      <c r="RV389" s="110"/>
      <c r="RW389" s="110"/>
      <c r="RX389" s="110"/>
      <c r="RY389" s="110"/>
      <c r="RZ389" s="110"/>
      <c r="SA389" s="110"/>
      <c r="SB389" s="110"/>
      <c r="SC389" s="110"/>
      <c r="SD389" s="110"/>
      <c r="SE389" s="110"/>
      <c r="SF389" s="110"/>
      <c r="SG389" s="110"/>
      <c r="SH389" s="110"/>
      <c r="SI389" s="110"/>
      <c r="SJ389" s="110"/>
      <c r="SK389" s="110"/>
      <c r="SL389" s="110"/>
      <c r="SM389" s="110"/>
      <c r="SN389" s="110"/>
      <c r="SO389" s="110"/>
      <c r="SP389" s="110"/>
      <c r="SQ389" s="110"/>
      <c r="SR389" s="110"/>
      <c r="SS389" s="110"/>
      <c r="ST389" s="110"/>
      <c r="SU389" s="110"/>
      <c r="SV389" s="110"/>
      <c r="SW389" s="110"/>
      <c r="SX389" s="110"/>
      <c r="SY389" s="110"/>
      <c r="SZ389" s="110"/>
      <c r="TA389" s="110"/>
      <c r="TB389" s="110"/>
      <c r="TC389" s="110"/>
      <c r="TD389" s="110"/>
      <c r="TE389" s="110"/>
    </row>
    <row r="390" spans="1:525" s="116" customFormat="1" ht="36.75" customHeight="1" x14ac:dyDescent="0.25">
      <c r="A390" s="112" t="s">
        <v>640</v>
      </c>
      <c r="B390" s="141"/>
      <c r="C390" s="141"/>
      <c r="D390" s="114" t="s">
        <v>38</v>
      </c>
      <c r="E390" s="80">
        <f>E391+E392+E393+E394+E395+E396+E397+E398+E400+E399</f>
        <v>22717500</v>
      </c>
      <c r="F390" s="80">
        <f t="shared" ref="F390:P390" si="204">F391+F392+F393+F394+F395+F396+F397+F398+F400+F399</f>
        <v>22717500</v>
      </c>
      <c r="G390" s="80">
        <f t="shared" si="204"/>
        <v>15190500</v>
      </c>
      <c r="H390" s="80">
        <f t="shared" si="204"/>
        <v>692800</v>
      </c>
      <c r="I390" s="80">
        <f t="shared" si="204"/>
        <v>0</v>
      </c>
      <c r="J390" s="80">
        <f t="shared" si="204"/>
        <v>319600</v>
      </c>
      <c r="K390" s="80">
        <f t="shared" si="204"/>
        <v>175000</v>
      </c>
      <c r="L390" s="80">
        <f t="shared" si="204"/>
        <v>144600</v>
      </c>
      <c r="M390" s="80">
        <f t="shared" si="204"/>
        <v>0</v>
      </c>
      <c r="N390" s="80">
        <f t="shared" si="204"/>
        <v>0</v>
      </c>
      <c r="O390" s="80">
        <f t="shared" si="204"/>
        <v>175000</v>
      </c>
      <c r="P390" s="80">
        <f t="shared" si="204"/>
        <v>23037100</v>
      </c>
      <c r="Q390" s="260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5"/>
      <c r="HQ390" s="115"/>
      <c r="HR390" s="115"/>
      <c r="HS390" s="115"/>
      <c r="HT390" s="115"/>
      <c r="HU390" s="115"/>
      <c r="HV390" s="115"/>
      <c r="HW390" s="115"/>
      <c r="HX390" s="115"/>
      <c r="HY390" s="115"/>
      <c r="HZ390" s="115"/>
      <c r="IA390" s="115"/>
      <c r="IB390" s="115"/>
      <c r="IC390" s="115"/>
      <c r="ID390" s="115"/>
      <c r="IE390" s="115"/>
      <c r="IF390" s="115"/>
      <c r="IG390" s="115"/>
      <c r="IH390" s="115"/>
      <c r="II390" s="115"/>
      <c r="IJ390" s="115"/>
      <c r="IK390" s="115"/>
      <c r="IL390" s="115"/>
      <c r="IM390" s="115"/>
      <c r="IN390" s="115"/>
      <c r="IO390" s="115"/>
      <c r="IP390" s="115"/>
      <c r="IQ390" s="115"/>
      <c r="IR390" s="115"/>
      <c r="IS390" s="115"/>
      <c r="IT390" s="115"/>
      <c r="IU390" s="115"/>
      <c r="IV390" s="115"/>
      <c r="IW390" s="115"/>
      <c r="IX390" s="115"/>
      <c r="IY390" s="115"/>
      <c r="IZ390" s="115"/>
      <c r="JA390" s="115"/>
      <c r="JB390" s="115"/>
      <c r="JC390" s="115"/>
      <c r="JD390" s="115"/>
      <c r="JE390" s="115"/>
      <c r="JF390" s="115"/>
      <c r="JG390" s="115"/>
      <c r="JH390" s="115"/>
      <c r="JI390" s="115"/>
      <c r="JJ390" s="115"/>
      <c r="JK390" s="115"/>
      <c r="JL390" s="115"/>
      <c r="JM390" s="115"/>
      <c r="JN390" s="115"/>
      <c r="JO390" s="115"/>
      <c r="JP390" s="115"/>
      <c r="JQ390" s="115"/>
      <c r="JR390" s="115"/>
      <c r="JS390" s="115"/>
      <c r="JT390" s="115"/>
      <c r="JU390" s="115"/>
      <c r="JV390" s="115"/>
      <c r="JW390" s="115"/>
      <c r="JX390" s="115"/>
      <c r="JY390" s="115"/>
      <c r="JZ390" s="115"/>
      <c r="KA390" s="115"/>
      <c r="KB390" s="115"/>
      <c r="KC390" s="115"/>
      <c r="KD390" s="115"/>
      <c r="KE390" s="115"/>
      <c r="KF390" s="115"/>
      <c r="KG390" s="115"/>
      <c r="KH390" s="115"/>
      <c r="KI390" s="115"/>
      <c r="KJ390" s="115"/>
      <c r="KK390" s="115"/>
      <c r="KL390" s="115"/>
      <c r="KM390" s="115"/>
      <c r="KN390" s="115"/>
      <c r="KO390" s="115"/>
      <c r="KP390" s="115"/>
      <c r="KQ390" s="115"/>
      <c r="KR390" s="115"/>
      <c r="KS390" s="115"/>
      <c r="KT390" s="115"/>
      <c r="KU390" s="115"/>
      <c r="KV390" s="115"/>
      <c r="KW390" s="115"/>
      <c r="KX390" s="115"/>
      <c r="KY390" s="115"/>
      <c r="KZ390" s="115"/>
      <c r="LA390" s="115"/>
      <c r="LB390" s="115"/>
      <c r="LC390" s="115"/>
      <c r="LD390" s="115"/>
      <c r="LE390" s="115"/>
      <c r="LF390" s="115"/>
      <c r="LG390" s="115"/>
      <c r="LH390" s="115"/>
      <c r="LI390" s="115"/>
      <c r="LJ390" s="115"/>
      <c r="LK390" s="115"/>
      <c r="LL390" s="115"/>
      <c r="LM390" s="115"/>
      <c r="LN390" s="115"/>
      <c r="LO390" s="115"/>
      <c r="LP390" s="115"/>
      <c r="LQ390" s="115"/>
      <c r="LR390" s="115"/>
      <c r="LS390" s="115"/>
      <c r="LT390" s="115"/>
      <c r="LU390" s="115"/>
      <c r="LV390" s="115"/>
      <c r="LW390" s="115"/>
      <c r="LX390" s="115"/>
      <c r="LY390" s="115"/>
      <c r="LZ390" s="115"/>
      <c r="MA390" s="115"/>
      <c r="MB390" s="115"/>
      <c r="MC390" s="115"/>
      <c r="MD390" s="115"/>
      <c r="ME390" s="115"/>
      <c r="MF390" s="115"/>
      <c r="MG390" s="115"/>
      <c r="MH390" s="115"/>
      <c r="MI390" s="115"/>
      <c r="MJ390" s="115"/>
      <c r="MK390" s="115"/>
      <c r="ML390" s="115"/>
      <c r="MM390" s="115"/>
      <c r="MN390" s="115"/>
      <c r="MO390" s="115"/>
      <c r="MP390" s="115"/>
      <c r="MQ390" s="115"/>
      <c r="MR390" s="115"/>
      <c r="MS390" s="115"/>
      <c r="MT390" s="115"/>
      <c r="MU390" s="115"/>
      <c r="MV390" s="115"/>
      <c r="MW390" s="115"/>
      <c r="MX390" s="115"/>
      <c r="MY390" s="115"/>
      <c r="MZ390" s="115"/>
      <c r="NA390" s="115"/>
      <c r="NB390" s="115"/>
      <c r="NC390" s="115"/>
      <c r="ND390" s="115"/>
      <c r="NE390" s="115"/>
      <c r="NF390" s="115"/>
      <c r="NG390" s="115"/>
      <c r="NH390" s="115"/>
      <c r="NI390" s="115"/>
      <c r="NJ390" s="115"/>
      <c r="NK390" s="115"/>
      <c r="NL390" s="115"/>
      <c r="NM390" s="115"/>
      <c r="NN390" s="115"/>
      <c r="NO390" s="115"/>
      <c r="NP390" s="115"/>
      <c r="NQ390" s="115"/>
      <c r="NR390" s="115"/>
      <c r="NS390" s="115"/>
      <c r="NT390" s="115"/>
      <c r="NU390" s="115"/>
      <c r="NV390" s="115"/>
      <c r="NW390" s="115"/>
      <c r="NX390" s="115"/>
      <c r="NY390" s="115"/>
      <c r="NZ390" s="115"/>
      <c r="OA390" s="115"/>
      <c r="OB390" s="115"/>
      <c r="OC390" s="115"/>
      <c r="OD390" s="115"/>
      <c r="OE390" s="115"/>
      <c r="OF390" s="115"/>
      <c r="OG390" s="115"/>
      <c r="OH390" s="115"/>
      <c r="OI390" s="115"/>
      <c r="OJ390" s="115"/>
      <c r="OK390" s="115"/>
      <c r="OL390" s="115"/>
      <c r="OM390" s="115"/>
      <c r="ON390" s="115"/>
      <c r="OO390" s="115"/>
      <c r="OP390" s="115"/>
      <c r="OQ390" s="115"/>
      <c r="OR390" s="115"/>
      <c r="OS390" s="115"/>
      <c r="OT390" s="115"/>
      <c r="OU390" s="115"/>
      <c r="OV390" s="115"/>
      <c r="OW390" s="115"/>
      <c r="OX390" s="115"/>
      <c r="OY390" s="115"/>
      <c r="OZ390" s="115"/>
      <c r="PA390" s="115"/>
      <c r="PB390" s="115"/>
      <c r="PC390" s="115"/>
      <c r="PD390" s="115"/>
      <c r="PE390" s="115"/>
      <c r="PF390" s="115"/>
      <c r="PG390" s="115"/>
      <c r="PH390" s="115"/>
      <c r="PI390" s="115"/>
      <c r="PJ390" s="115"/>
      <c r="PK390" s="115"/>
      <c r="PL390" s="115"/>
      <c r="PM390" s="115"/>
      <c r="PN390" s="115"/>
      <c r="PO390" s="115"/>
      <c r="PP390" s="115"/>
      <c r="PQ390" s="115"/>
      <c r="PR390" s="115"/>
      <c r="PS390" s="115"/>
      <c r="PT390" s="115"/>
      <c r="PU390" s="115"/>
      <c r="PV390" s="115"/>
      <c r="PW390" s="115"/>
      <c r="PX390" s="115"/>
      <c r="PY390" s="115"/>
      <c r="PZ390" s="115"/>
      <c r="QA390" s="115"/>
      <c r="QB390" s="115"/>
      <c r="QC390" s="115"/>
      <c r="QD390" s="115"/>
      <c r="QE390" s="115"/>
      <c r="QF390" s="115"/>
      <c r="QG390" s="115"/>
      <c r="QH390" s="115"/>
      <c r="QI390" s="115"/>
      <c r="QJ390" s="115"/>
      <c r="QK390" s="115"/>
      <c r="QL390" s="115"/>
      <c r="QM390" s="115"/>
      <c r="QN390" s="115"/>
      <c r="QO390" s="115"/>
      <c r="QP390" s="115"/>
      <c r="QQ390" s="115"/>
      <c r="QR390" s="115"/>
      <c r="QS390" s="115"/>
      <c r="QT390" s="115"/>
      <c r="QU390" s="115"/>
      <c r="QV390" s="115"/>
      <c r="QW390" s="115"/>
      <c r="QX390" s="115"/>
      <c r="QY390" s="115"/>
      <c r="QZ390" s="115"/>
      <c r="RA390" s="115"/>
      <c r="RB390" s="115"/>
      <c r="RC390" s="115"/>
      <c r="RD390" s="115"/>
      <c r="RE390" s="115"/>
      <c r="RF390" s="115"/>
      <c r="RG390" s="115"/>
      <c r="RH390" s="115"/>
      <c r="RI390" s="115"/>
      <c r="RJ390" s="115"/>
      <c r="RK390" s="115"/>
      <c r="RL390" s="115"/>
      <c r="RM390" s="115"/>
      <c r="RN390" s="115"/>
      <c r="RO390" s="115"/>
      <c r="RP390" s="115"/>
      <c r="RQ390" s="115"/>
      <c r="RR390" s="115"/>
      <c r="RS390" s="115"/>
      <c r="RT390" s="115"/>
      <c r="RU390" s="115"/>
      <c r="RV390" s="115"/>
      <c r="RW390" s="115"/>
      <c r="RX390" s="115"/>
      <c r="RY390" s="115"/>
      <c r="RZ390" s="115"/>
      <c r="SA390" s="115"/>
      <c r="SB390" s="115"/>
      <c r="SC390" s="115"/>
      <c r="SD390" s="115"/>
      <c r="SE390" s="115"/>
      <c r="SF390" s="115"/>
      <c r="SG390" s="115"/>
      <c r="SH390" s="115"/>
      <c r="SI390" s="115"/>
      <c r="SJ390" s="115"/>
      <c r="SK390" s="115"/>
      <c r="SL390" s="115"/>
      <c r="SM390" s="115"/>
      <c r="SN390" s="115"/>
      <c r="SO390" s="115"/>
      <c r="SP390" s="115"/>
      <c r="SQ390" s="115"/>
      <c r="SR390" s="115"/>
      <c r="SS390" s="115"/>
      <c r="ST390" s="115"/>
      <c r="SU390" s="115"/>
      <c r="SV390" s="115"/>
      <c r="SW390" s="115"/>
      <c r="SX390" s="115"/>
      <c r="SY390" s="115"/>
      <c r="SZ390" s="115"/>
      <c r="TA390" s="115"/>
      <c r="TB390" s="115"/>
      <c r="TC390" s="115"/>
      <c r="TD390" s="115"/>
      <c r="TE390" s="115"/>
    </row>
    <row r="391" spans="1:525" s="121" customFormat="1" ht="51.75" customHeight="1" x14ac:dyDescent="0.25">
      <c r="A391" s="117" t="s">
        <v>641</v>
      </c>
      <c r="B391" s="118" t="str">
        <f>'дод 6'!A16</f>
        <v>0160</v>
      </c>
      <c r="C391" s="118" t="str">
        <f>'дод 6'!B16</f>
        <v>0111</v>
      </c>
      <c r="D391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391" s="81">
        <f>F391+I391</f>
        <v>20271900</v>
      </c>
      <c r="F391" s="81">
        <f>17489700+2935400+1059400-1104600-108000</f>
        <v>20271900</v>
      </c>
      <c r="G391" s="81">
        <f>13067600+2161900+866400-905400</f>
        <v>15190500</v>
      </c>
      <c r="H391" s="81">
        <f>591600+209200-108000</f>
        <v>692800</v>
      </c>
      <c r="I391" s="81"/>
      <c r="J391" s="81">
        <f>L391+O391</f>
        <v>0</v>
      </c>
      <c r="K391" s="81">
        <f>8000-8000</f>
        <v>0</v>
      </c>
      <c r="L391" s="81"/>
      <c r="M391" s="81"/>
      <c r="N391" s="81"/>
      <c r="O391" s="81">
        <f>8000-8000</f>
        <v>0</v>
      </c>
      <c r="P391" s="81">
        <f>E391+J391</f>
        <v>20271900</v>
      </c>
      <c r="Q391" s="26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  <c r="IW391" s="120"/>
      <c r="IX391" s="120"/>
      <c r="IY391" s="120"/>
      <c r="IZ391" s="120"/>
      <c r="JA391" s="120"/>
      <c r="JB391" s="120"/>
      <c r="JC391" s="120"/>
      <c r="JD391" s="120"/>
      <c r="JE391" s="120"/>
      <c r="JF391" s="120"/>
      <c r="JG391" s="120"/>
      <c r="JH391" s="120"/>
      <c r="JI391" s="120"/>
      <c r="JJ391" s="120"/>
      <c r="JK391" s="120"/>
      <c r="JL391" s="120"/>
      <c r="JM391" s="120"/>
      <c r="JN391" s="120"/>
      <c r="JO391" s="120"/>
      <c r="JP391" s="120"/>
      <c r="JQ391" s="120"/>
      <c r="JR391" s="120"/>
      <c r="JS391" s="120"/>
      <c r="JT391" s="120"/>
      <c r="JU391" s="120"/>
      <c r="JV391" s="120"/>
      <c r="JW391" s="120"/>
      <c r="JX391" s="120"/>
      <c r="JY391" s="120"/>
      <c r="JZ391" s="120"/>
      <c r="KA391" s="120"/>
      <c r="KB391" s="120"/>
      <c r="KC391" s="120"/>
      <c r="KD391" s="120"/>
      <c r="KE391" s="120"/>
      <c r="KF391" s="120"/>
      <c r="KG391" s="120"/>
      <c r="KH391" s="120"/>
      <c r="KI391" s="120"/>
      <c r="KJ391" s="120"/>
      <c r="KK391" s="120"/>
      <c r="KL391" s="120"/>
      <c r="KM391" s="120"/>
      <c r="KN391" s="120"/>
      <c r="KO391" s="120"/>
      <c r="KP391" s="120"/>
      <c r="KQ391" s="120"/>
      <c r="KR391" s="120"/>
      <c r="KS391" s="120"/>
      <c r="KT391" s="120"/>
      <c r="KU391" s="120"/>
      <c r="KV391" s="120"/>
      <c r="KW391" s="120"/>
      <c r="KX391" s="120"/>
      <c r="KY391" s="120"/>
      <c r="KZ391" s="120"/>
      <c r="LA391" s="120"/>
      <c r="LB391" s="120"/>
      <c r="LC391" s="120"/>
      <c r="LD391" s="120"/>
      <c r="LE391" s="120"/>
      <c r="LF391" s="120"/>
      <c r="LG391" s="120"/>
      <c r="LH391" s="120"/>
      <c r="LI391" s="120"/>
      <c r="LJ391" s="120"/>
      <c r="LK391" s="120"/>
      <c r="LL391" s="120"/>
      <c r="LM391" s="120"/>
      <c r="LN391" s="120"/>
      <c r="LO391" s="120"/>
      <c r="LP391" s="120"/>
      <c r="LQ391" s="120"/>
      <c r="LR391" s="120"/>
      <c r="LS391" s="120"/>
      <c r="LT391" s="120"/>
      <c r="LU391" s="120"/>
      <c r="LV391" s="120"/>
      <c r="LW391" s="120"/>
      <c r="LX391" s="120"/>
      <c r="LY391" s="120"/>
      <c r="LZ391" s="120"/>
      <c r="MA391" s="120"/>
      <c r="MB391" s="120"/>
      <c r="MC391" s="120"/>
      <c r="MD391" s="120"/>
      <c r="ME391" s="120"/>
      <c r="MF391" s="120"/>
      <c r="MG391" s="120"/>
      <c r="MH391" s="120"/>
      <c r="MI391" s="120"/>
      <c r="MJ391" s="120"/>
      <c r="MK391" s="120"/>
      <c r="ML391" s="120"/>
      <c r="MM391" s="120"/>
      <c r="MN391" s="120"/>
      <c r="MO391" s="120"/>
      <c r="MP391" s="120"/>
      <c r="MQ391" s="120"/>
      <c r="MR391" s="120"/>
      <c r="MS391" s="120"/>
      <c r="MT391" s="120"/>
      <c r="MU391" s="120"/>
      <c r="MV391" s="120"/>
      <c r="MW391" s="120"/>
      <c r="MX391" s="120"/>
      <c r="MY391" s="120"/>
      <c r="MZ391" s="120"/>
      <c r="NA391" s="120"/>
      <c r="NB391" s="120"/>
      <c r="NC391" s="120"/>
      <c r="ND391" s="120"/>
      <c r="NE391" s="120"/>
      <c r="NF391" s="120"/>
      <c r="NG391" s="120"/>
      <c r="NH391" s="120"/>
      <c r="NI391" s="120"/>
      <c r="NJ391" s="120"/>
      <c r="NK391" s="120"/>
      <c r="NL391" s="120"/>
      <c r="NM391" s="120"/>
      <c r="NN391" s="120"/>
      <c r="NO391" s="120"/>
      <c r="NP391" s="120"/>
      <c r="NQ391" s="120"/>
      <c r="NR391" s="120"/>
      <c r="NS391" s="120"/>
      <c r="NT391" s="120"/>
      <c r="NU391" s="120"/>
      <c r="NV391" s="120"/>
      <c r="NW391" s="120"/>
      <c r="NX391" s="120"/>
      <c r="NY391" s="120"/>
      <c r="NZ391" s="120"/>
      <c r="OA391" s="120"/>
      <c r="OB391" s="120"/>
      <c r="OC391" s="120"/>
      <c r="OD391" s="120"/>
      <c r="OE391" s="120"/>
      <c r="OF391" s="120"/>
      <c r="OG391" s="120"/>
      <c r="OH391" s="120"/>
      <c r="OI391" s="120"/>
      <c r="OJ391" s="120"/>
      <c r="OK391" s="120"/>
      <c r="OL391" s="120"/>
      <c r="OM391" s="120"/>
      <c r="ON391" s="120"/>
      <c r="OO391" s="120"/>
      <c r="OP391" s="120"/>
      <c r="OQ391" s="120"/>
      <c r="OR391" s="120"/>
      <c r="OS391" s="120"/>
      <c r="OT391" s="120"/>
      <c r="OU391" s="120"/>
      <c r="OV391" s="120"/>
      <c r="OW391" s="120"/>
      <c r="OX391" s="120"/>
      <c r="OY391" s="120"/>
      <c r="OZ391" s="120"/>
      <c r="PA391" s="120"/>
      <c r="PB391" s="120"/>
      <c r="PC391" s="120"/>
      <c r="PD391" s="120"/>
      <c r="PE391" s="120"/>
      <c r="PF391" s="120"/>
      <c r="PG391" s="120"/>
      <c r="PH391" s="120"/>
      <c r="PI391" s="120"/>
      <c r="PJ391" s="120"/>
      <c r="PK391" s="120"/>
      <c r="PL391" s="120"/>
      <c r="PM391" s="120"/>
      <c r="PN391" s="120"/>
      <c r="PO391" s="120"/>
      <c r="PP391" s="120"/>
      <c r="PQ391" s="120"/>
      <c r="PR391" s="120"/>
      <c r="PS391" s="120"/>
      <c r="PT391" s="120"/>
      <c r="PU391" s="120"/>
      <c r="PV391" s="120"/>
      <c r="PW391" s="120"/>
      <c r="PX391" s="120"/>
      <c r="PY391" s="120"/>
      <c r="PZ391" s="120"/>
      <c r="QA391" s="120"/>
      <c r="QB391" s="120"/>
      <c r="QC391" s="120"/>
      <c r="QD391" s="120"/>
      <c r="QE391" s="120"/>
      <c r="QF391" s="120"/>
      <c r="QG391" s="120"/>
      <c r="QH391" s="120"/>
      <c r="QI391" s="120"/>
      <c r="QJ391" s="120"/>
      <c r="QK391" s="120"/>
      <c r="QL391" s="120"/>
      <c r="QM391" s="120"/>
      <c r="QN391" s="120"/>
      <c r="QO391" s="120"/>
      <c r="QP391" s="120"/>
      <c r="QQ391" s="120"/>
      <c r="QR391" s="120"/>
      <c r="QS391" s="120"/>
      <c r="QT391" s="120"/>
      <c r="QU391" s="120"/>
      <c r="QV391" s="120"/>
      <c r="QW391" s="120"/>
      <c r="QX391" s="120"/>
      <c r="QY391" s="120"/>
      <c r="QZ391" s="120"/>
      <c r="RA391" s="120"/>
      <c r="RB391" s="120"/>
      <c r="RC391" s="120"/>
      <c r="RD391" s="120"/>
      <c r="RE391" s="120"/>
      <c r="RF391" s="120"/>
      <c r="RG391" s="120"/>
      <c r="RH391" s="120"/>
      <c r="RI391" s="120"/>
      <c r="RJ391" s="120"/>
      <c r="RK391" s="120"/>
      <c r="RL391" s="120"/>
      <c r="RM391" s="120"/>
      <c r="RN391" s="120"/>
      <c r="RO391" s="120"/>
      <c r="RP391" s="120"/>
      <c r="RQ391" s="120"/>
      <c r="RR391" s="120"/>
      <c r="RS391" s="120"/>
      <c r="RT391" s="120"/>
      <c r="RU391" s="120"/>
      <c r="RV391" s="120"/>
      <c r="RW391" s="120"/>
      <c r="RX391" s="120"/>
      <c r="RY391" s="120"/>
      <c r="RZ391" s="120"/>
      <c r="SA391" s="120"/>
      <c r="SB391" s="120"/>
      <c r="SC391" s="120"/>
      <c r="SD391" s="120"/>
      <c r="SE391" s="120"/>
      <c r="SF391" s="120"/>
      <c r="SG391" s="120"/>
      <c r="SH391" s="120"/>
      <c r="SI391" s="120"/>
      <c r="SJ391" s="120"/>
      <c r="SK391" s="120"/>
      <c r="SL391" s="120"/>
      <c r="SM391" s="120"/>
      <c r="SN391" s="120"/>
      <c r="SO391" s="120"/>
      <c r="SP391" s="120"/>
      <c r="SQ391" s="120"/>
      <c r="SR391" s="120"/>
      <c r="SS391" s="120"/>
      <c r="ST391" s="120"/>
      <c r="SU391" s="120"/>
      <c r="SV391" s="120"/>
      <c r="SW391" s="120"/>
      <c r="SX391" s="120"/>
      <c r="SY391" s="120"/>
      <c r="SZ391" s="120"/>
      <c r="TA391" s="120"/>
      <c r="TB391" s="120"/>
      <c r="TC391" s="120"/>
      <c r="TD391" s="120"/>
      <c r="TE391" s="120"/>
    </row>
    <row r="392" spans="1:525" s="121" customFormat="1" ht="30" customHeight="1" x14ac:dyDescent="0.25">
      <c r="A392" s="117" t="s">
        <v>643</v>
      </c>
      <c r="B392" s="118" t="str">
        <f>'дод 6'!A184</f>
        <v>6090</v>
      </c>
      <c r="C392" s="118" t="str">
        <f>'дод 6'!B184</f>
        <v>0640</v>
      </c>
      <c r="D392" s="153" t="str">
        <f>'дод 6'!C184</f>
        <v>Інша діяльність у сфері житлово-комунального господарства</v>
      </c>
      <c r="E392" s="81">
        <f t="shared" ref="E392:E400" si="205">F392+I392</f>
        <v>35600</v>
      </c>
      <c r="F392" s="81">
        <f>70500-50500+15600</f>
        <v>35600</v>
      </c>
      <c r="G392" s="81"/>
      <c r="H392" s="81"/>
      <c r="I392" s="81"/>
      <c r="J392" s="81">
        <f t="shared" ref="J392:J400" si="206">L392+O392</f>
        <v>0</v>
      </c>
      <c r="K392" s="81">
        <f t="shared" ref="K392:K400" si="207">8000-8000</f>
        <v>0</v>
      </c>
      <c r="L392" s="81"/>
      <c r="M392" s="81"/>
      <c r="N392" s="81"/>
      <c r="O392" s="81">
        <f t="shared" ref="O392:O400" si="208">8000-8000</f>
        <v>0</v>
      </c>
      <c r="P392" s="81">
        <f t="shared" ref="P392:P400" si="209">E392+J392</f>
        <v>35600</v>
      </c>
      <c r="Q392" s="26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  <c r="IW392" s="120"/>
      <c r="IX392" s="120"/>
      <c r="IY392" s="120"/>
      <c r="IZ392" s="120"/>
      <c r="JA392" s="120"/>
      <c r="JB392" s="120"/>
      <c r="JC392" s="120"/>
      <c r="JD392" s="120"/>
      <c r="JE392" s="120"/>
      <c r="JF392" s="120"/>
      <c r="JG392" s="120"/>
      <c r="JH392" s="120"/>
      <c r="JI392" s="120"/>
      <c r="JJ392" s="120"/>
      <c r="JK392" s="120"/>
      <c r="JL392" s="120"/>
      <c r="JM392" s="120"/>
      <c r="JN392" s="120"/>
      <c r="JO392" s="120"/>
      <c r="JP392" s="120"/>
      <c r="JQ392" s="120"/>
      <c r="JR392" s="120"/>
      <c r="JS392" s="120"/>
      <c r="JT392" s="120"/>
      <c r="JU392" s="120"/>
      <c r="JV392" s="120"/>
      <c r="JW392" s="120"/>
      <c r="JX392" s="120"/>
      <c r="JY392" s="120"/>
      <c r="JZ392" s="120"/>
      <c r="KA392" s="120"/>
      <c r="KB392" s="120"/>
      <c r="KC392" s="120"/>
      <c r="KD392" s="120"/>
      <c r="KE392" s="120"/>
      <c r="KF392" s="120"/>
      <c r="KG392" s="120"/>
      <c r="KH392" s="120"/>
      <c r="KI392" s="120"/>
      <c r="KJ392" s="120"/>
      <c r="KK392" s="120"/>
      <c r="KL392" s="120"/>
      <c r="KM392" s="120"/>
      <c r="KN392" s="120"/>
      <c r="KO392" s="120"/>
      <c r="KP392" s="120"/>
      <c r="KQ392" s="120"/>
      <c r="KR392" s="120"/>
      <c r="KS392" s="120"/>
      <c r="KT392" s="120"/>
      <c r="KU392" s="120"/>
      <c r="KV392" s="120"/>
      <c r="KW392" s="120"/>
      <c r="KX392" s="120"/>
      <c r="KY392" s="120"/>
      <c r="KZ392" s="120"/>
      <c r="LA392" s="120"/>
      <c r="LB392" s="120"/>
      <c r="LC392" s="120"/>
      <c r="LD392" s="120"/>
      <c r="LE392" s="120"/>
      <c r="LF392" s="120"/>
      <c r="LG392" s="120"/>
      <c r="LH392" s="120"/>
      <c r="LI392" s="120"/>
      <c r="LJ392" s="120"/>
      <c r="LK392" s="120"/>
      <c r="LL392" s="120"/>
      <c r="LM392" s="120"/>
      <c r="LN392" s="120"/>
      <c r="LO392" s="120"/>
      <c r="LP392" s="120"/>
      <c r="LQ392" s="120"/>
      <c r="LR392" s="120"/>
      <c r="LS392" s="120"/>
      <c r="LT392" s="120"/>
      <c r="LU392" s="120"/>
      <c r="LV392" s="120"/>
      <c r="LW392" s="120"/>
      <c r="LX392" s="120"/>
      <c r="LY392" s="120"/>
      <c r="LZ392" s="120"/>
      <c r="MA392" s="120"/>
      <c r="MB392" s="120"/>
      <c r="MC392" s="120"/>
      <c r="MD392" s="120"/>
      <c r="ME392" s="120"/>
      <c r="MF392" s="120"/>
      <c r="MG392" s="120"/>
      <c r="MH392" s="120"/>
      <c r="MI392" s="120"/>
      <c r="MJ392" s="120"/>
      <c r="MK392" s="120"/>
      <c r="ML392" s="120"/>
      <c r="MM392" s="120"/>
      <c r="MN392" s="120"/>
      <c r="MO392" s="120"/>
      <c r="MP392" s="120"/>
      <c r="MQ392" s="120"/>
      <c r="MR392" s="120"/>
      <c r="MS392" s="120"/>
      <c r="MT392" s="120"/>
      <c r="MU392" s="120"/>
      <c r="MV392" s="120"/>
      <c r="MW392" s="120"/>
      <c r="MX392" s="120"/>
      <c r="MY392" s="120"/>
      <c r="MZ392" s="120"/>
      <c r="NA392" s="120"/>
      <c r="NB392" s="120"/>
      <c r="NC392" s="120"/>
      <c r="ND392" s="120"/>
      <c r="NE392" s="120"/>
      <c r="NF392" s="120"/>
      <c r="NG392" s="120"/>
      <c r="NH392" s="120"/>
      <c r="NI392" s="120"/>
      <c r="NJ392" s="120"/>
      <c r="NK392" s="120"/>
      <c r="NL392" s="120"/>
      <c r="NM392" s="120"/>
      <c r="NN392" s="120"/>
      <c r="NO392" s="120"/>
      <c r="NP392" s="120"/>
      <c r="NQ392" s="120"/>
      <c r="NR392" s="120"/>
      <c r="NS392" s="120"/>
      <c r="NT392" s="120"/>
      <c r="NU392" s="120"/>
      <c r="NV392" s="120"/>
      <c r="NW392" s="120"/>
      <c r="NX392" s="120"/>
      <c r="NY392" s="120"/>
      <c r="NZ392" s="120"/>
      <c r="OA392" s="120"/>
      <c r="OB392" s="120"/>
      <c r="OC392" s="120"/>
      <c r="OD392" s="120"/>
      <c r="OE392" s="120"/>
      <c r="OF392" s="120"/>
      <c r="OG392" s="120"/>
      <c r="OH392" s="120"/>
      <c r="OI392" s="120"/>
      <c r="OJ392" s="120"/>
      <c r="OK392" s="120"/>
      <c r="OL392" s="120"/>
      <c r="OM392" s="120"/>
      <c r="ON392" s="120"/>
      <c r="OO392" s="120"/>
      <c r="OP392" s="120"/>
      <c r="OQ392" s="120"/>
      <c r="OR392" s="120"/>
      <c r="OS392" s="120"/>
      <c r="OT392" s="120"/>
      <c r="OU392" s="120"/>
      <c r="OV392" s="120"/>
      <c r="OW392" s="120"/>
      <c r="OX392" s="120"/>
      <c r="OY392" s="120"/>
      <c r="OZ392" s="120"/>
      <c r="PA392" s="120"/>
      <c r="PB392" s="120"/>
      <c r="PC392" s="120"/>
      <c r="PD392" s="120"/>
      <c r="PE392" s="120"/>
      <c r="PF392" s="120"/>
      <c r="PG392" s="120"/>
      <c r="PH392" s="120"/>
      <c r="PI392" s="120"/>
      <c r="PJ392" s="120"/>
      <c r="PK392" s="120"/>
      <c r="PL392" s="120"/>
      <c r="PM392" s="120"/>
      <c r="PN392" s="120"/>
      <c r="PO392" s="120"/>
      <c r="PP392" s="120"/>
      <c r="PQ392" s="120"/>
      <c r="PR392" s="120"/>
      <c r="PS392" s="120"/>
      <c r="PT392" s="120"/>
      <c r="PU392" s="120"/>
      <c r="PV392" s="120"/>
      <c r="PW392" s="120"/>
      <c r="PX392" s="120"/>
      <c r="PY392" s="120"/>
      <c r="PZ392" s="120"/>
      <c r="QA392" s="120"/>
      <c r="QB392" s="120"/>
      <c r="QC392" s="120"/>
      <c r="QD392" s="120"/>
      <c r="QE392" s="120"/>
      <c r="QF392" s="120"/>
      <c r="QG392" s="120"/>
      <c r="QH392" s="120"/>
      <c r="QI392" s="120"/>
      <c r="QJ392" s="120"/>
      <c r="QK392" s="120"/>
      <c r="QL392" s="120"/>
      <c r="QM392" s="120"/>
      <c r="QN392" s="120"/>
      <c r="QO392" s="120"/>
      <c r="QP392" s="120"/>
      <c r="QQ392" s="120"/>
      <c r="QR392" s="120"/>
      <c r="QS392" s="120"/>
      <c r="QT392" s="120"/>
      <c r="QU392" s="120"/>
      <c r="QV392" s="120"/>
      <c r="QW392" s="120"/>
      <c r="QX392" s="120"/>
      <c r="QY392" s="120"/>
      <c r="QZ392" s="120"/>
      <c r="RA392" s="120"/>
      <c r="RB392" s="120"/>
      <c r="RC392" s="120"/>
      <c r="RD392" s="120"/>
      <c r="RE392" s="120"/>
      <c r="RF392" s="120"/>
      <c r="RG392" s="120"/>
      <c r="RH392" s="120"/>
      <c r="RI392" s="120"/>
      <c r="RJ392" s="120"/>
      <c r="RK392" s="120"/>
      <c r="RL392" s="120"/>
      <c r="RM392" s="120"/>
      <c r="RN392" s="120"/>
      <c r="RO392" s="120"/>
      <c r="RP392" s="120"/>
      <c r="RQ392" s="120"/>
      <c r="RR392" s="120"/>
      <c r="RS392" s="120"/>
      <c r="RT392" s="120"/>
      <c r="RU392" s="120"/>
      <c r="RV392" s="120"/>
      <c r="RW392" s="120"/>
      <c r="RX392" s="120"/>
      <c r="RY392" s="120"/>
      <c r="RZ392" s="120"/>
      <c r="SA392" s="120"/>
      <c r="SB392" s="120"/>
      <c r="SC392" s="120"/>
      <c r="SD392" s="120"/>
      <c r="SE392" s="120"/>
      <c r="SF392" s="120"/>
      <c r="SG392" s="120"/>
      <c r="SH392" s="120"/>
      <c r="SI392" s="120"/>
      <c r="SJ392" s="120"/>
      <c r="SK392" s="120"/>
      <c r="SL392" s="120"/>
      <c r="SM392" s="120"/>
      <c r="SN392" s="120"/>
      <c r="SO392" s="120"/>
      <c r="SP392" s="120"/>
      <c r="SQ392" s="120"/>
      <c r="SR392" s="120"/>
      <c r="SS392" s="120"/>
      <c r="ST392" s="120"/>
      <c r="SU392" s="120"/>
      <c r="SV392" s="120"/>
      <c r="SW392" s="120"/>
      <c r="SX392" s="120"/>
      <c r="SY392" s="120"/>
      <c r="SZ392" s="120"/>
      <c r="TA392" s="120"/>
      <c r="TB392" s="120"/>
      <c r="TC392" s="120"/>
      <c r="TD392" s="120"/>
      <c r="TE392" s="120"/>
    </row>
    <row r="393" spans="1:525" s="121" customFormat="1" ht="27.75" customHeight="1" x14ac:dyDescent="0.25">
      <c r="A393" s="117" t="s">
        <v>646</v>
      </c>
      <c r="B393" s="118" t="str">
        <f>'дод 6'!A194</f>
        <v>7130</v>
      </c>
      <c r="C393" s="118" t="str">
        <f>'дод 6'!B194</f>
        <v>0421</v>
      </c>
      <c r="D393" s="153" t="str">
        <f>'дод 6'!C194</f>
        <v>Здійснення заходів із землеустрою</v>
      </c>
      <c r="E393" s="81">
        <f t="shared" si="205"/>
        <v>1750000</v>
      </c>
      <c r="F393" s="81">
        <v>1750000</v>
      </c>
      <c r="G393" s="81"/>
      <c r="H393" s="81"/>
      <c r="I393" s="81"/>
      <c r="J393" s="81">
        <f t="shared" si="206"/>
        <v>0</v>
      </c>
      <c r="K393" s="81">
        <f t="shared" si="207"/>
        <v>0</v>
      </c>
      <c r="L393" s="81"/>
      <c r="M393" s="81"/>
      <c r="N393" s="81"/>
      <c r="O393" s="81">
        <f t="shared" si="208"/>
        <v>0</v>
      </c>
      <c r="P393" s="81">
        <f t="shared" si="209"/>
        <v>1750000</v>
      </c>
      <c r="Q393" s="26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  <c r="IW393" s="120"/>
      <c r="IX393" s="120"/>
      <c r="IY393" s="120"/>
      <c r="IZ393" s="120"/>
      <c r="JA393" s="120"/>
      <c r="JB393" s="120"/>
      <c r="JC393" s="120"/>
      <c r="JD393" s="120"/>
      <c r="JE393" s="120"/>
      <c r="JF393" s="120"/>
      <c r="JG393" s="120"/>
      <c r="JH393" s="120"/>
      <c r="JI393" s="120"/>
      <c r="JJ393" s="120"/>
      <c r="JK393" s="120"/>
      <c r="JL393" s="120"/>
      <c r="JM393" s="120"/>
      <c r="JN393" s="120"/>
      <c r="JO393" s="120"/>
      <c r="JP393" s="120"/>
      <c r="JQ393" s="120"/>
      <c r="JR393" s="120"/>
      <c r="JS393" s="120"/>
      <c r="JT393" s="120"/>
      <c r="JU393" s="120"/>
      <c r="JV393" s="120"/>
      <c r="JW393" s="120"/>
      <c r="JX393" s="120"/>
      <c r="JY393" s="120"/>
      <c r="JZ393" s="120"/>
      <c r="KA393" s="120"/>
      <c r="KB393" s="120"/>
      <c r="KC393" s="120"/>
      <c r="KD393" s="120"/>
      <c r="KE393" s="120"/>
      <c r="KF393" s="120"/>
      <c r="KG393" s="120"/>
      <c r="KH393" s="120"/>
      <c r="KI393" s="120"/>
      <c r="KJ393" s="120"/>
      <c r="KK393" s="120"/>
      <c r="KL393" s="120"/>
      <c r="KM393" s="120"/>
      <c r="KN393" s="120"/>
      <c r="KO393" s="120"/>
      <c r="KP393" s="120"/>
      <c r="KQ393" s="120"/>
      <c r="KR393" s="120"/>
      <c r="KS393" s="120"/>
      <c r="KT393" s="120"/>
      <c r="KU393" s="120"/>
      <c r="KV393" s="120"/>
      <c r="KW393" s="120"/>
      <c r="KX393" s="120"/>
      <c r="KY393" s="120"/>
      <c r="KZ393" s="120"/>
      <c r="LA393" s="120"/>
      <c r="LB393" s="120"/>
      <c r="LC393" s="120"/>
      <c r="LD393" s="120"/>
      <c r="LE393" s="120"/>
      <c r="LF393" s="120"/>
      <c r="LG393" s="120"/>
      <c r="LH393" s="120"/>
      <c r="LI393" s="120"/>
      <c r="LJ393" s="120"/>
      <c r="LK393" s="120"/>
      <c r="LL393" s="120"/>
      <c r="LM393" s="120"/>
      <c r="LN393" s="120"/>
      <c r="LO393" s="120"/>
      <c r="LP393" s="120"/>
      <c r="LQ393" s="120"/>
      <c r="LR393" s="120"/>
      <c r="LS393" s="120"/>
      <c r="LT393" s="120"/>
      <c r="LU393" s="120"/>
      <c r="LV393" s="120"/>
      <c r="LW393" s="120"/>
      <c r="LX393" s="120"/>
      <c r="LY393" s="120"/>
      <c r="LZ393" s="120"/>
      <c r="MA393" s="120"/>
      <c r="MB393" s="120"/>
      <c r="MC393" s="120"/>
      <c r="MD393" s="120"/>
      <c r="ME393" s="120"/>
      <c r="MF393" s="120"/>
      <c r="MG393" s="120"/>
      <c r="MH393" s="120"/>
      <c r="MI393" s="120"/>
      <c r="MJ393" s="120"/>
      <c r="MK393" s="120"/>
      <c r="ML393" s="120"/>
      <c r="MM393" s="120"/>
      <c r="MN393" s="120"/>
      <c r="MO393" s="120"/>
      <c r="MP393" s="120"/>
      <c r="MQ393" s="120"/>
      <c r="MR393" s="120"/>
      <c r="MS393" s="120"/>
      <c r="MT393" s="120"/>
      <c r="MU393" s="120"/>
      <c r="MV393" s="120"/>
      <c r="MW393" s="120"/>
      <c r="MX393" s="120"/>
      <c r="MY393" s="120"/>
      <c r="MZ393" s="120"/>
      <c r="NA393" s="120"/>
      <c r="NB393" s="120"/>
      <c r="NC393" s="120"/>
      <c r="ND393" s="120"/>
      <c r="NE393" s="120"/>
      <c r="NF393" s="120"/>
      <c r="NG393" s="120"/>
      <c r="NH393" s="120"/>
      <c r="NI393" s="120"/>
      <c r="NJ393" s="120"/>
      <c r="NK393" s="120"/>
      <c r="NL393" s="120"/>
      <c r="NM393" s="120"/>
      <c r="NN393" s="120"/>
      <c r="NO393" s="120"/>
      <c r="NP393" s="120"/>
      <c r="NQ393" s="120"/>
      <c r="NR393" s="120"/>
      <c r="NS393" s="120"/>
      <c r="NT393" s="120"/>
      <c r="NU393" s="120"/>
      <c r="NV393" s="120"/>
      <c r="NW393" s="120"/>
      <c r="NX393" s="120"/>
      <c r="NY393" s="120"/>
      <c r="NZ393" s="120"/>
      <c r="OA393" s="120"/>
      <c r="OB393" s="120"/>
      <c r="OC393" s="120"/>
      <c r="OD393" s="120"/>
      <c r="OE393" s="120"/>
      <c r="OF393" s="120"/>
      <c r="OG393" s="120"/>
      <c r="OH393" s="120"/>
      <c r="OI393" s="120"/>
      <c r="OJ393" s="120"/>
      <c r="OK393" s="120"/>
      <c r="OL393" s="120"/>
      <c r="OM393" s="120"/>
      <c r="ON393" s="120"/>
      <c r="OO393" s="120"/>
      <c r="OP393" s="120"/>
      <c r="OQ393" s="120"/>
      <c r="OR393" s="120"/>
      <c r="OS393" s="120"/>
      <c r="OT393" s="120"/>
      <c r="OU393" s="120"/>
      <c r="OV393" s="120"/>
      <c r="OW393" s="120"/>
      <c r="OX393" s="120"/>
      <c r="OY393" s="120"/>
      <c r="OZ393" s="120"/>
      <c r="PA393" s="120"/>
      <c r="PB393" s="120"/>
      <c r="PC393" s="120"/>
      <c r="PD393" s="120"/>
      <c r="PE393" s="120"/>
      <c r="PF393" s="120"/>
      <c r="PG393" s="120"/>
      <c r="PH393" s="120"/>
      <c r="PI393" s="120"/>
      <c r="PJ393" s="120"/>
      <c r="PK393" s="120"/>
      <c r="PL393" s="120"/>
      <c r="PM393" s="120"/>
      <c r="PN393" s="120"/>
      <c r="PO393" s="120"/>
      <c r="PP393" s="120"/>
      <c r="PQ393" s="120"/>
      <c r="PR393" s="120"/>
      <c r="PS393" s="120"/>
      <c r="PT393" s="120"/>
      <c r="PU393" s="120"/>
      <c r="PV393" s="120"/>
      <c r="PW393" s="120"/>
      <c r="PX393" s="120"/>
      <c r="PY393" s="120"/>
      <c r="PZ393" s="120"/>
      <c r="QA393" s="120"/>
      <c r="QB393" s="120"/>
      <c r="QC393" s="120"/>
      <c r="QD393" s="120"/>
      <c r="QE393" s="120"/>
      <c r="QF393" s="120"/>
      <c r="QG393" s="120"/>
      <c r="QH393" s="120"/>
      <c r="QI393" s="120"/>
      <c r="QJ393" s="120"/>
      <c r="QK393" s="120"/>
      <c r="QL393" s="120"/>
      <c r="QM393" s="120"/>
      <c r="QN393" s="120"/>
      <c r="QO393" s="120"/>
      <c r="QP393" s="120"/>
      <c r="QQ393" s="120"/>
      <c r="QR393" s="120"/>
      <c r="QS393" s="120"/>
      <c r="QT393" s="120"/>
      <c r="QU393" s="120"/>
      <c r="QV393" s="120"/>
      <c r="QW393" s="120"/>
      <c r="QX393" s="120"/>
      <c r="QY393" s="120"/>
      <c r="QZ393" s="120"/>
      <c r="RA393" s="120"/>
      <c r="RB393" s="120"/>
      <c r="RC393" s="120"/>
      <c r="RD393" s="120"/>
      <c r="RE393" s="120"/>
      <c r="RF393" s="120"/>
      <c r="RG393" s="120"/>
      <c r="RH393" s="120"/>
      <c r="RI393" s="120"/>
      <c r="RJ393" s="120"/>
      <c r="RK393" s="120"/>
      <c r="RL393" s="120"/>
      <c r="RM393" s="120"/>
      <c r="RN393" s="120"/>
      <c r="RO393" s="120"/>
      <c r="RP393" s="120"/>
      <c r="RQ393" s="120"/>
      <c r="RR393" s="120"/>
      <c r="RS393" s="120"/>
      <c r="RT393" s="120"/>
      <c r="RU393" s="120"/>
      <c r="RV393" s="120"/>
      <c r="RW393" s="120"/>
      <c r="RX393" s="120"/>
      <c r="RY393" s="120"/>
      <c r="RZ393" s="120"/>
      <c r="SA393" s="120"/>
      <c r="SB393" s="120"/>
      <c r="SC393" s="120"/>
      <c r="SD393" s="120"/>
      <c r="SE393" s="120"/>
      <c r="SF393" s="120"/>
      <c r="SG393" s="120"/>
      <c r="SH393" s="120"/>
      <c r="SI393" s="120"/>
      <c r="SJ393" s="120"/>
      <c r="SK393" s="120"/>
      <c r="SL393" s="120"/>
      <c r="SM393" s="120"/>
      <c r="SN393" s="120"/>
      <c r="SO393" s="120"/>
      <c r="SP393" s="120"/>
      <c r="SQ393" s="120"/>
      <c r="SR393" s="120"/>
      <c r="SS393" s="120"/>
      <c r="ST393" s="120"/>
      <c r="SU393" s="120"/>
      <c r="SV393" s="120"/>
      <c r="SW393" s="120"/>
      <c r="SX393" s="120"/>
      <c r="SY393" s="120"/>
      <c r="SZ393" s="120"/>
      <c r="TA393" s="120"/>
      <c r="TB393" s="120"/>
      <c r="TC393" s="120"/>
      <c r="TD393" s="120"/>
      <c r="TE393" s="120"/>
    </row>
    <row r="394" spans="1:525" s="121" customFormat="1" ht="31.5" hidden="1" customHeight="1" x14ac:dyDescent="0.25">
      <c r="A394" s="117" t="s">
        <v>644</v>
      </c>
      <c r="B394" s="118" t="str">
        <f>'дод 6'!A207</f>
        <v>7340</v>
      </c>
      <c r="C394" s="118" t="str">
        <f>'дод 6'!B207</f>
        <v>0443</v>
      </c>
      <c r="D394" s="153" t="str">
        <f>'дод 6'!C207</f>
        <v>Проектування, реставрація та охорона пам'яток архітектури</v>
      </c>
      <c r="E394" s="81">
        <f t="shared" si="205"/>
        <v>0</v>
      </c>
      <c r="F394" s="81"/>
      <c r="G394" s="81"/>
      <c r="H394" s="81"/>
      <c r="I394" s="81"/>
      <c r="J394" s="81">
        <f t="shared" si="206"/>
        <v>0</v>
      </c>
      <c r="K394" s="81">
        <f t="shared" si="207"/>
        <v>0</v>
      </c>
      <c r="L394" s="81"/>
      <c r="M394" s="81"/>
      <c r="N394" s="81"/>
      <c r="O394" s="81">
        <f t="shared" si="208"/>
        <v>0</v>
      </c>
      <c r="P394" s="81">
        <f t="shared" si="209"/>
        <v>0</v>
      </c>
      <c r="Q394" s="26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  <c r="IW394" s="120"/>
      <c r="IX394" s="120"/>
      <c r="IY394" s="120"/>
      <c r="IZ394" s="120"/>
      <c r="JA394" s="120"/>
      <c r="JB394" s="120"/>
      <c r="JC394" s="120"/>
      <c r="JD394" s="120"/>
      <c r="JE394" s="120"/>
      <c r="JF394" s="120"/>
      <c r="JG394" s="120"/>
      <c r="JH394" s="120"/>
      <c r="JI394" s="120"/>
      <c r="JJ394" s="120"/>
      <c r="JK394" s="120"/>
      <c r="JL394" s="120"/>
      <c r="JM394" s="120"/>
      <c r="JN394" s="120"/>
      <c r="JO394" s="120"/>
      <c r="JP394" s="120"/>
      <c r="JQ394" s="120"/>
      <c r="JR394" s="120"/>
      <c r="JS394" s="120"/>
      <c r="JT394" s="120"/>
      <c r="JU394" s="120"/>
      <c r="JV394" s="120"/>
      <c r="JW394" s="120"/>
      <c r="JX394" s="120"/>
      <c r="JY394" s="120"/>
      <c r="JZ394" s="120"/>
      <c r="KA394" s="120"/>
      <c r="KB394" s="120"/>
      <c r="KC394" s="120"/>
      <c r="KD394" s="120"/>
      <c r="KE394" s="120"/>
      <c r="KF394" s="120"/>
      <c r="KG394" s="120"/>
      <c r="KH394" s="120"/>
      <c r="KI394" s="120"/>
      <c r="KJ394" s="120"/>
      <c r="KK394" s="120"/>
      <c r="KL394" s="120"/>
      <c r="KM394" s="120"/>
      <c r="KN394" s="120"/>
      <c r="KO394" s="120"/>
      <c r="KP394" s="120"/>
      <c r="KQ394" s="120"/>
      <c r="KR394" s="120"/>
      <c r="KS394" s="120"/>
      <c r="KT394" s="120"/>
      <c r="KU394" s="120"/>
      <c r="KV394" s="120"/>
      <c r="KW394" s="120"/>
      <c r="KX394" s="120"/>
      <c r="KY394" s="120"/>
      <c r="KZ394" s="120"/>
      <c r="LA394" s="120"/>
      <c r="LB394" s="120"/>
      <c r="LC394" s="120"/>
      <c r="LD394" s="120"/>
      <c r="LE394" s="120"/>
      <c r="LF394" s="120"/>
      <c r="LG394" s="120"/>
      <c r="LH394" s="120"/>
      <c r="LI394" s="120"/>
      <c r="LJ394" s="120"/>
      <c r="LK394" s="120"/>
      <c r="LL394" s="120"/>
      <c r="LM394" s="120"/>
      <c r="LN394" s="120"/>
      <c r="LO394" s="120"/>
      <c r="LP394" s="120"/>
      <c r="LQ394" s="120"/>
      <c r="LR394" s="120"/>
      <c r="LS394" s="120"/>
      <c r="LT394" s="120"/>
      <c r="LU394" s="120"/>
      <c r="LV394" s="120"/>
      <c r="LW394" s="120"/>
      <c r="LX394" s="120"/>
      <c r="LY394" s="120"/>
      <c r="LZ394" s="120"/>
      <c r="MA394" s="120"/>
      <c r="MB394" s="120"/>
      <c r="MC394" s="120"/>
      <c r="MD394" s="120"/>
      <c r="ME394" s="120"/>
      <c r="MF394" s="120"/>
      <c r="MG394" s="120"/>
      <c r="MH394" s="120"/>
      <c r="MI394" s="120"/>
      <c r="MJ394" s="120"/>
      <c r="MK394" s="120"/>
      <c r="ML394" s="120"/>
      <c r="MM394" s="120"/>
      <c r="MN394" s="120"/>
      <c r="MO394" s="120"/>
      <c r="MP394" s="120"/>
      <c r="MQ394" s="120"/>
      <c r="MR394" s="120"/>
      <c r="MS394" s="120"/>
      <c r="MT394" s="120"/>
      <c r="MU394" s="120"/>
      <c r="MV394" s="120"/>
      <c r="MW394" s="120"/>
      <c r="MX394" s="120"/>
      <c r="MY394" s="120"/>
      <c r="MZ394" s="120"/>
      <c r="NA394" s="120"/>
      <c r="NB394" s="120"/>
      <c r="NC394" s="120"/>
      <c r="ND394" s="120"/>
      <c r="NE394" s="120"/>
      <c r="NF394" s="120"/>
      <c r="NG394" s="120"/>
      <c r="NH394" s="120"/>
      <c r="NI394" s="120"/>
      <c r="NJ394" s="120"/>
      <c r="NK394" s="120"/>
      <c r="NL394" s="120"/>
      <c r="NM394" s="120"/>
      <c r="NN394" s="120"/>
      <c r="NO394" s="120"/>
      <c r="NP394" s="120"/>
      <c r="NQ394" s="120"/>
      <c r="NR394" s="120"/>
      <c r="NS394" s="120"/>
      <c r="NT394" s="120"/>
      <c r="NU394" s="120"/>
      <c r="NV394" s="120"/>
      <c r="NW394" s="120"/>
      <c r="NX394" s="120"/>
      <c r="NY394" s="120"/>
      <c r="NZ394" s="120"/>
      <c r="OA394" s="120"/>
      <c r="OB394" s="120"/>
      <c r="OC394" s="120"/>
      <c r="OD394" s="120"/>
      <c r="OE394" s="120"/>
      <c r="OF394" s="120"/>
      <c r="OG394" s="120"/>
      <c r="OH394" s="120"/>
      <c r="OI394" s="120"/>
      <c r="OJ394" s="120"/>
      <c r="OK394" s="120"/>
      <c r="OL394" s="120"/>
      <c r="OM394" s="120"/>
      <c r="ON394" s="120"/>
      <c r="OO394" s="120"/>
      <c r="OP394" s="120"/>
      <c r="OQ394" s="120"/>
      <c r="OR394" s="120"/>
      <c r="OS394" s="120"/>
      <c r="OT394" s="120"/>
      <c r="OU394" s="120"/>
      <c r="OV394" s="120"/>
      <c r="OW394" s="120"/>
      <c r="OX394" s="120"/>
      <c r="OY394" s="120"/>
      <c r="OZ394" s="120"/>
      <c r="PA394" s="120"/>
      <c r="PB394" s="120"/>
      <c r="PC394" s="120"/>
      <c r="PD394" s="120"/>
      <c r="PE394" s="120"/>
      <c r="PF394" s="120"/>
      <c r="PG394" s="120"/>
      <c r="PH394" s="120"/>
      <c r="PI394" s="120"/>
      <c r="PJ394" s="120"/>
      <c r="PK394" s="120"/>
      <c r="PL394" s="120"/>
      <c r="PM394" s="120"/>
      <c r="PN394" s="120"/>
      <c r="PO394" s="120"/>
      <c r="PP394" s="120"/>
      <c r="PQ394" s="120"/>
      <c r="PR394" s="120"/>
      <c r="PS394" s="120"/>
      <c r="PT394" s="120"/>
      <c r="PU394" s="120"/>
      <c r="PV394" s="120"/>
      <c r="PW394" s="120"/>
      <c r="PX394" s="120"/>
      <c r="PY394" s="120"/>
      <c r="PZ394" s="120"/>
      <c r="QA394" s="120"/>
      <c r="QB394" s="120"/>
      <c r="QC394" s="120"/>
      <c r="QD394" s="120"/>
      <c r="QE394" s="120"/>
      <c r="QF394" s="120"/>
      <c r="QG394" s="120"/>
      <c r="QH394" s="120"/>
      <c r="QI394" s="120"/>
      <c r="QJ394" s="120"/>
      <c r="QK394" s="120"/>
      <c r="QL394" s="120"/>
      <c r="QM394" s="120"/>
      <c r="QN394" s="120"/>
      <c r="QO394" s="120"/>
      <c r="QP394" s="120"/>
      <c r="QQ394" s="120"/>
      <c r="QR394" s="120"/>
      <c r="QS394" s="120"/>
      <c r="QT394" s="120"/>
      <c r="QU394" s="120"/>
      <c r="QV394" s="120"/>
      <c r="QW394" s="120"/>
      <c r="QX394" s="120"/>
      <c r="QY394" s="120"/>
      <c r="QZ394" s="120"/>
      <c r="RA394" s="120"/>
      <c r="RB394" s="120"/>
      <c r="RC394" s="120"/>
      <c r="RD394" s="120"/>
      <c r="RE394" s="120"/>
      <c r="RF394" s="120"/>
      <c r="RG394" s="120"/>
      <c r="RH394" s="120"/>
      <c r="RI394" s="120"/>
      <c r="RJ394" s="120"/>
      <c r="RK394" s="120"/>
      <c r="RL394" s="120"/>
      <c r="RM394" s="120"/>
      <c r="RN394" s="120"/>
      <c r="RO394" s="120"/>
      <c r="RP394" s="120"/>
      <c r="RQ394" s="120"/>
      <c r="RR394" s="120"/>
      <c r="RS394" s="120"/>
      <c r="RT394" s="120"/>
      <c r="RU394" s="120"/>
      <c r="RV394" s="120"/>
      <c r="RW394" s="120"/>
      <c r="RX394" s="120"/>
      <c r="RY394" s="120"/>
      <c r="RZ394" s="120"/>
      <c r="SA394" s="120"/>
      <c r="SB394" s="120"/>
      <c r="SC394" s="120"/>
      <c r="SD394" s="120"/>
      <c r="SE394" s="120"/>
      <c r="SF394" s="120"/>
      <c r="SG394" s="120"/>
      <c r="SH394" s="120"/>
      <c r="SI394" s="120"/>
      <c r="SJ394" s="120"/>
      <c r="SK394" s="120"/>
      <c r="SL394" s="120"/>
      <c r="SM394" s="120"/>
      <c r="SN394" s="120"/>
      <c r="SO394" s="120"/>
      <c r="SP394" s="120"/>
      <c r="SQ394" s="120"/>
      <c r="SR394" s="120"/>
      <c r="SS394" s="120"/>
      <c r="ST394" s="120"/>
      <c r="SU394" s="120"/>
      <c r="SV394" s="120"/>
      <c r="SW394" s="120"/>
      <c r="SX394" s="120"/>
      <c r="SY394" s="120"/>
      <c r="SZ394" s="120"/>
      <c r="TA394" s="120"/>
      <c r="TB394" s="120"/>
      <c r="TC394" s="120"/>
      <c r="TD394" s="120"/>
      <c r="TE394" s="120"/>
    </row>
    <row r="395" spans="1:525" s="121" customFormat="1" ht="30" hidden="1" customHeight="1" x14ac:dyDescent="0.25">
      <c r="A395" s="117" t="s">
        <v>645</v>
      </c>
      <c r="B395" s="118">
        <f>'дод 6'!A215</f>
        <v>7370</v>
      </c>
      <c r="C395" s="118" t="str">
        <f>'дод 6'!B215</f>
        <v>0490</v>
      </c>
      <c r="D395" s="153" t="str">
        <f>'дод 6'!C215</f>
        <v>Реалізація інших заходів щодо соціально-економічного розвитку територій</v>
      </c>
      <c r="E395" s="81">
        <f t="shared" si="205"/>
        <v>0</v>
      </c>
      <c r="F395" s="81"/>
      <c r="G395" s="81"/>
      <c r="H395" s="81"/>
      <c r="I395" s="81"/>
      <c r="J395" s="81">
        <f t="shared" si="206"/>
        <v>0</v>
      </c>
      <c r="K395" s="81">
        <f t="shared" si="207"/>
        <v>0</v>
      </c>
      <c r="L395" s="81"/>
      <c r="M395" s="81"/>
      <c r="N395" s="81"/>
      <c r="O395" s="81">
        <f t="shared" si="208"/>
        <v>0</v>
      </c>
      <c r="P395" s="81">
        <f t="shared" si="209"/>
        <v>0</v>
      </c>
      <c r="Q395" s="26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  <c r="IW395" s="120"/>
      <c r="IX395" s="120"/>
      <c r="IY395" s="120"/>
      <c r="IZ395" s="120"/>
      <c r="JA395" s="120"/>
      <c r="JB395" s="120"/>
      <c r="JC395" s="120"/>
      <c r="JD395" s="120"/>
      <c r="JE395" s="120"/>
      <c r="JF395" s="120"/>
      <c r="JG395" s="120"/>
      <c r="JH395" s="120"/>
      <c r="JI395" s="120"/>
      <c r="JJ395" s="120"/>
      <c r="JK395" s="120"/>
      <c r="JL395" s="120"/>
      <c r="JM395" s="120"/>
      <c r="JN395" s="120"/>
      <c r="JO395" s="120"/>
      <c r="JP395" s="120"/>
      <c r="JQ395" s="120"/>
      <c r="JR395" s="120"/>
      <c r="JS395" s="120"/>
      <c r="JT395" s="120"/>
      <c r="JU395" s="120"/>
      <c r="JV395" s="120"/>
      <c r="JW395" s="120"/>
      <c r="JX395" s="120"/>
      <c r="JY395" s="120"/>
      <c r="JZ395" s="120"/>
      <c r="KA395" s="120"/>
      <c r="KB395" s="120"/>
      <c r="KC395" s="120"/>
      <c r="KD395" s="120"/>
      <c r="KE395" s="120"/>
      <c r="KF395" s="120"/>
      <c r="KG395" s="120"/>
      <c r="KH395" s="120"/>
      <c r="KI395" s="120"/>
      <c r="KJ395" s="120"/>
      <c r="KK395" s="120"/>
      <c r="KL395" s="120"/>
      <c r="KM395" s="120"/>
      <c r="KN395" s="120"/>
      <c r="KO395" s="120"/>
      <c r="KP395" s="120"/>
      <c r="KQ395" s="120"/>
      <c r="KR395" s="120"/>
      <c r="KS395" s="120"/>
      <c r="KT395" s="120"/>
      <c r="KU395" s="120"/>
      <c r="KV395" s="120"/>
      <c r="KW395" s="120"/>
      <c r="KX395" s="120"/>
      <c r="KY395" s="120"/>
      <c r="KZ395" s="120"/>
      <c r="LA395" s="120"/>
      <c r="LB395" s="120"/>
      <c r="LC395" s="120"/>
      <c r="LD395" s="120"/>
      <c r="LE395" s="120"/>
      <c r="LF395" s="120"/>
      <c r="LG395" s="120"/>
      <c r="LH395" s="120"/>
      <c r="LI395" s="120"/>
      <c r="LJ395" s="120"/>
      <c r="LK395" s="120"/>
      <c r="LL395" s="120"/>
      <c r="LM395" s="120"/>
      <c r="LN395" s="120"/>
      <c r="LO395" s="120"/>
      <c r="LP395" s="120"/>
      <c r="LQ395" s="120"/>
      <c r="LR395" s="120"/>
      <c r="LS395" s="120"/>
      <c r="LT395" s="120"/>
      <c r="LU395" s="120"/>
      <c r="LV395" s="120"/>
      <c r="LW395" s="120"/>
      <c r="LX395" s="120"/>
      <c r="LY395" s="120"/>
      <c r="LZ395" s="120"/>
      <c r="MA395" s="120"/>
      <c r="MB395" s="120"/>
      <c r="MC395" s="120"/>
      <c r="MD395" s="120"/>
      <c r="ME395" s="120"/>
      <c r="MF395" s="120"/>
      <c r="MG395" s="120"/>
      <c r="MH395" s="120"/>
      <c r="MI395" s="120"/>
      <c r="MJ395" s="120"/>
      <c r="MK395" s="120"/>
      <c r="ML395" s="120"/>
      <c r="MM395" s="120"/>
      <c r="MN395" s="120"/>
      <c r="MO395" s="120"/>
      <c r="MP395" s="120"/>
      <c r="MQ395" s="120"/>
      <c r="MR395" s="120"/>
      <c r="MS395" s="120"/>
      <c r="MT395" s="120"/>
      <c r="MU395" s="120"/>
      <c r="MV395" s="120"/>
      <c r="MW395" s="120"/>
      <c r="MX395" s="120"/>
      <c r="MY395" s="120"/>
      <c r="MZ395" s="120"/>
      <c r="NA395" s="120"/>
      <c r="NB395" s="120"/>
      <c r="NC395" s="120"/>
      <c r="ND395" s="120"/>
      <c r="NE395" s="120"/>
      <c r="NF395" s="120"/>
      <c r="NG395" s="120"/>
      <c r="NH395" s="120"/>
      <c r="NI395" s="120"/>
      <c r="NJ395" s="120"/>
      <c r="NK395" s="120"/>
      <c r="NL395" s="120"/>
      <c r="NM395" s="120"/>
      <c r="NN395" s="120"/>
      <c r="NO395" s="120"/>
      <c r="NP395" s="120"/>
      <c r="NQ395" s="120"/>
      <c r="NR395" s="120"/>
      <c r="NS395" s="120"/>
      <c r="NT395" s="120"/>
      <c r="NU395" s="120"/>
      <c r="NV395" s="120"/>
      <c r="NW395" s="120"/>
      <c r="NX395" s="120"/>
      <c r="NY395" s="120"/>
      <c r="NZ395" s="120"/>
      <c r="OA395" s="120"/>
      <c r="OB395" s="120"/>
      <c r="OC395" s="120"/>
      <c r="OD395" s="120"/>
      <c r="OE395" s="120"/>
      <c r="OF395" s="120"/>
      <c r="OG395" s="120"/>
      <c r="OH395" s="120"/>
      <c r="OI395" s="120"/>
      <c r="OJ395" s="120"/>
      <c r="OK395" s="120"/>
      <c r="OL395" s="120"/>
      <c r="OM395" s="120"/>
      <c r="ON395" s="120"/>
      <c r="OO395" s="120"/>
      <c r="OP395" s="120"/>
      <c r="OQ395" s="120"/>
      <c r="OR395" s="120"/>
      <c r="OS395" s="120"/>
      <c r="OT395" s="120"/>
      <c r="OU395" s="120"/>
      <c r="OV395" s="120"/>
      <c r="OW395" s="120"/>
      <c r="OX395" s="120"/>
      <c r="OY395" s="120"/>
      <c r="OZ395" s="120"/>
      <c r="PA395" s="120"/>
      <c r="PB395" s="120"/>
      <c r="PC395" s="120"/>
      <c r="PD395" s="120"/>
      <c r="PE395" s="120"/>
      <c r="PF395" s="120"/>
      <c r="PG395" s="120"/>
      <c r="PH395" s="120"/>
      <c r="PI395" s="120"/>
      <c r="PJ395" s="120"/>
      <c r="PK395" s="120"/>
      <c r="PL395" s="120"/>
      <c r="PM395" s="120"/>
      <c r="PN395" s="120"/>
      <c r="PO395" s="120"/>
      <c r="PP395" s="120"/>
      <c r="PQ395" s="120"/>
      <c r="PR395" s="120"/>
      <c r="PS395" s="120"/>
      <c r="PT395" s="120"/>
      <c r="PU395" s="120"/>
      <c r="PV395" s="120"/>
      <c r="PW395" s="120"/>
      <c r="PX395" s="120"/>
      <c r="PY395" s="120"/>
      <c r="PZ395" s="120"/>
      <c r="QA395" s="120"/>
      <c r="QB395" s="120"/>
      <c r="QC395" s="120"/>
      <c r="QD395" s="120"/>
      <c r="QE395" s="120"/>
      <c r="QF395" s="120"/>
      <c r="QG395" s="120"/>
      <c r="QH395" s="120"/>
      <c r="QI395" s="120"/>
      <c r="QJ395" s="120"/>
      <c r="QK395" s="120"/>
      <c r="QL395" s="120"/>
      <c r="QM395" s="120"/>
      <c r="QN395" s="120"/>
      <c r="QO395" s="120"/>
      <c r="QP395" s="120"/>
      <c r="QQ395" s="120"/>
      <c r="QR395" s="120"/>
      <c r="QS395" s="120"/>
      <c r="QT395" s="120"/>
      <c r="QU395" s="120"/>
      <c r="QV395" s="120"/>
      <c r="QW395" s="120"/>
      <c r="QX395" s="120"/>
      <c r="QY395" s="120"/>
      <c r="QZ395" s="120"/>
      <c r="RA395" s="120"/>
      <c r="RB395" s="120"/>
      <c r="RC395" s="120"/>
      <c r="RD395" s="120"/>
      <c r="RE395" s="120"/>
      <c r="RF395" s="120"/>
      <c r="RG395" s="120"/>
      <c r="RH395" s="120"/>
      <c r="RI395" s="120"/>
      <c r="RJ395" s="120"/>
      <c r="RK395" s="120"/>
      <c r="RL395" s="120"/>
      <c r="RM395" s="120"/>
      <c r="RN395" s="120"/>
      <c r="RO395" s="120"/>
      <c r="RP395" s="120"/>
      <c r="RQ395" s="120"/>
      <c r="RR395" s="120"/>
      <c r="RS395" s="120"/>
      <c r="RT395" s="120"/>
      <c r="RU395" s="120"/>
      <c r="RV395" s="120"/>
      <c r="RW395" s="120"/>
      <c r="RX395" s="120"/>
      <c r="RY395" s="120"/>
      <c r="RZ395" s="120"/>
      <c r="SA395" s="120"/>
      <c r="SB395" s="120"/>
      <c r="SC395" s="120"/>
      <c r="SD395" s="120"/>
      <c r="SE395" s="120"/>
      <c r="SF395" s="120"/>
      <c r="SG395" s="120"/>
      <c r="SH395" s="120"/>
      <c r="SI395" s="120"/>
      <c r="SJ395" s="120"/>
      <c r="SK395" s="120"/>
      <c r="SL395" s="120"/>
      <c r="SM395" s="120"/>
      <c r="SN395" s="120"/>
      <c r="SO395" s="120"/>
      <c r="SP395" s="120"/>
      <c r="SQ395" s="120"/>
      <c r="SR395" s="120"/>
      <c r="SS395" s="120"/>
      <c r="ST395" s="120"/>
      <c r="SU395" s="120"/>
      <c r="SV395" s="120"/>
      <c r="SW395" s="120"/>
      <c r="SX395" s="120"/>
      <c r="SY395" s="120"/>
      <c r="SZ395" s="120"/>
      <c r="TA395" s="120"/>
      <c r="TB395" s="120"/>
      <c r="TC395" s="120"/>
      <c r="TD395" s="120"/>
      <c r="TE395" s="120"/>
    </row>
    <row r="396" spans="1:525" s="121" customFormat="1" ht="33" hidden="1" customHeight="1" x14ac:dyDescent="0.25">
      <c r="A396" s="129" t="s">
        <v>647</v>
      </c>
      <c r="B396" s="118" t="str">
        <f>'дод 6'!A238</f>
        <v>7610</v>
      </c>
      <c r="C396" s="118" t="str">
        <f>'дод 6'!B238</f>
        <v>0411</v>
      </c>
      <c r="D396" s="153" t="str">
        <f>'дод 6'!C238</f>
        <v>Сприяння розвитку малого та середнього підприємництва</v>
      </c>
      <c r="E396" s="81">
        <f t="shared" si="205"/>
        <v>0</v>
      </c>
      <c r="F396" s="81"/>
      <c r="G396" s="81"/>
      <c r="H396" s="81"/>
      <c r="I396" s="81"/>
      <c r="J396" s="81">
        <f t="shared" si="206"/>
        <v>0</v>
      </c>
      <c r="K396" s="81">
        <f t="shared" si="207"/>
        <v>0</v>
      </c>
      <c r="L396" s="81"/>
      <c r="M396" s="81"/>
      <c r="N396" s="81"/>
      <c r="O396" s="81">
        <f t="shared" si="208"/>
        <v>0</v>
      </c>
      <c r="P396" s="81">
        <f t="shared" si="209"/>
        <v>0</v>
      </c>
      <c r="Q396" s="26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  <c r="IW396" s="120"/>
      <c r="IX396" s="120"/>
      <c r="IY396" s="120"/>
      <c r="IZ396" s="120"/>
      <c r="JA396" s="120"/>
      <c r="JB396" s="120"/>
      <c r="JC396" s="120"/>
      <c r="JD396" s="120"/>
      <c r="JE396" s="120"/>
      <c r="JF396" s="120"/>
      <c r="JG396" s="120"/>
      <c r="JH396" s="120"/>
      <c r="JI396" s="120"/>
      <c r="JJ396" s="120"/>
      <c r="JK396" s="120"/>
      <c r="JL396" s="120"/>
      <c r="JM396" s="120"/>
      <c r="JN396" s="120"/>
      <c r="JO396" s="120"/>
      <c r="JP396" s="120"/>
      <c r="JQ396" s="120"/>
      <c r="JR396" s="120"/>
      <c r="JS396" s="120"/>
      <c r="JT396" s="120"/>
      <c r="JU396" s="120"/>
      <c r="JV396" s="120"/>
      <c r="JW396" s="120"/>
      <c r="JX396" s="120"/>
      <c r="JY396" s="120"/>
      <c r="JZ396" s="120"/>
      <c r="KA396" s="120"/>
      <c r="KB396" s="120"/>
      <c r="KC396" s="120"/>
      <c r="KD396" s="120"/>
      <c r="KE396" s="120"/>
      <c r="KF396" s="120"/>
      <c r="KG396" s="120"/>
      <c r="KH396" s="120"/>
      <c r="KI396" s="120"/>
      <c r="KJ396" s="120"/>
      <c r="KK396" s="120"/>
      <c r="KL396" s="120"/>
      <c r="KM396" s="120"/>
      <c r="KN396" s="120"/>
      <c r="KO396" s="120"/>
      <c r="KP396" s="120"/>
      <c r="KQ396" s="120"/>
      <c r="KR396" s="120"/>
      <c r="KS396" s="120"/>
      <c r="KT396" s="120"/>
      <c r="KU396" s="120"/>
      <c r="KV396" s="120"/>
      <c r="KW396" s="120"/>
      <c r="KX396" s="120"/>
      <c r="KY396" s="120"/>
      <c r="KZ396" s="120"/>
      <c r="LA396" s="120"/>
      <c r="LB396" s="120"/>
      <c r="LC396" s="120"/>
      <c r="LD396" s="120"/>
      <c r="LE396" s="120"/>
      <c r="LF396" s="120"/>
      <c r="LG396" s="120"/>
      <c r="LH396" s="120"/>
      <c r="LI396" s="120"/>
      <c r="LJ396" s="120"/>
      <c r="LK396" s="120"/>
      <c r="LL396" s="120"/>
      <c r="LM396" s="120"/>
      <c r="LN396" s="120"/>
      <c r="LO396" s="120"/>
      <c r="LP396" s="120"/>
      <c r="LQ396" s="120"/>
      <c r="LR396" s="120"/>
      <c r="LS396" s="120"/>
      <c r="LT396" s="120"/>
      <c r="LU396" s="120"/>
      <c r="LV396" s="120"/>
      <c r="LW396" s="120"/>
      <c r="LX396" s="120"/>
      <c r="LY396" s="120"/>
      <c r="LZ396" s="120"/>
      <c r="MA396" s="120"/>
      <c r="MB396" s="120"/>
      <c r="MC396" s="120"/>
      <c r="MD396" s="120"/>
      <c r="ME396" s="120"/>
      <c r="MF396" s="120"/>
      <c r="MG396" s="120"/>
      <c r="MH396" s="120"/>
      <c r="MI396" s="120"/>
      <c r="MJ396" s="120"/>
      <c r="MK396" s="120"/>
      <c r="ML396" s="120"/>
      <c r="MM396" s="120"/>
      <c r="MN396" s="120"/>
      <c r="MO396" s="120"/>
      <c r="MP396" s="120"/>
      <c r="MQ396" s="120"/>
      <c r="MR396" s="120"/>
      <c r="MS396" s="120"/>
      <c r="MT396" s="120"/>
      <c r="MU396" s="120"/>
      <c r="MV396" s="120"/>
      <c r="MW396" s="120"/>
      <c r="MX396" s="120"/>
      <c r="MY396" s="120"/>
      <c r="MZ396" s="120"/>
      <c r="NA396" s="120"/>
      <c r="NB396" s="120"/>
      <c r="NC396" s="120"/>
      <c r="ND396" s="120"/>
      <c r="NE396" s="120"/>
      <c r="NF396" s="120"/>
      <c r="NG396" s="120"/>
      <c r="NH396" s="120"/>
      <c r="NI396" s="120"/>
      <c r="NJ396" s="120"/>
      <c r="NK396" s="120"/>
      <c r="NL396" s="120"/>
      <c r="NM396" s="120"/>
      <c r="NN396" s="120"/>
      <c r="NO396" s="120"/>
      <c r="NP396" s="120"/>
      <c r="NQ396" s="120"/>
      <c r="NR396" s="120"/>
      <c r="NS396" s="120"/>
      <c r="NT396" s="120"/>
      <c r="NU396" s="120"/>
      <c r="NV396" s="120"/>
      <c r="NW396" s="120"/>
      <c r="NX396" s="120"/>
      <c r="NY396" s="120"/>
      <c r="NZ396" s="120"/>
      <c r="OA396" s="120"/>
      <c r="OB396" s="120"/>
      <c r="OC396" s="120"/>
      <c r="OD396" s="120"/>
      <c r="OE396" s="120"/>
      <c r="OF396" s="120"/>
      <c r="OG396" s="120"/>
      <c r="OH396" s="120"/>
      <c r="OI396" s="120"/>
      <c r="OJ396" s="120"/>
      <c r="OK396" s="120"/>
      <c r="OL396" s="120"/>
      <c r="OM396" s="120"/>
      <c r="ON396" s="120"/>
      <c r="OO396" s="120"/>
      <c r="OP396" s="120"/>
      <c r="OQ396" s="120"/>
      <c r="OR396" s="120"/>
      <c r="OS396" s="120"/>
      <c r="OT396" s="120"/>
      <c r="OU396" s="120"/>
      <c r="OV396" s="120"/>
      <c r="OW396" s="120"/>
      <c r="OX396" s="120"/>
      <c r="OY396" s="120"/>
      <c r="OZ396" s="120"/>
      <c r="PA396" s="120"/>
      <c r="PB396" s="120"/>
      <c r="PC396" s="120"/>
      <c r="PD396" s="120"/>
      <c r="PE396" s="120"/>
      <c r="PF396" s="120"/>
      <c r="PG396" s="120"/>
      <c r="PH396" s="120"/>
      <c r="PI396" s="120"/>
      <c r="PJ396" s="120"/>
      <c r="PK396" s="120"/>
      <c r="PL396" s="120"/>
      <c r="PM396" s="120"/>
      <c r="PN396" s="120"/>
      <c r="PO396" s="120"/>
      <c r="PP396" s="120"/>
      <c r="PQ396" s="120"/>
      <c r="PR396" s="120"/>
      <c r="PS396" s="120"/>
      <c r="PT396" s="120"/>
      <c r="PU396" s="120"/>
      <c r="PV396" s="120"/>
      <c r="PW396" s="120"/>
      <c r="PX396" s="120"/>
      <c r="PY396" s="120"/>
      <c r="PZ396" s="120"/>
      <c r="QA396" s="120"/>
      <c r="QB396" s="120"/>
      <c r="QC396" s="120"/>
      <c r="QD396" s="120"/>
      <c r="QE396" s="120"/>
      <c r="QF396" s="120"/>
      <c r="QG396" s="120"/>
      <c r="QH396" s="120"/>
      <c r="QI396" s="120"/>
      <c r="QJ396" s="120"/>
      <c r="QK396" s="120"/>
      <c r="QL396" s="120"/>
      <c r="QM396" s="120"/>
      <c r="QN396" s="120"/>
      <c r="QO396" s="120"/>
      <c r="QP396" s="120"/>
      <c r="QQ396" s="120"/>
      <c r="QR396" s="120"/>
      <c r="QS396" s="120"/>
      <c r="QT396" s="120"/>
      <c r="QU396" s="120"/>
      <c r="QV396" s="120"/>
      <c r="QW396" s="120"/>
      <c r="QX396" s="120"/>
      <c r="QY396" s="120"/>
      <c r="QZ396" s="120"/>
      <c r="RA396" s="120"/>
      <c r="RB396" s="120"/>
      <c r="RC396" s="120"/>
      <c r="RD396" s="120"/>
      <c r="RE396" s="120"/>
      <c r="RF396" s="120"/>
      <c r="RG396" s="120"/>
      <c r="RH396" s="120"/>
      <c r="RI396" s="120"/>
      <c r="RJ396" s="120"/>
      <c r="RK396" s="120"/>
      <c r="RL396" s="120"/>
      <c r="RM396" s="120"/>
      <c r="RN396" s="120"/>
      <c r="RO396" s="120"/>
      <c r="RP396" s="120"/>
      <c r="RQ396" s="120"/>
      <c r="RR396" s="120"/>
      <c r="RS396" s="120"/>
      <c r="RT396" s="120"/>
      <c r="RU396" s="120"/>
      <c r="RV396" s="120"/>
      <c r="RW396" s="120"/>
      <c r="RX396" s="120"/>
      <c r="RY396" s="120"/>
      <c r="RZ396" s="120"/>
      <c r="SA396" s="120"/>
      <c r="SB396" s="120"/>
      <c r="SC396" s="120"/>
      <c r="SD396" s="120"/>
      <c r="SE396" s="120"/>
      <c r="SF396" s="120"/>
      <c r="SG396" s="120"/>
      <c r="SH396" s="120"/>
      <c r="SI396" s="120"/>
      <c r="SJ396" s="120"/>
      <c r="SK396" s="120"/>
      <c r="SL396" s="120"/>
      <c r="SM396" s="120"/>
      <c r="SN396" s="120"/>
      <c r="SO396" s="120"/>
      <c r="SP396" s="120"/>
      <c r="SQ396" s="120"/>
      <c r="SR396" s="120"/>
      <c r="SS396" s="120"/>
      <c r="ST396" s="120"/>
      <c r="SU396" s="120"/>
      <c r="SV396" s="120"/>
      <c r="SW396" s="120"/>
      <c r="SX396" s="120"/>
      <c r="SY396" s="120"/>
      <c r="SZ396" s="120"/>
      <c r="TA396" s="120"/>
      <c r="TB396" s="120"/>
      <c r="TC396" s="120"/>
      <c r="TD396" s="120"/>
      <c r="TE396" s="120"/>
    </row>
    <row r="397" spans="1:525" s="121" customFormat="1" ht="37.5" customHeight="1" x14ac:dyDescent="0.25">
      <c r="A397" s="129" t="s">
        <v>648</v>
      </c>
      <c r="B397" s="118" t="str">
        <f>'дод 6'!A241</f>
        <v>7650</v>
      </c>
      <c r="C397" s="118" t="str">
        <f>'дод 6'!B241</f>
        <v>0490</v>
      </c>
      <c r="D397" s="153" t="str">
        <f>'дод 6'!C241</f>
        <v>Проведення експертної грошової оцінки земельної ділянки чи права на неї</v>
      </c>
      <c r="E397" s="81">
        <f t="shared" si="205"/>
        <v>0</v>
      </c>
      <c r="F397" s="81"/>
      <c r="G397" s="81"/>
      <c r="H397" s="81"/>
      <c r="I397" s="81"/>
      <c r="J397" s="81">
        <f t="shared" si="206"/>
        <v>30000</v>
      </c>
      <c r="K397" s="81">
        <v>30000</v>
      </c>
      <c r="L397" s="81"/>
      <c r="M397" s="81"/>
      <c r="N397" s="81"/>
      <c r="O397" s="81">
        <v>30000</v>
      </c>
      <c r="P397" s="81">
        <f t="shared" si="209"/>
        <v>30000</v>
      </c>
      <c r="Q397" s="26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  <c r="IW397" s="120"/>
      <c r="IX397" s="120"/>
      <c r="IY397" s="120"/>
      <c r="IZ397" s="120"/>
      <c r="JA397" s="120"/>
      <c r="JB397" s="120"/>
      <c r="JC397" s="120"/>
      <c r="JD397" s="120"/>
      <c r="JE397" s="120"/>
      <c r="JF397" s="120"/>
      <c r="JG397" s="120"/>
      <c r="JH397" s="120"/>
      <c r="JI397" s="120"/>
      <c r="JJ397" s="120"/>
      <c r="JK397" s="120"/>
      <c r="JL397" s="120"/>
      <c r="JM397" s="120"/>
      <c r="JN397" s="120"/>
      <c r="JO397" s="120"/>
      <c r="JP397" s="120"/>
      <c r="JQ397" s="120"/>
      <c r="JR397" s="120"/>
      <c r="JS397" s="120"/>
      <c r="JT397" s="120"/>
      <c r="JU397" s="120"/>
      <c r="JV397" s="120"/>
      <c r="JW397" s="120"/>
      <c r="JX397" s="120"/>
      <c r="JY397" s="120"/>
      <c r="JZ397" s="120"/>
      <c r="KA397" s="120"/>
      <c r="KB397" s="120"/>
      <c r="KC397" s="120"/>
      <c r="KD397" s="120"/>
      <c r="KE397" s="120"/>
      <c r="KF397" s="120"/>
      <c r="KG397" s="120"/>
      <c r="KH397" s="120"/>
      <c r="KI397" s="120"/>
      <c r="KJ397" s="120"/>
      <c r="KK397" s="120"/>
      <c r="KL397" s="120"/>
      <c r="KM397" s="120"/>
      <c r="KN397" s="120"/>
      <c r="KO397" s="120"/>
      <c r="KP397" s="120"/>
      <c r="KQ397" s="120"/>
      <c r="KR397" s="120"/>
      <c r="KS397" s="120"/>
      <c r="KT397" s="120"/>
      <c r="KU397" s="120"/>
      <c r="KV397" s="120"/>
      <c r="KW397" s="120"/>
      <c r="KX397" s="120"/>
      <c r="KY397" s="120"/>
      <c r="KZ397" s="120"/>
      <c r="LA397" s="120"/>
      <c r="LB397" s="120"/>
      <c r="LC397" s="120"/>
      <c r="LD397" s="120"/>
      <c r="LE397" s="120"/>
      <c r="LF397" s="120"/>
      <c r="LG397" s="120"/>
      <c r="LH397" s="120"/>
      <c r="LI397" s="120"/>
      <c r="LJ397" s="120"/>
      <c r="LK397" s="120"/>
      <c r="LL397" s="120"/>
      <c r="LM397" s="120"/>
      <c r="LN397" s="120"/>
      <c r="LO397" s="120"/>
      <c r="LP397" s="120"/>
      <c r="LQ397" s="120"/>
      <c r="LR397" s="120"/>
      <c r="LS397" s="120"/>
      <c r="LT397" s="120"/>
      <c r="LU397" s="120"/>
      <c r="LV397" s="120"/>
      <c r="LW397" s="120"/>
      <c r="LX397" s="120"/>
      <c r="LY397" s="120"/>
      <c r="LZ397" s="120"/>
      <c r="MA397" s="120"/>
      <c r="MB397" s="120"/>
      <c r="MC397" s="120"/>
      <c r="MD397" s="120"/>
      <c r="ME397" s="120"/>
      <c r="MF397" s="120"/>
      <c r="MG397" s="120"/>
      <c r="MH397" s="120"/>
      <c r="MI397" s="120"/>
      <c r="MJ397" s="120"/>
      <c r="MK397" s="120"/>
      <c r="ML397" s="120"/>
      <c r="MM397" s="120"/>
      <c r="MN397" s="120"/>
      <c r="MO397" s="120"/>
      <c r="MP397" s="120"/>
      <c r="MQ397" s="120"/>
      <c r="MR397" s="120"/>
      <c r="MS397" s="120"/>
      <c r="MT397" s="120"/>
      <c r="MU397" s="120"/>
      <c r="MV397" s="120"/>
      <c r="MW397" s="120"/>
      <c r="MX397" s="120"/>
      <c r="MY397" s="120"/>
      <c r="MZ397" s="120"/>
      <c r="NA397" s="120"/>
      <c r="NB397" s="120"/>
      <c r="NC397" s="120"/>
      <c r="ND397" s="120"/>
      <c r="NE397" s="120"/>
      <c r="NF397" s="120"/>
      <c r="NG397" s="120"/>
      <c r="NH397" s="120"/>
      <c r="NI397" s="120"/>
      <c r="NJ397" s="120"/>
      <c r="NK397" s="120"/>
      <c r="NL397" s="120"/>
      <c r="NM397" s="120"/>
      <c r="NN397" s="120"/>
      <c r="NO397" s="120"/>
      <c r="NP397" s="120"/>
      <c r="NQ397" s="120"/>
      <c r="NR397" s="120"/>
      <c r="NS397" s="120"/>
      <c r="NT397" s="120"/>
      <c r="NU397" s="120"/>
      <c r="NV397" s="120"/>
      <c r="NW397" s="120"/>
      <c r="NX397" s="120"/>
      <c r="NY397" s="120"/>
      <c r="NZ397" s="120"/>
      <c r="OA397" s="120"/>
      <c r="OB397" s="120"/>
      <c r="OC397" s="120"/>
      <c r="OD397" s="120"/>
      <c r="OE397" s="120"/>
      <c r="OF397" s="120"/>
      <c r="OG397" s="120"/>
      <c r="OH397" s="120"/>
      <c r="OI397" s="120"/>
      <c r="OJ397" s="120"/>
      <c r="OK397" s="120"/>
      <c r="OL397" s="120"/>
      <c r="OM397" s="120"/>
      <c r="ON397" s="120"/>
      <c r="OO397" s="120"/>
      <c r="OP397" s="120"/>
      <c r="OQ397" s="120"/>
      <c r="OR397" s="120"/>
      <c r="OS397" s="120"/>
      <c r="OT397" s="120"/>
      <c r="OU397" s="120"/>
      <c r="OV397" s="120"/>
      <c r="OW397" s="120"/>
      <c r="OX397" s="120"/>
      <c r="OY397" s="120"/>
      <c r="OZ397" s="120"/>
      <c r="PA397" s="120"/>
      <c r="PB397" s="120"/>
      <c r="PC397" s="120"/>
      <c r="PD397" s="120"/>
      <c r="PE397" s="120"/>
      <c r="PF397" s="120"/>
      <c r="PG397" s="120"/>
      <c r="PH397" s="120"/>
      <c r="PI397" s="120"/>
      <c r="PJ397" s="120"/>
      <c r="PK397" s="120"/>
      <c r="PL397" s="120"/>
      <c r="PM397" s="120"/>
      <c r="PN397" s="120"/>
      <c r="PO397" s="120"/>
      <c r="PP397" s="120"/>
      <c r="PQ397" s="120"/>
      <c r="PR397" s="120"/>
      <c r="PS397" s="120"/>
      <c r="PT397" s="120"/>
      <c r="PU397" s="120"/>
      <c r="PV397" s="120"/>
      <c r="PW397" s="120"/>
      <c r="PX397" s="120"/>
      <c r="PY397" s="120"/>
      <c r="PZ397" s="120"/>
      <c r="QA397" s="120"/>
      <c r="QB397" s="120"/>
      <c r="QC397" s="120"/>
      <c r="QD397" s="120"/>
      <c r="QE397" s="120"/>
      <c r="QF397" s="120"/>
      <c r="QG397" s="120"/>
      <c r="QH397" s="120"/>
      <c r="QI397" s="120"/>
      <c r="QJ397" s="120"/>
      <c r="QK397" s="120"/>
      <c r="QL397" s="120"/>
      <c r="QM397" s="120"/>
      <c r="QN397" s="120"/>
      <c r="QO397" s="120"/>
      <c r="QP397" s="120"/>
      <c r="QQ397" s="120"/>
      <c r="QR397" s="120"/>
      <c r="QS397" s="120"/>
      <c r="QT397" s="120"/>
      <c r="QU397" s="120"/>
      <c r="QV397" s="120"/>
      <c r="QW397" s="120"/>
      <c r="QX397" s="120"/>
      <c r="QY397" s="120"/>
      <c r="QZ397" s="120"/>
      <c r="RA397" s="120"/>
      <c r="RB397" s="120"/>
      <c r="RC397" s="120"/>
      <c r="RD397" s="120"/>
      <c r="RE397" s="120"/>
      <c r="RF397" s="120"/>
      <c r="RG397" s="120"/>
      <c r="RH397" s="120"/>
      <c r="RI397" s="120"/>
      <c r="RJ397" s="120"/>
      <c r="RK397" s="120"/>
      <c r="RL397" s="120"/>
      <c r="RM397" s="120"/>
      <c r="RN397" s="120"/>
      <c r="RO397" s="120"/>
      <c r="RP397" s="120"/>
      <c r="RQ397" s="120"/>
      <c r="RR397" s="120"/>
      <c r="RS397" s="120"/>
      <c r="RT397" s="120"/>
      <c r="RU397" s="120"/>
      <c r="RV397" s="120"/>
      <c r="RW397" s="120"/>
      <c r="RX397" s="120"/>
      <c r="RY397" s="120"/>
      <c r="RZ397" s="120"/>
      <c r="SA397" s="120"/>
      <c r="SB397" s="120"/>
      <c r="SC397" s="120"/>
      <c r="SD397" s="120"/>
      <c r="SE397" s="120"/>
      <c r="SF397" s="120"/>
      <c r="SG397" s="120"/>
      <c r="SH397" s="120"/>
      <c r="SI397" s="120"/>
      <c r="SJ397" s="120"/>
      <c r="SK397" s="120"/>
      <c r="SL397" s="120"/>
      <c r="SM397" s="120"/>
      <c r="SN397" s="120"/>
      <c r="SO397" s="120"/>
      <c r="SP397" s="120"/>
      <c r="SQ397" s="120"/>
      <c r="SR397" s="120"/>
      <c r="SS397" s="120"/>
      <c r="ST397" s="120"/>
      <c r="SU397" s="120"/>
      <c r="SV397" s="120"/>
      <c r="SW397" s="120"/>
      <c r="SX397" s="120"/>
      <c r="SY397" s="120"/>
      <c r="SZ397" s="120"/>
      <c r="TA397" s="120"/>
      <c r="TB397" s="120"/>
      <c r="TC397" s="120"/>
      <c r="TD397" s="120"/>
      <c r="TE397" s="120"/>
    </row>
    <row r="398" spans="1:525" s="121" customFormat="1" ht="63" x14ac:dyDescent="0.25">
      <c r="A398" s="129" t="s">
        <v>649</v>
      </c>
      <c r="B398" s="118" t="str">
        <f>'дод 6'!A242</f>
        <v>7660</v>
      </c>
      <c r="C398" s="118" t="str">
        <f>'дод 6'!B242</f>
        <v>0490</v>
      </c>
      <c r="D398" s="153" t="str">
        <f>'дод 6'!C242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8" s="81">
        <f t="shared" si="205"/>
        <v>0</v>
      </c>
      <c r="F398" s="81"/>
      <c r="G398" s="81"/>
      <c r="H398" s="81"/>
      <c r="I398" s="81"/>
      <c r="J398" s="81">
        <f t="shared" si="206"/>
        <v>145000</v>
      </c>
      <c r="K398" s="81">
        <v>145000</v>
      </c>
      <c r="L398" s="81"/>
      <c r="M398" s="81"/>
      <c r="N398" s="81"/>
      <c r="O398" s="81">
        <v>145000</v>
      </c>
      <c r="P398" s="81">
        <f t="shared" si="209"/>
        <v>145000</v>
      </c>
      <c r="Q398" s="26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  <c r="IW398" s="120"/>
      <c r="IX398" s="120"/>
      <c r="IY398" s="120"/>
      <c r="IZ398" s="120"/>
      <c r="JA398" s="120"/>
      <c r="JB398" s="120"/>
      <c r="JC398" s="120"/>
      <c r="JD398" s="120"/>
      <c r="JE398" s="120"/>
      <c r="JF398" s="120"/>
      <c r="JG398" s="120"/>
      <c r="JH398" s="120"/>
      <c r="JI398" s="120"/>
      <c r="JJ398" s="120"/>
      <c r="JK398" s="120"/>
      <c r="JL398" s="120"/>
      <c r="JM398" s="120"/>
      <c r="JN398" s="120"/>
      <c r="JO398" s="120"/>
      <c r="JP398" s="120"/>
      <c r="JQ398" s="120"/>
      <c r="JR398" s="120"/>
      <c r="JS398" s="120"/>
      <c r="JT398" s="120"/>
      <c r="JU398" s="120"/>
      <c r="JV398" s="120"/>
      <c r="JW398" s="120"/>
      <c r="JX398" s="120"/>
      <c r="JY398" s="120"/>
      <c r="JZ398" s="120"/>
      <c r="KA398" s="120"/>
      <c r="KB398" s="120"/>
      <c r="KC398" s="120"/>
      <c r="KD398" s="120"/>
      <c r="KE398" s="120"/>
      <c r="KF398" s="120"/>
      <c r="KG398" s="120"/>
      <c r="KH398" s="120"/>
      <c r="KI398" s="120"/>
      <c r="KJ398" s="120"/>
      <c r="KK398" s="120"/>
      <c r="KL398" s="120"/>
      <c r="KM398" s="120"/>
      <c r="KN398" s="120"/>
      <c r="KO398" s="120"/>
      <c r="KP398" s="120"/>
      <c r="KQ398" s="120"/>
      <c r="KR398" s="120"/>
      <c r="KS398" s="120"/>
      <c r="KT398" s="120"/>
      <c r="KU398" s="120"/>
      <c r="KV398" s="120"/>
      <c r="KW398" s="120"/>
      <c r="KX398" s="120"/>
      <c r="KY398" s="120"/>
      <c r="KZ398" s="120"/>
      <c r="LA398" s="120"/>
      <c r="LB398" s="120"/>
      <c r="LC398" s="120"/>
      <c r="LD398" s="120"/>
      <c r="LE398" s="120"/>
      <c r="LF398" s="120"/>
      <c r="LG398" s="120"/>
      <c r="LH398" s="120"/>
      <c r="LI398" s="120"/>
      <c r="LJ398" s="120"/>
      <c r="LK398" s="120"/>
      <c r="LL398" s="120"/>
      <c r="LM398" s="120"/>
      <c r="LN398" s="120"/>
      <c r="LO398" s="120"/>
      <c r="LP398" s="120"/>
      <c r="LQ398" s="120"/>
      <c r="LR398" s="120"/>
      <c r="LS398" s="120"/>
      <c r="LT398" s="120"/>
      <c r="LU398" s="120"/>
      <c r="LV398" s="120"/>
      <c r="LW398" s="120"/>
      <c r="LX398" s="120"/>
      <c r="LY398" s="120"/>
      <c r="LZ398" s="120"/>
      <c r="MA398" s="120"/>
      <c r="MB398" s="120"/>
      <c r="MC398" s="120"/>
      <c r="MD398" s="120"/>
      <c r="ME398" s="120"/>
      <c r="MF398" s="120"/>
      <c r="MG398" s="120"/>
      <c r="MH398" s="120"/>
      <c r="MI398" s="120"/>
      <c r="MJ398" s="120"/>
      <c r="MK398" s="120"/>
      <c r="ML398" s="120"/>
      <c r="MM398" s="120"/>
      <c r="MN398" s="120"/>
      <c r="MO398" s="120"/>
      <c r="MP398" s="120"/>
      <c r="MQ398" s="120"/>
      <c r="MR398" s="120"/>
      <c r="MS398" s="120"/>
      <c r="MT398" s="120"/>
      <c r="MU398" s="120"/>
      <c r="MV398" s="120"/>
      <c r="MW398" s="120"/>
      <c r="MX398" s="120"/>
      <c r="MY398" s="120"/>
      <c r="MZ398" s="120"/>
      <c r="NA398" s="120"/>
      <c r="NB398" s="120"/>
      <c r="NC398" s="120"/>
      <c r="ND398" s="120"/>
      <c r="NE398" s="120"/>
      <c r="NF398" s="120"/>
      <c r="NG398" s="120"/>
      <c r="NH398" s="120"/>
      <c r="NI398" s="120"/>
      <c r="NJ398" s="120"/>
      <c r="NK398" s="120"/>
      <c r="NL398" s="120"/>
      <c r="NM398" s="120"/>
      <c r="NN398" s="120"/>
      <c r="NO398" s="120"/>
      <c r="NP398" s="120"/>
      <c r="NQ398" s="120"/>
      <c r="NR398" s="120"/>
      <c r="NS398" s="120"/>
      <c r="NT398" s="120"/>
      <c r="NU398" s="120"/>
      <c r="NV398" s="120"/>
      <c r="NW398" s="120"/>
      <c r="NX398" s="120"/>
      <c r="NY398" s="120"/>
      <c r="NZ398" s="120"/>
      <c r="OA398" s="120"/>
      <c r="OB398" s="120"/>
      <c r="OC398" s="120"/>
      <c r="OD398" s="120"/>
      <c r="OE398" s="120"/>
      <c r="OF398" s="120"/>
      <c r="OG398" s="120"/>
      <c r="OH398" s="120"/>
      <c r="OI398" s="120"/>
      <c r="OJ398" s="120"/>
      <c r="OK398" s="120"/>
      <c r="OL398" s="120"/>
      <c r="OM398" s="120"/>
      <c r="ON398" s="120"/>
      <c r="OO398" s="120"/>
      <c r="OP398" s="120"/>
      <c r="OQ398" s="120"/>
      <c r="OR398" s="120"/>
      <c r="OS398" s="120"/>
      <c r="OT398" s="120"/>
      <c r="OU398" s="120"/>
      <c r="OV398" s="120"/>
      <c r="OW398" s="120"/>
      <c r="OX398" s="120"/>
      <c r="OY398" s="120"/>
      <c r="OZ398" s="120"/>
      <c r="PA398" s="120"/>
      <c r="PB398" s="120"/>
      <c r="PC398" s="120"/>
      <c r="PD398" s="120"/>
      <c r="PE398" s="120"/>
      <c r="PF398" s="120"/>
      <c r="PG398" s="120"/>
      <c r="PH398" s="120"/>
      <c r="PI398" s="120"/>
      <c r="PJ398" s="120"/>
      <c r="PK398" s="120"/>
      <c r="PL398" s="120"/>
      <c r="PM398" s="120"/>
      <c r="PN398" s="120"/>
      <c r="PO398" s="120"/>
      <c r="PP398" s="120"/>
      <c r="PQ398" s="120"/>
      <c r="PR398" s="120"/>
      <c r="PS398" s="120"/>
      <c r="PT398" s="120"/>
      <c r="PU398" s="120"/>
      <c r="PV398" s="120"/>
      <c r="PW398" s="120"/>
      <c r="PX398" s="120"/>
      <c r="PY398" s="120"/>
      <c r="PZ398" s="120"/>
      <c r="QA398" s="120"/>
      <c r="QB398" s="120"/>
      <c r="QC398" s="120"/>
      <c r="QD398" s="120"/>
      <c r="QE398" s="120"/>
      <c r="QF398" s="120"/>
      <c r="QG398" s="120"/>
      <c r="QH398" s="120"/>
      <c r="QI398" s="120"/>
      <c r="QJ398" s="120"/>
      <c r="QK398" s="120"/>
      <c r="QL398" s="120"/>
      <c r="QM398" s="120"/>
      <c r="QN398" s="120"/>
      <c r="QO398" s="120"/>
      <c r="QP398" s="120"/>
      <c r="QQ398" s="120"/>
      <c r="QR398" s="120"/>
      <c r="QS398" s="120"/>
      <c r="QT398" s="120"/>
      <c r="QU398" s="120"/>
      <c r="QV398" s="120"/>
      <c r="QW398" s="120"/>
      <c r="QX398" s="120"/>
      <c r="QY398" s="120"/>
      <c r="QZ398" s="120"/>
      <c r="RA398" s="120"/>
      <c r="RB398" s="120"/>
      <c r="RC398" s="120"/>
      <c r="RD398" s="120"/>
      <c r="RE398" s="120"/>
      <c r="RF398" s="120"/>
      <c r="RG398" s="120"/>
      <c r="RH398" s="120"/>
      <c r="RI398" s="120"/>
      <c r="RJ398" s="120"/>
      <c r="RK398" s="120"/>
      <c r="RL398" s="120"/>
      <c r="RM398" s="120"/>
      <c r="RN398" s="120"/>
      <c r="RO398" s="120"/>
      <c r="RP398" s="120"/>
      <c r="RQ398" s="120"/>
      <c r="RR398" s="120"/>
      <c r="RS398" s="120"/>
      <c r="RT398" s="120"/>
      <c r="RU398" s="120"/>
      <c r="RV398" s="120"/>
      <c r="RW398" s="120"/>
      <c r="RX398" s="120"/>
      <c r="RY398" s="120"/>
      <c r="RZ398" s="120"/>
      <c r="SA398" s="120"/>
      <c r="SB398" s="120"/>
      <c r="SC398" s="120"/>
      <c r="SD398" s="120"/>
      <c r="SE398" s="120"/>
      <c r="SF398" s="120"/>
      <c r="SG398" s="120"/>
      <c r="SH398" s="120"/>
      <c r="SI398" s="120"/>
      <c r="SJ398" s="120"/>
      <c r="SK398" s="120"/>
      <c r="SL398" s="120"/>
      <c r="SM398" s="120"/>
      <c r="SN398" s="120"/>
      <c r="SO398" s="120"/>
      <c r="SP398" s="120"/>
      <c r="SQ398" s="120"/>
      <c r="SR398" s="120"/>
      <c r="SS398" s="120"/>
      <c r="ST398" s="120"/>
      <c r="SU398" s="120"/>
      <c r="SV398" s="120"/>
      <c r="SW398" s="120"/>
      <c r="SX398" s="120"/>
      <c r="SY398" s="120"/>
      <c r="SZ398" s="120"/>
      <c r="TA398" s="120"/>
      <c r="TB398" s="120"/>
      <c r="TC398" s="120"/>
      <c r="TD398" s="120"/>
      <c r="TE398" s="120"/>
    </row>
    <row r="399" spans="1:525" s="121" customFormat="1" ht="126" x14ac:dyDescent="0.25">
      <c r="A399" s="129" t="s">
        <v>738</v>
      </c>
      <c r="B399" s="118">
        <v>7691</v>
      </c>
      <c r="C399" s="117" t="s">
        <v>81</v>
      </c>
      <c r="D399" s="153" t="s">
        <v>309</v>
      </c>
      <c r="E399" s="81">
        <f t="shared" si="205"/>
        <v>0</v>
      </c>
      <c r="F399" s="81"/>
      <c r="G399" s="81"/>
      <c r="H399" s="81"/>
      <c r="I399" s="81"/>
      <c r="J399" s="81">
        <f t="shared" si="206"/>
        <v>144600</v>
      </c>
      <c r="K399" s="81"/>
      <c r="L399" s="81">
        <v>144600</v>
      </c>
      <c r="M399" s="81"/>
      <c r="N399" s="81"/>
      <c r="O399" s="81"/>
      <c r="P399" s="81">
        <f t="shared" si="209"/>
        <v>144600</v>
      </c>
      <c r="Q399" s="26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  <c r="IW399" s="120"/>
      <c r="IX399" s="120"/>
      <c r="IY399" s="120"/>
      <c r="IZ399" s="120"/>
      <c r="JA399" s="120"/>
      <c r="JB399" s="120"/>
      <c r="JC399" s="120"/>
      <c r="JD399" s="120"/>
      <c r="JE399" s="120"/>
      <c r="JF399" s="120"/>
      <c r="JG399" s="120"/>
      <c r="JH399" s="120"/>
      <c r="JI399" s="120"/>
      <c r="JJ399" s="120"/>
      <c r="JK399" s="120"/>
      <c r="JL399" s="120"/>
      <c r="JM399" s="120"/>
      <c r="JN399" s="120"/>
      <c r="JO399" s="120"/>
      <c r="JP399" s="120"/>
      <c r="JQ399" s="120"/>
      <c r="JR399" s="120"/>
      <c r="JS399" s="120"/>
      <c r="JT399" s="120"/>
      <c r="JU399" s="120"/>
      <c r="JV399" s="120"/>
      <c r="JW399" s="120"/>
      <c r="JX399" s="120"/>
      <c r="JY399" s="120"/>
      <c r="JZ399" s="120"/>
      <c r="KA399" s="120"/>
      <c r="KB399" s="120"/>
      <c r="KC399" s="120"/>
      <c r="KD399" s="120"/>
      <c r="KE399" s="120"/>
      <c r="KF399" s="120"/>
      <c r="KG399" s="120"/>
      <c r="KH399" s="120"/>
      <c r="KI399" s="120"/>
      <c r="KJ399" s="120"/>
      <c r="KK399" s="120"/>
      <c r="KL399" s="120"/>
      <c r="KM399" s="120"/>
      <c r="KN399" s="120"/>
      <c r="KO399" s="120"/>
      <c r="KP399" s="120"/>
      <c r="KQ399" s="120"/>
      <c r="KR399" s="120"/>
      <c r="KS399" s="120"/>
      <c r="KT399" s="120"/>
      <c r="KU399" s="120"/>
      <c r="KV399" s="120"/>
      <c r="KW399" s="120"/>
      <c r="KX399" s="120"/>
      <c r="KY399" s="120"/>
      <c r="KZ399" s="120"/>
      <c r="LA399" s="120"/>
      <c r="LB399" s="120"/>
      <c r="LC399" s="120"/>
      <c r="LD399" s="120"/>
      <c r="LE399" s="120"/>
      <c r="LF399" s="120"/>
      <c r="LG399" s="120"/>
      <c r="LH399" s="120"/>
      <c r="LI399" s="120"/>
      <c r="LJ399" s="120"/>
      <c r="LK399" s="120"/>
      <c r="LL399" s="120"/>
      <c r="LM399" s="120"/>
      <c r="LN399" s="120"/>
      <c r="LO399" s="120"/>
      <c r="LP399" s="120"/>
      <c r="LQ399" s="120"/>
      <c r="LR399" s="120"/>
      <c r="LS399" s="120"/>
      <c r="LT399" s="120"/>
      <c r="LU399" s="120"/>
      <c r="LV399" s="120"/>
      <c r="LW399" s="120"/>
      <c r="LX399" s="120"/>
      <c r="LY399" s="120"/>
      <c r="LZ399" s="120"/>
      <c r="MA399" s="120"/>
      <c r="MB399" s="120"/>
      <c r="MC399" s="120"/>
      <c r="MD399" s="120"/>
      <c r="ME399" s="120"/>
      <c r="MF399" s="120"/>
      <c r="MG399" s="120"/>
      <c r="MH399" s="120"/>
      <c r="MI399" s="120"/>
      <c r="MJ399" s="120"/>
      <c r="MK399" s="120"/>
      <c r="ML399" s="120"/>
      <c r="MM399" s="120"/>
      <c r="MN399" s="120"/>
      <c r="MO399" s="120"/>
      <c r="MP399" s="120"/>
      <c r="MQ399" s="120"/>
      <c r="MR399" s="120"/>
      <c r="MS399" s="120"/>
      <c r="MT399" s="120"/>
      <c r="MU399" s="120"/>
      <c r="MV399" s="120"/>
      <c r="MW399" s="120"/>
      <c r="MX399" s="120"/>
      <c r="MY399" s="120"/>
      <c r="MZ399" s="120"/>
      <c r="NA399" s="120"/>
      <c r="NB399" s="120"/>
      <c r="NC399" s="120"/>
      <c r="ND399" s="120"/>
      <c r="NE399" s="120"/>
      <c r="NF399" s="120"/>
      <c r="NG399" s="120"/>
      <c r="NH399" s="120"/>
      <c r="NI399" s="120"/>
      <c r="NJ399" s="120"/>
      <c r="NK399" s="120"/>
      <c r="NL399" s="120"/>
      <c r="NM399" s="120"/>
      <c r="NN399" s="120"/>
      <c r="NO399" s="120"/>
      <c r="NP399" s="120"/>
      <c r="NQ399" s="120"/>
      <c r="NR399" s="120"/>
      <c r="NS399" s="120"/>
      <c r="NT399" s="120"/>
      <c r="NU399" s="120"/>
      <c r="NV399" s="120"/>
      <c r="NW399" s="120"/>
      <c r="NX399" s="120"/>
      <c r="NY399" s="120"/>
      <c r="NZ399" s="120"/>
      <c r="OA399" s="120"/>
      <c r="OB399" s="120"/>
      <c r="OC399" s="120"/>
      <c r="OD399" s="120"/>
      <c r="OE399" s="120"/>
      <c r="OF399" s="120"/>
      <c r="OG399" s="120"/>
      <c r="OH399" s="120"/>
      <c r="OI399" s="120"/>
      <c r="OJ399" s="120"/>
      <c r="OK399" s="120"/>
      <c r="OL399" s="120"/>
      <c r="OM399" s="120"/>
      <c r="ON399" s="120"/>
      <c r="OO399" s="120"/>
      <c r="OP399" s="120"/>
      <c r="OQ399" s="120"/>
      <c r="OR399" s="120"/>
      <c r="OS399" s="120"/>
      <c r="OT399" s="120"/>
      <c r="OU399" s="120"/>
      <c r="OV399" s="120"/>
      <c r="OW399" s="120"/>
      <c r="OX399" s="120"/>
      <c r="OY399" s="120"/>
      <c r="OZ399" s="120"/>
      <c r="PA399" s="120"/>
      <c r="PB399" s="120"/>
      <c r="PC399" s="120"/>
      <c r="PD399" s="120"/>
      <c r="PE399" s="120"/>
      <c r="PF399" s="120"/>
      <c r="PG399" s="120"/>
      <c r="PH399" s="120"/>
      <c r="PI399" s="120"/>
      <c r="PJ399" s="120"/>
      <c r="PK399" s="120"/>
      <c r="PL399" s="120"/>
      <c r="PM399" s="120"/>
      <c r="PN399" s="120"/>
      <c r="PO399" s="120"/>
      <c r="PP399" s="120"/>
      <c r="PQ399" s="120"/>
      <c r="PR399" s="120"/>
      <c r="PS399" s="120"/>
      <c r="PT399" s="120"/>
      <c r="PU399" s="120"/>
      <c r="PV399" s="120"/>
      <c r="PW399" s="120"/>
      <c r="PX399" s="120"/>
      <c r="PY399" s="120"/>
      <c r="PZ399" s="120"/>
      <c r="QA399" s="120"/>
      <c r="QB399" s="120"/>
      <c r="QC399" s="120"/>
      <c r="QD399" s="120"/>
      <c r="QE399" s="120"/>
      <c r="QF399" s="120"/>
      <c r="QG399" s="120"/>
      <c r="QH399" s="120"/>
      <c r="QI399" s="120"/>
      <c r="QJ399" s="120"/>
      <c r="QK399" s="120"/>
      <c r="QL399" s="120"/>
      <c r="QM399" s="120"/>
      <c r="QN399" s="120"/>
      <c r="QO399" s="120"/>
      <c r="QP399" s="120"/>
      <c r="QQ399" s="120"/>
      <c r="QR399" s="120"/>
      <c r="QS399" s="120"/>
      <c r="QT399" s="120"/>
      <c r="QU399" s="120"/>
      <c r="QV399" s="120"/>
      <c r="QW399" s="120"/>
      <c r="QX399" s="120"/>
      <c r="QY399" s="120"/>
      <c r="QZ399" s="120"/>
      <c r="RA399" s="120"/>
      <c r="RB399" s="120"/>
      <c r="RC399" s="120"/>
      <c r="RD399" s="120"/>
      <c r="RE399" s="120"/>
      <c r="RF399" s="120"/>
      <c r="RG399" s="120"/>
      <c r="RH399" s="120"/>
      <c r="RI399" s="120"/>
      <c r="RJ399" s="120"/>
      <c r="RK399" s="120"/>
      <c r="RL399" s="120"/>
      <c r="RM399" s="120"/>
      <c r="RN399" s="120"/>
      <c r="RO399" s="120"/>
      <c r="RP399" s="120"/>
      <c r="RQ399" s="120"/>
      <c r="RR399" s="120"/>
      <c r="RS399" s="120"/>
      <c r="RT399" s="120"/>
      <c r="RU399" s="120"/>
      <c r="RV399" s="120"/>
      <c r="RW399" s="120"/>
      <c r="RX399" s="120"/>
      <c r="RY399" s="120"/>
      <c r="RZ399" s="120"/>
      <c r="SA399" s="120"/>
      <c r="SB399" s="120"/>
      <c r="SC399" s="120"/>
      <c r="SD399" s="120"/>
      <c r="SE399" s="120"/>
      <c r="SF399" s="120"/>
      <c r="SG399" s="120"/>
      <c r="SH399" s="120"/>
      <c r="SI399" s="120"/>
      <c r="SJ399" s="120"/>
      <c r="SK399" s="120"/>
      <c r="SL399" s="120"/>
      <c r="SM399" s="120"/>
      <c r="SN399" s="120"/>
      <c r="SO399" s="120"/>
      <c r="SP399" s="120"/>
      <c r="SQ399" s="120"/>
      <c r="SR399" s="120"/>
      <c r="SS399" s="120"/>
      <c r="ST399" s="120"/>
      <c r="SU399" s="120"/>
      <c r="SV399" s="120"/>
      <c r="SW399" s="120"/>
      <c r="SX399" s="120"/>
      <c r="SY399" s="120"/>
      <c r="SZ399" s="120"/>
      <c r="TA399" s="120"/>
      <c r="TB399" s="120"/>
      <c r="TC399" s="120"/>
      <c r="TD399" s="120"/>
      <c r="TE399" s="120"/>
    </row>
    <row r="400" spans="1:525" s="121" customFormat="1" ht="27.75" customHeight="1" x14ac:dyDescent="0.25">
      <c r="A400" s="129" t="s">
        <v>650</v>
      </c>
      <c r="B400" s="118" t="str">
        <f>'дод 6'!A247</f>
        <v>7693</v>
      </c>
      <c r="C400" s="118" t="str">
        <f>'дод 6'!B247</f>
        <v>0490</v>
      </c>
      <c r="D400" s="153" t="str">
        <f>'дод 6'!C247</f>
        <v>Інші заходи, пов'язані з економічною діяльністю</v>
      </c>
      <c r="E400" s="81">
        <f t="shared" si="205"/>
        <v>660000</v>
      </c>
      <c r="F400" s="81">
        <v>660000</v>
      </c>
      <c r="G400" s="81"/>
      <c r="H400" s="81"/>
      <c r="I400" s="81"/>
      <c r="J400" s="81">
        <f t="shared" si="206"/>
        <v>0</v>
      </c>
      <c r="K400" s="81">
        <f t="shared" si="207"/>
        <v>0</v>
      </c>
      <c r="L400" s="81"/>
      <c r="M400" s="81"/>
      <c r="N400" s="81"/>
      <c r="O400" s="81">
        <f t="shared" si="208"/>
        <v>0</v>
      </c>
      <c r="P400" s="81">
        <f t="shared" si="209"/>
        <v>660000</v>
      </c>
      <c r="Q400" s="26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  <c r="EA400" s="120"/>
      <c r="EB400" s="120"/>
      <c r="EC400" s="120"/>
      <c r="ED400" s="120"/>
      <c r="EE400" s="120"/>
      <c r="EF400" s="120"/>
      <c r="EG400" s="120"/>
      <c r="EH400" s="120"/>
      <c r="EI400" s="120"/>
      <c r="EJ400" s="120"/>
      <c r="EK400" s="120"/>
      <c r="EL400" s="120"/>
      <c r="EM400" s="120"/>
      <c r="EN400" s="120"/>
      <c r="EO400" s="120"/>
      <c r="EP400" s="120"/>
      <c r="EQ400" s="120"/>
      <c r="ER400" s="120"/>
      <c r="ES400" s="120"/>
      <c r="ET400" s="120"/>
      <c r="EU400" s="120"/>
      <c r="EV400" s="120"/>
      <c r="EW400" s="120"/>
      <c r="EX400" s="120"/>
      <c r="EY400" s="120"/>
      <c r="EZ400" s="120"/>
      <c r="FA400" s="120"/>
      <c r="FB400" s="120"/>
      <c r="FC400" s="120"/>
      <c r="FD400" s="120"/>
      <c r="FE400" s="120"/>
      <c r="FF400" s="120"/>
      <c r="FG400" s="120"/>
      <c r="FH400" s="120"/>
      <c r="FI400" s="120"/>
      <c r="FJ400" s="120"/>
      <c r="FK400" s="120"/>
      <c r="FL400" s="120"/>
      <c r="FM400" s="120"/>
      <c r="FN400" s="120"/>
      <c r="FO400" s="120"/>
      <c r="FP400" s="120"/>
      <c r="FQ400" s="120"/>
      <c r="FR400" s="120"/>
      <c r="FS400" s="120"/>
      <c r="FT400" s="120"/>
      <c r="FU400" s="120"/>
      <c r="FV400" s="120"/>
      <c r="FW400" s="120"/>
      <c r="FX400" s="120"/>
      <c r="FY400" s="120"/>
      <c r="FZ400" s="120"/>
      <c r="GA400" s="120"/>
      <c r="GB400" s="120"/>
      <c r="GC400" s="120"/>
      <c r="GD400" s="120"/>
      <c r="GE400" s="120"/>
      <c r="GF400" s="120"/>
      <c r="GG400" s="120"/>
      <c r="GH400" s="120"/>
      <c r="GI400" s="120"/>
      <c r="GJ400" s="120"/>
      <c r="GK400" s="120"/>
      <c r="GL400" s="120"/>
      <c r="GM400" s="120"/>
      <c r="GN400" s="120"/>
      <c r="GO400" s="120"/>
      <c r="GP400" s="120"/>
      <c r="GQ400" s="120"/>
      <c r="GR400" s="120"/>
      <c r="GS400" s="120"/>
      <c r="GT400" s="120"/>
      <c r="GU400" s="120"/>
      <c r="GV400" s="120"/>
      <c r="GW400" s="120"/>
      <c r="GX400" s="120"/>
      <c r="GY400" s="120"/>
      <c r="GZ400" s="120"/>
      <c r="HA400" s="120"/>
      <c r="HB400" s="120"/>
      <c r="HC400" s="120"/>
      <c r="HD400" s="120"/>
      <c r="HE400" s="120"/>
      <c r="HF400" s="120"/>
      <c r="HG400" s="120"/>
      <c r="HH400" s="120"/>
      <c r="HI400" s="120"/>
      <c r="HJ400" s="120"/>
      <c r="HK400" s="120"/>
      <c r="HL400" s="120"/>
      <c r="HM400" s="120"/>
      <c r="HN400" s="120"/>
      <c r="HO400" s="120"/>
      <c r="HP400" s="120"/>
      <c r="HQ400" s="120"/>
      <c r="HR400" s="120"/>
      <c r="HS400" s="120"/>
      <c r="HT400" s="120"/>
      <c r="HU400" s="120"/>
      <c r="HV400" s="120"/>
      <c r="HW400" s="120"/>
      <c r="HX400" s="120"/>
      <c r="HY400" s="120"/>
      <c r="HZ400" s="120"/>
      <c r="IA400" s="120"/>
      <c r="IB400" s="120"/>
      <c r="IC400" s="120"/>
      <c r="ID400" s="120"/>
      <c r="IE400" s="120"/>
      <c r="IF400" s="120"/>
      <c r="IG400" s="120"/>
      <c r="IH400" s="120"/>
      <c r="II400" s="120"/>
      <c r="IJ400" s="120"/>
      <c r="IK400" s="120"/>
      <c r="IL400" s="120"/>
      <c r="IM400" s="120"/>
      <c r="IN400" s="120"/>
      <c r="IO400" s="120"/>
      <c r="IP400" s="120"/>
      <c r="IQ400" s="120"/>
      <c r="IR400" s="120"/>
      <c r="IS400" s="120"/>
      <c r="IT400" s="120"/>
      <c r="IU400" s="120"/>
      <c r="IV400" s="120"/>
      <c r="IW400" s="120"/>
      <c r="IX400" s="120"/>
      <c r="IY400" s="120"/>
      <c r="IZ400" s="120"/>
      <c r="JA400" s="120"/>
      <c r="JB400" s="120"/>
      <c r="JC400" s="120"/>
      <c r="JD400" s="120"/>
      <c r="JE400" s="120"/>
      <c r="JF400" s="120"/>
      <c r="JG400" s="120"/>
      <c r="JH400" s="120"/>
      <c r="JI400" s="120"/>
      <c r="JJ400" s="120"/>
      <c r="JK400" s="120"/>
      <c r="JL400" s="120"/>
      <c r="JM400" s="120"/>
      <c r="JN400" s="120"/>
      <c r="JO400" s="120"/>
      <c r="JP400" s="120"/>
      <c r="JQ400" s="120"/>
      <c r="JR400" s="120"/>
      <c r="JS400" s="120"/>
      <c r="JT400" s="120"/>
      <c r="JU400" s="120"/>
      <c r="JV400" s="120"/>
      <c r="JW400" s="120"/>
      <c r="JX400" s="120"/>
      <c r="JY400" s="120"/>
      <c r="JZ400" s="120"/>
      <c r="KA400" s="120"/>
      <c r="KB400" s="120"/>
      <c r="KC400" s="120"/>
      <c r="KD400" s="120"/>
      <c r="KE400" s="120"/>
      <c r="KF400" s="120"/>
      <c r="KG400" s="120"/>
      <c r="KH400" s="120"/>
      <c r="KI400" s="120"/>
      <c r="KJ400" s="120"/>
      <c r="KK400" s="120"/>
      <c r="KL400" s="120"/>
      <c r="KM400" s="120"/>
      <c r="KN400" s="120"/>
      <c r="KO400" s="120"/>
      <c r="KP400" s="120"/>
      <c r="KQ400" s="120"/>
      <c r="KR400" s="120"/>
      <c r="KS400" s="120"/>
      <c r="KT400" s="120"/>
      <c r="KU400" s="120"/>
      <c r="KV400" s="120"/>
      <c r="KW400" s="120"/>
      <c r="KX400" s="120"/>
      <c r="KY400" s="120"/>
      <c r="KZ400" s="120"/>
      <c r="LA400" s="120"/>
      <c r="LB400" s="120"/>
      <c r="LC400" s="120"/>
      <c r="LD400" s="120"/>
      <c r="LE400" s="120"/>
      <c r="LF400" s="120"/>
      <c r="LG400" s="120"/>
      <c r="LH400" s="120"/>
      <c r="LI400" s="120"/>
      <c r="LJ400" s="120"/>
      <c r="LK400" s="120"/>
      <c r="LL400" s="120"/>
      <c r="LM400" s="120"/>
      <c r="LN400" s="120"/>
      <c r="LO400" s="120"/>
      <c r="LP400" s="120"/>
      <c r="LQ400" s="120"/>
      <c r="LR400" s="120"/>
      <c r="LS400" s="120"/>
      <c r="LT400" s="120"/>
      <c r="LU400" s="120"/>
      <c r="LV400" s="120"/>
      <c r="LW400" s="120"/>
      <c r="LX400" s="120"/>
      <c r="LY400" s="120"/>
      <c r="LZ400" s="120"/>
      <c r="MA400" s="120"/>
      <c r="MB400" s="120"/>
      <c r="MC400" s="120"/>
      <c r="MD400" s="120"/>
      <c r="ME400" s="120"/>
      <c r="MF400" s="120"/>
      <c r="MG400" s="120"/>
      <c r="MH400" s="120"/>
      <c r="MI400" s="120"/>
      <c r="MJ400" s="120"/>
      <c r="MK400" s="120"/>
      <c r="ML400" s="120"/>
      <c r="MM400" s="120"/>
      <c r="MN400" s="120"/>
      <c r="MO400" s="120"/>
      <c r="MP400" s="120"/>
      <c r="MQ400" s="120"/>
      <c r="MR400" s="120"/>
      <c r="MS400" s="120"/>
      <c r="MT400" s="120"/>
      <c r="MU400" s="120"/>
      <c r="MV400" s="120"/>
      <c r="MW400" s="120"/>
      <c r="MX400" s="120"/>
      <c r="MY400" s="120"/>
      <c r="MZ400" s="120"/>
      <c r="NA400" s="120"/>
      <c r="NB400" s="120"/>
      <c r="NC400" s="120"/>
      <c r="ND400" s="120"/>
      <c r="NE400" s="120"/>
      <c r="NF400" s="120"/>
      <c r="NG400" s="120"/>
      <c r="NH400" s="120"/>
      <c r="NI400" s="120"/>
      <c r="NJ400" s="120"/>
      <c r="NK400" s="120"/>
      <c r="NL400" s="120"/>
      <c r="NM400" s="120"/>
      <c r="NN400" s="120"/>
      <c r="NO400" s="120"/>
      <c r="NP400" s="120"/>
      <c r="NQ400" s="120"/>
      <c r="NR400" s="120"/>
      <c r="NS400" s="120"/>
      <c r="NT400" s="120"/>
      <c r="NU400" s="120"/>
      <c r="NV400" s="120"/>
      <c r="NW400" s="120"/>
      <c r="NX400" s="120"/>
      <c r="NY400" s="120"/>
      <c r="NZ400" s="120"/>
      <c r="OA400" s="120"/>
      <c r="OB400" s="120"/>
      <c r="OC400" s="120"/>
      <c r="OD400" s="120"/>
      <c r="OE400" s="120"/>
      <c r="OF400" s="120"/>
      <c r="OG400" s="120"/>
      <c r="OH400" s="120"/>
      <c r="OI400" s="120"/>
      <c r="OJ400" s="120"/>
      <c r="OK400" s="120"/>
      <c r="OL400" s="120"/>
      <c r="OM400" s="120"/>
      <c r="ON400" s="120"/>
      <c r="OO400" s="120"/>
      <c r="OP400" s="120"/>
      <c r="OQ400" s="120"/>
      <c r="OR400" s="120"/>
      <c r="OS400" s="120"/>
      <c r="OT400" s="120"/>
      <c r="OU400" s="120"/>
      <c r="OV400" s="120"/>
      <c r="OW400" s="120"/>
      <c r="OX400" s="120"/>
      <c r="OY400" s="120"/>
      <c r="OZ400" s="120"/>
      <c r="PA400" s="120"/>
      <c r="PB400" s="120"/>
      <c r="PC400" s="120"/>
      <c r="PD400" s="120"/>
      <c r="PE400" s="120"/>
      <c r="PF400" s="120"/>
      <c r="PG400" s="120"/>
      <c r="PH400" s="120"/>
      <c r="PI400" s="120"/>
      <c r="PJ400" s="120"/>
      <c r="PK400" s="120"/>
      <c r="PL400" s="120"/>
      <c r="PM400" s="120"/>
      <c r="PN400" s="120"/>
      <c r="PO400" s="120"/>
      <c r="PP400" s="120"/>
      <c r="PQ400" s="120"/>
      <c r="PR400" s="120"/>
      <c r="PS400" s="120"/>
      <c r="PT400" s="120"/>
      <c r="PU400" s="120"/>
      <c r="PV400" s="120"/>
      <c r="PW400" s="120"/>
      <c r="PX400" s="120"/>
      <c r="PY400" s="120"/>
      <c r="PZ400" s="120"/>
      <c r="QA400" s="120"/>
      <c r="QB400" s="120"/>
      <c r="QC400" s="120"/>
      <c r="QD400" s="120"/>
      <c r="QE400" s="120"/>
      <c r="QF400" s="120"/>
      <c r="QG400" s="120"/>
      <c r="QH400" s="120"/>
      <c r="QI400" s="120"/>
      <c r="QJ400" s="120"/>
      <c r="QK400" s="120"/>
      <c r="QL400" s="120"/>
      <c r="QM400" s="120"/>
      <c r="QN400" s="120"/>
      <c r="QO400" s="120"/>
      <c r="QP400" s="120"/>
      <c r="QQ400" s="120"/>
      <c r="QR400" s="120"/>
      <c r="QS400" s="120"/>
      <c r="QT400" s="120"/>
      <c r="QU400" s="120"/>
      <c r="QV400" s="120"/>
      <c r="QW400" s="120"/>
      <c r="QX400" s="120"/>
      <c r="QY400" s="120"/>
      <c r="QZ400" s="120"/>
      <c r="RA400" s="120"/>
      <c r="RB400" s="120"/>
      <c r="RC400" s="120"/>
      <c r="RD400" s="120"/>
      <c r="RE400" s="120"/>
      <c r="RF400" s="120"/>
      <c r="RG400" s="120"/>
      <c r="RH400" s="120"/>
      <c r="RI400" s="120"/>
      <c r="RJ400" s="120"/>
      <c r="RK400" s="120"/>
      <c r="RL400" s="120"/>
      <c r="RM400" s="120"/>
      <c r="RN400" s="120"/>
      <c r="RO400" s="120"/>
      <c r="RP400" s="120"/>
      <c r="RQ400" s="120"/>
      <c r="RR400" s="120"/>
      <c r="RS400" s="120"/>
      <c r="RT400" s="120"/>
      <c r="RU400" s="120"/>
      <c r="RV400" s="120"/>
      <c r="RW400" s="120"/>
      <c r="RX400" s="120"/>
      <c r="RY400" s="120"/>
      <c r="RZ400" s="120"/>
      <c r="SA400" s="120"/>
      <c r="SB400" s="120"/>
      <c r="SC400" s="120"/>
      <c r="SD400" s="120"/>
      <c r="SE400" s="120"/>
      <c r="SF400" s="120"/>
      <c r="SG400" s="120"/>
      <c r="SH400" s="120"/>
      <c r="SI400" s="120"/>
      <c r="SJ400" s="120"/>
      <c r="SK400" s="120"/>
      <c r="SL400" s="120"/>
      <c r="SM400" s="120"/>
      <c r="SN400" s="120"/>
      <c r="SO400" s="120"/>
      <c r="SP400" s="120"/>
      <c r="SQ400" s="120"/>
      <c r="SR400" s="120"/>
      <c r="SS400" s="120"/>
      <c r="ST400" s="120"/>
      <c r="SU400" s="120"/>
      <c r="SV400" s="120"/>
      <c r="SW400" s="120"/>
      <c r="SX400" s="120"/>
      <c r="SY400" s="120"/>
      <c r="SZ400" s="120"/>
      <c r="TA400" s="120"/>
      <c r="TB400" s="120"/>
      <c r="TC400" s="120"/>
      <c r="TD400" s="120"/>
      <c r="TE400" s="120"/>
    </row>
    <row r="401" spans="1:525" s="111" customFormat="1" ht="38.25" customHeight="1" x14ac:dyDescent="0.25">
      <c r="A401" s="142" t="s">
        <v>215</v>
      </c>
      <c r="B401" s="148"/>
      <c r="C401" s="148"/>
      <c r="D401" s="138" t="s">
        <v>40</v>
      </c>
      <c r="E401" s="79">
        <f>E402</f>
        <v>169165675.86000001</v>
      </c>
      <c r="F401" s="79">
        <f t="shared" ref="F401:J401" si="210">F402</f>
        <v>149185503</v>
      </c>
      <c r="G401" s="79">
        <f t="shared" si="210"/>
        <v>15060200</v>
      </c>
      <c r="H401" s="79">
        <f t="shared" si="210"/>
        <v>530520</v>
      </c>
      <c r="I401" s="79">
        <f t="shared" si="210"/>
        <v>0</v>
      </c>
      <c r="J401" s="79">
        <f t="shared" si="210"/>
        <v>248000</v>
      </c>
      <c r="K401" s="79">
        <f t="shared" ref="K401" si="211">K402</f>
        <v>0</v>
      </c>
      <c r="L401" s="79">
        <f t="shared" ref="L401" si="212">L402</f>
        <v>198000</v>
      </c>
      <c r="M401" s="79">
        <f t="shared" ref="M401" si="213">M402</f>
        <v>0</v>
      </c>
      <c r="N401" s="79">
        <f t="shared" ref="N401" si="214">N402</f>
        <v>0</v>
      </c>
      <c r="O401" s="79">
        <f t="shared" ref="O401:P401" si="215">O402</f>
        <v>50000</v>
      </c>
      <c r="P401" s="79">
        <f t="shared" si="215"/>
        <v>169413675.86000001</v>
      </c>
      <c r="Q401" s="26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10"/>
      <c r="ES401" s="110"/>
      <c r="ET401" s="110"/>
      <c r="EU401" s="110"/>
      <c r="EV401" s="110"/>
      <c r="EW401" s="110"/>
      <c r="EX401" s="110"/>
      <c r="EY401" s="110"/>
      <c r="EZ401" s="110"/>
      <c r="FA401" s="110"/>
      <c r="FB401" s="110"/>
      <c r="FC401" s="110"/>
      <c r="FD401" s="110"/>
      <c r="FE401" s="110"/>
      <c r="FF401" s="110"/>
      <c r="FG401" s="110"/>
      <c r="FH401" s="110"/>
      <c r="FI401" s="110"/>
      <c r="FJ401" s="110"/>
      <c r="FK401" s="110"/>
      <c r="FL401" s="110"/>
      <c r="FM401" s="110"/>
      <c r="FN401" s="110"/>
      <c r="FO401" s="110"/>
      <c r="FP401" s="110"/>
      <c r="FQ401" s="110"/>
      <c r="FR401" s="110"/>
      <c r="FS401" s="110"/>
      <c r="FT401" s="110"/>
      <c r="FU401" s="110"/>
      <c r="FV401" s="110"/>
      <c r="FW401" s="110"/>
      <c r="FX401" s="110"/>
      <c r="FY401" s="110"/>
      <c r="FZ401" s="110"/>
      <c r="GA401" s="110"/>
      <c r="GB401" s="110"/>
      <c r="GC401" s="110"/>
      <c r="GD401" s="110"/>
      <c r="GE401" s="110"/>
      <c r="GF401" s="110"/>
      <c r="GG401" s="110"/>
      <c r="GH401" s="110"/>
      <c r="GI401" s="110"/>
      <c r="GJ401" s="110"/>
      <c r="GK401" s="110"/>
      <c r="GL401" s="110"/>
      <c r="GM401" s="110"/>
      <c r="GN401" s="110"/>
      <c r="GO401" s="110"/>
      <c r="GP401" s="110"/>
      <c r="GQ401" s="110"/>
      <c r="GR401" s="110"/>
      <c r="GS401" s="110"/>
      <c r="GT401" s="110"/>
      <c r="GU401" s="110"/>
      <c r="GV401" s="110"/>
      <c r="GW401" s="110"/>
      <c r="GX401" s="110"/>
      <c r="GY401" s="110"/>
      <c r="GZ401" s="110"/>
      <c r="HA401" s="110"/>
      <c r="HB401" s="110"/>
      <c r="HC401" s="110"/>
      <c r="HD401" s="110"/>
      <c r="HE401" s="110"/>
      <c r="HF401" s="110"/>
      <c r="HG401" s="110"/>
      <c r="HH401" s="110"/>
      <c r="HI401" s="110"/>
      <c r="HJ401" s="110"/>
      <c r="HK401" s="110"/>
      <c r="HL401" s="110"/>
      <c r="HM401" s="110"/>
      <c r="HN401" s="110"/>
      <c r="HO401" s="110"/>
      <c r="HP401" s="110"/>
      <c r="HQ401" s="110"/>
      <c r="HR401" s="110"/>
      <c r="HS401" s="110"/>
      <c r="HT401" s="110"/>
      <c r="HU401" s="110"/>
      <c r="HV401" s="110"/>
      <c r="HW401" s="110"/>
      <c r="HX401" s="110"/>
      <c r="HY401" s="110"/>
      <c r="HZ401" s="110"/>
      <c r="IA401" s="110"/>
      <c r="IB401" s="110"/>
      <c r="IC401" s="110"/>
      <c r="ID401" s="110"/>
      <c r="IE401" s="110"/>
      <c r="IF401" s="110"/>
      <c r="IG401" s="110"/>
      <c r="IH401" s="110"/>
      <c r="II401" s="110"/>
      <c r="IJ401" s="110"/>
      <c r="IK401" s="110"/>
      <c r="IL401" s="110"/>
      <c r="IM401" s="110"/>
      <c r="IN401" s="110"/>
      <c r="IO401" s="110"/>
      <c r="IP401" s="110"/>
      <c r="IQ401" s="110"/>
      <c r="IR401" s="110"/>
      <c r="IS401" s="110"/>
      <c r="IT401" s="110"/>
      <c r="IU401" s="110"/>
      <c r="IV401" s="110"/>
      <c r="IW401" s="110"/>
      <c r="IX401" s="110"/>
      <c r="IY401" s="110"/>
      <c r="IZ401" s="110"/>
      <c r="JA401" s="110"/>
      <c r="JB401" s="110"/>
      <c r="JC401" s="110"/>
      <c r="JD401" s="110"/>
      <c r="JE401" s="110"/>
      <c r="JF401" s="110"/>
      <c r="JG401" s="110"/>
      <c r="JH401" s="110"/>
      <c r="JI401" s="110"/>
      <c r="JJ401" s="110"/>
      <c r="JK401" s="110"/>
      <c r="JL401" s="110"/>
      <c r="JM401" s="110"/>
      <c r="JN401" s="110"/>
      <c r="JO401" s="110"/>
      <c r="JP401" s="110"/>
      <c r="JQ401" s="110"/>
      <c r="JR401" s="110"/>
      <c r="JS401" s="110"/>
      <c r="JT401" s="110"/>
      <c r="JU401" s="110"/>
      <c r="JV401" s="110"/>
      <c r="JW401" s="110"/>
      <c r="JX401" s="110"/>
      <c r="JY401" s="110"/>
      <c r="JZ401" s="110"/>
      <c r="KA401" s="110"/>
      <c r="KB401" s="110"/>
      <c r="KC401" s="110"/>
      <c r="KD401" s="110"/>
      <c r="KE401" s="110"/>
      <c r="KF401" s="110"/>
      <c r="KG401" s="110"/>
      <c r="KH401" s="110"/>
      <c r="KI401" s="110"/>
      <c r="KJ401" s="110"/>
      <c r="KK401" s="110"/>
      <c r="KL401" s="110"/>
      <c r="KM401" s="110"/>
      <c r="KN401" s="110"/>
      <c r="KO401" s="110"/>
      <c r="KP401" s="110"/>
      <c r="KQ401" s="110"/>
      <c r="KR401" s="110"/>
      <c r="KS401" s="110"/>
      <c r="KT401" s="110"/>
      <c r="KU401" s="110"/>
      <c r="KV401" s="110"/>
      <c r="KW401" s="110"/>
      <c r="KX401" s="110"/>
      <c r="KY401" s="110"/>
      <c r="KZ401" s="110"/>
      <c r="LA401" s="110"/>
      <c r="LB401" s="110"/>
      <c r="LC401" s="110"/>
      <c r="LD401" s="110"/>
      <c r="LE401" s="110"/>
      <c r="LF401" s="110"/>
      <c r="LG401" s="110"/>
      <c r="LH401" s="110"/>
      <c r="LI401" s="110"/>
      <c r="LJ401" s="110"/>
      <c r="LK401" s="110"/>
      <c r="LL401" s="110"/>
      <c r="LM401" s="110"/>
      <c r="LN401" s="110"/>
      <c r="LO401" s="110"/>
      <c r="LP401" s="110"/>
      <c r="LQ401" s="110"/>
      <c r="LR401" s="110"/>
      <c r="LS401" s="110"/>
      <c r="LT401" s="110"/>
      <c r="LU401" s="110"/>
      <c r="LV401" s="110"/>
      <c r="LW401" s="110"/>
      <c r="LX401" s="110"/>
      <c r="LY401" s="110"/>
      <c r="LZ401" s="110"/>
      <c r="MA401" s="110"/>
      <c r="MB401" s="110"/>
      <c r="MC401" s="110"/>
      <c r="MD401" s="110"/>
      <c r="ME401" s="110"/>
      <c r="MF401" s="110"/>
      <c r="MG401" s="110"/>
      <c r="MH401" s="110"/>
      <c r="MI401" s="110"/>
      <c r="MJ401" s="110"/>
      <c r="MK401" s="110"/>
      <c r="ML401" s="110"/>
      <c r="MM401" s="110"/>
      <c r="MN401" s="110"/>
      <c r="MO401" s="110"/>
      <c r="MP401" s="110"/>
      <c r="MQ401" s="110"/>
      <c r="MR401" s="110"/>
      <c r="MS401" s="110"/>
      <c r="MT401" s="110"/>
      <c r="MU401" s="110"/>
      <c r="MV401" s="110"/>
      <c r="MW401" s="110"/>
      <c r="MX401" s="110"/>
      <c r="MY401" s="110"/>
      <c r="MZ401" s="110"/>
      <c r="NA401" s="110"/>
      <c r="NB401" s="110"/>
      <c r="NC401" s="110"/>
      <c r="ND401" s="110"/>
      <c r="NE401" s="110"/>
      <c r="NF401" s="110"/>
      <c r="NG401" s="110"/>
      <c r="NH401" s="110"/>
      <c r="NI401" s="110"/>
      <c r="NJ401" s="110"/>
      <c r="NK401" s="110"/>
      <c r="NL401" s="110"/>
      <c r="NM401" s="110"/>
      <c r="NN401" s="110"/>
      <c r="NO401" s="110"/>
      <c r="NP401" s="110"/>
      <c r="NQ401" s="110"/>
      <c r="NR401" s="110"/>
      <c r="NS401" s="110"/>
      <c r="NT401" s="110"/>
      <c r="NU401" s="110"/>
      <c r="NV401" s="110"/>
      <c r="NW401" s="110"/>
      <c r="NX401" s="110"/>
      <c r="NY401" s="110"/>
      <c r="NZ401" s="110"/>
      <c r="OA401" s="110"/>
      <c r="OB401" s="110"/>
      <c r="OC401" s="110"/>
      <c r="OD401" s="110"/>
      <c r="OE401" s="110"/>
      <c r="OF401" s="110"/>
      <c r="OG401" s="110"/>
      <c r="OH401" s="110"/>
      <c r="OI401" s="110"/>
      <c r="OJ401" s="110"/>
      <c r="OK401" s="110"/>
      <c r="OL401" s="110"/>
      <c r="OM401" s="110"/>
      <c r="ON401" s="110"/>
      <c r="OO401" s="110"/>
      <c r="OP401" s="110"/>
      <c r="OQ401" s="110"/>
      <c r="OR401" s="110"/>
      <c r="OS401" s="110"/>
      <c r="OT401" s="110"/>
      <c r="OU401" s="110"/>
      <c r="OV401" s="110"/>
      <c r="OW401" s="110"/>
      <c r="OX401" s="110"/>
      <c r="OY401" s="110"/>
      <c r="OZ401" s="110"/>
      <c r="PA401" s="110"/>
      <c r="PB401" s="110"/>
      <c r="PC401" s="110"/>
      <c r="PD401" s="110"/>
      <c r="PE401" s="110"/>
      <c r="PF401" s="110"/>
      <c r="PG401" s="110"/>
      <c r="PH401" s="110"/>
      <c r="PI401" s="110"/>
      <c r="PJ401" s="110"/>
      <c r="PK401" s="110"/>
      <c r="PL401" s="110"/>
      <c r="PM401" s="110"/>
      <c r="PN401" s="110"/>
      <c r="PO401" s="110"/>
      <c r="PP401" s="110"/>
      <c r="PQ401" s="110"/>
      <c r="PR401" s="110"/>
      <c r="PS401" s="110"/>
      <c r="PT401" s="110"/>
      <c r="PU401" s="110"/>
      <c r="PV401" s="110"/>
      <c r="PW401" s="110"/>
      <c r="PX401" s="110"/>
      <c r="PY401" s="110"/>
      <c r="PZ401" s="110"/>
      <c r="QA401" s="110"/>
      <c r="QB401" s="110"/>
      <c r="QC401" s="110"/>
      <c r="QD401" s="110"/>
      <c r="QE401" s="110"/>
      <c r="QF401" s="110"/>
      <c r="QG401" s="110"/>
      <c r="QH401" s="110"/>
      <c r="QI401" s="110"/>
      <c r="QJ401" s="110"/>
      <c r="QK401" s="110"/>
      <c r="QL401" s="110"/>
      <c r="QM401" s="110"/>
      <c r="QN401" s="110"/>
      <c r="QO401" s="110"/>
      <c r="QP401" s="110"/>
      <c r="QQ401" s="110"/>
      <c r="QR401" s="110"/>
      <c r="QS401" s="110"/>
      <c r="QT401" s="110"/>
      <c r="QU401" s="110"/>
      <c r="QV401" s="110"/>
      <c r="QW401" s="110"/>
      <c r="QX401" s="110"/>
      <c r="QY401" s="110"/>
      <c r="QZ401" s="110"/>
      <c r="RA401" s="110"/>
      <c r="RB401" s="110"/>
      <c r="RC401" s="110"/>
      <c r="RD401" s="110"/>
      <c r="RE401" s="110"/>
      <c r="RF401" s="110"/>
      <c r="RG401" s="110"/>
      <c r="RH401" s="110"/>
      <c r="RI401" s="110"/>
      <c r="RJ401" s="110"/>
      <c r="RK401" s="110"/>
      <c r="RL401" s="110"/>
      <c r="RM401" s="110"/>
      <c r="RN401" s="110"/>
      <c r="RO401" s="110"/>
      <c r="RP401" s="110"/>
      <c r="RQ401" s="110"/>
      <c r="RR401" s="110"/>
      <c r="RS401" s="110"/>
      <c r="RT401" s="110"/>
      <c r="RU401" s="110"/>
      <c r="RV401" s="110"/>
      <c r="RW401" s="110"/>
      <c r="RX401" s="110"/>
      <c r="RY401" s="110"/>
      <c r="RZ401" s="110"/>
      <c r="SA401" s="110"/>
      <c r="SB401" s="110"/>
      <c r="SC401" s="110"/>
      <c r="SD401" s="110"/>
      <c r="SE401" s="110"/>
      <c r="SF401" s="110"/>
      <c r="SG401" s="110"/>
      <c r="SH401" s="110"/>
      <c r="SI401" s="110"/>
      <c r="SJ401" s="110"/>
      <c r="SK401" s="110"/>
      <c r="SL401" s="110"/>
      <c r="SM401" s="110"/>
      <c r="SN401" s="110"/>
      <c r="SO401" s="110"/>
      <c r="SP401" s="110"/>
      <c r="SQ401" s="110"/>
      <c r="SR401" s="110"/>
      <c r="SS401" s="110"/>
      <c r="ST401" s="110"/>
      <c r="SU401" s="110"/>
      <c r="SV401" s="110"/>
      <c r="SW401" s="110"/>
      <c r="SX401" s="110"/>
      <c r="SY401" s="110"/>
      <c r="SZ401" s="110"/>
      <c r="TA401" s="110"/>
      <c r="TB401" s="110"/>
      <c r="TC401" s="110"/>
      <c r="TD401" s="110"/>
      <c r="TE401" s="110"/>
    </row>
    <row r="402" spans="1:525" s="116" customFormat="1" ht="34.5" customHeight="1" x14ac:dyDescent="0.25">
      <c r="A402" s="112" t="s">
        <v>216</v>
      </c>
      <c r="B402" s="141"/>
      <c r="C402" s="141"/>
      <c r="D402" s="114" t="s">
        <v>40</v>
      </c>
      <c r="E402" s="80">
        <f>SUM(E403+E404+E405+E408+E409+E410+E411+E407+E406)</f>
        <v>169165675.86000001</v>
      </c>
      <c r="F402" s="80">
        <f t="shared" ref="F402:P402" si="216">SUM(F403+F404+F405+F408+F409+F410+F411+F407+F406)</f>
        <v>149185503</v>
      </c>
      <c r="G402" s="80">
        <f t="shared" si="216"/>
        <v>15060200</v>
      </c>
      <c r="H402" s="80">
        <f t="shared" si="216"/>
        <v>530520</v>
      </c>
      <c r="I402" s="80">
        <f t="shared" si="216"/>
        <v>0</v>
      </c>
      <c r="J402" s="80">
        <f t="shared" si="216"/>
        <v>248000</v>
      </c>
      <c r="K402" s="80">
        <f t="shared" si="216"/>
        <v>0</v>
      </c>
      <c r="L402" s="80">
        <f t="shared" si="216"/>
        <v>198000</v>
      </c>
      <c r="M402" s="80">
        <f t="shared" si="216"/>
        <v>0</v>
      </c>
      <c r="N402" s="80">
        <f t="shared" si="216"/>
        <v>0</v>
      </c>
      <c r="O402" s="80">
        <f t="shared" si="216"/>
        <v>50000</v>
      </c>
      <c r="P402" s="80">
        <f t="shared" si="216"/>
        <v>169413675.86000001</v>
      </c>
      <c r="Q402" s="260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  <c r="HE402" s="115"/>
      <c r="HF402" s="115"/>
      <c r="HG402" s="115"/>
      <c r="HH402" s="115"/>
      <c r="HI402" s="115"/>
      <c r="HJ402" s="115"/>
      <c r="HK402" s="115"/>
      <c r="HL402" s="115"/>
      <c r="HM402" s="115"/>
      <c r="HN402" s="115"/>
      <c r="HO402" s="115"/>
      <c r="HP402" s="115"/>
      <c r="HQ402" s="115"/>
      <c r="HR402" s="115"/>
      <c r="HS402" s="115"/>
      <c r="HT402" s="115"/>
      <c r="HU402" s="115"/>
      <c r="HV402" s="115"/>
      <c r="HW402" s="115"/>
      <c r="HX402" s="115"/>
      <c r="HY402" s="115"/>
      <c r="HZ402" s="115"/>
      <c r="IA402" s="115"/>
      <c r="IB402" s="115"/>
      <c r="IC402" s="115"/>
      <c r="ID402" s="115"/>
      <c r="IE402" s="115"/>
      <c r="IF402" s="115"/>
      <c r="IG402" s="115"/>
      <c r="IH402" s="115"/>
      <c r="II402" s="115"/>
      <c r="IJ402" s="115"/>
      <c r="IK402" s="115"/>
      <c r="IL402" s="115"/>
      <c r="IM402" s="115"/>
      <c r="IN402" s="115"/>
      <c r="IO402" s="115"/>
      <c r="IP402" s="115"/>
      <c r="IQ402" s="115"/>
      <c r="IR402" s="115"/>
      <c r="IS402" s="115"/>
      <c r="IT402" s="115"/>
      <c r="IU402" s="115"/>
      <c r="IV402" s="115"/>
      <c r="IW402" s="115"/>
      <c r="IX402" s="115"/>
      <c r="IY402" s="115"/>
      <c r="IZ402" s="115"/>
      <c r="JA402" s="115"/>
      <c r="JB402" s="115"/>
      <c r="JC402" s="115"/>
      <c r="JD402" s="115"/>
      <c r="JE402" s="115"/>
      <c r="JF402" s="115"/>
      <c r="JG402" s="115"/>
      <c r="JH402" s="115"/>
      <c r="JI402" s="115"/>
      <c r="JJ402" s="115"/>
      <c r="JK402" s="115"/>
      <c r="JL402" s="115"/>
      <c r="JM402" s="115"/>
      <c r="JN402" s="115"/>
      <c r="JO402" s="115"/>
      <c r="JP402" s="115"/>
      <c r="JQ402" s="115"/>
      <c r="JR402" s="115"/>
      <c r="JS402" s="115"/>
      <c r="JT402" s="115"/>
      <c r="JU402" s="115"/>
      <c r="JV402" s="115"/>
      <c r="JW402" s="115"/>
      <c r="JX402" s="115"/>
      <c r="JY402" s="115"/>
      <c r="JZ402" s="115"/>
      <c r="KA402" s="115"/>
      <c r="KB402" s="115"/>
      <c r="KC402" s="115"/>
      <c r="KD402" s="115"/>
      <c r="KE402" s="115"/>
      <c r="KF402" s="115"/>
      <c r="KG402" s="115"/>
      <c r="KH402" s="115"/>
      <c r="KI402" s="115"/>
      <c r="KJ402" s="115"/>
      <c r="KK402" s="115"/>
      <c r="KL402" s="115"/>
      <c r="KM402" s="115"/>
      <c r="KN402" s="115"/>
      <c r="KO402" s="115"/>
      <c r="KP402" s="115"/>
      <c r="KQ402" s="115"/>
      <c r="KR402" s="115"/>
      <c r="KS402" s="115"/>
      <c r="KT402" s="115"/>
      <c r="KU402" s="115"/>
      <c r="KV402" s="115"/>
      <c r="KW402" s="115"/>
      <c r="KX402" s="115"/>
      <c r="KY402" s="115"/>
      <c r="KZ402" s="115"/>
      <c r="LA402" s="115"/>
      <c r="LB402" s="115"/>
      <c r="LC402" s="115"/>
      <c r="LD402" s="115"/>
      <c r="LE402" s="115"/>
      <c r="LF402" s="115"/>
      <c r="LG402" s="115"/>
      <c r="LH402" s="115"/>
      <c r="LI402" s="115"/>
      <c r="LJ402" s="115"/>
      <c r="LK402" s="115"/>
      <c r="LL402" s="115"/>
      <c r="LM402" s="115"/>
      <c r="LN402" s="115"/>
      <c r="LO402" s="115"/>
      <c r="LP402" s="115"/>
      <c r="LQ402" s="115"/>
      <c r="LR402" s="115"/>
      <c r="LS402" s="115"/>
      <c r="LT402" s="115"/>
      <c r="LU402" s="115"/>
      <c r="LV402" s="115"/>
      <c r="LW402" s="115"/>
      <c r="LX402" s="115"/>
      <c r="LY402" s="115"/>
      <c r="LZ402" s="115"/>
      <c r="MA402" s="115"/>
      <c r="MB402" s="115"/>
      <c r="MC402" s="115"/>
      <c r="MD402" s="115"/>
      <c r="ME402" s="115"/>
      <c r="MF402" s="115"/>
      <c r="MG402" s="115"/>
      <c r="MH402" s="115"/>
      <c r="MI402" s="115"/>
      <c r="MJ402" s="115"/>
      <c r="MK402" s="115"/>
      <c r="ML402" s="115"/>
      <c r="MM402" s="115"/>
      <c r="MN402" s="115"/>
      <c r="MO402" s="115"/>
      <c r="MP402" s="115"/>
      <c r="MQ402" s="115"/>
      <c r="MR402" s="115"/>
      <c r="MS402" s="115"/>
      <c r="MT402" s="115"/>
      <c r="MU402" s="115"/>
      <c r="MV402" s="115"/>
      <c r="MW402" s="115"/>
      <c r="MX402" s="115"/>
      <c r="MY402" s="115"/>
      <c r="MZ402" s="115"/>
      <c r="NA402" s="115"/>
      <c r="NB402" s="115"/>
      <c r="NC402" s="115"/>
      <c r="ND402" s="115"/>
      <c r="NE402" s="115"/>
      <c r="NF402" s="115"/>
      <c r="NG402" s="115"/>
      <c r="NH402" s="115"/>
      <c r="NI402" s="115"/>
      <c r="NJ402" s="115"/>
      <c r="NK402" s="115"/>
      <c r="NL402" s="115"/>
      <c r="NM402" s="115"/>
      <c r="NN402" s="115"/>
      <c r="NO402" s="115"/>
      <c r="NP402" s="115"/>
      <c r="NQ402" s="115"/>
      <c r="NR402" s="115"/>
      <c r="NS402" s="115"/>
      <c r="NT402" s="115"/>
      <c r="NU402" s="115"/>
      <c r="NV402" s="115"/>
      <c r="NW402" s="115"/>
      <c r="NX402" s="115"/>
      <c r="NY402" s="115"/>
      <c r="NZ402" s="115"/>
      <c r="OA402" s="115"/>
      <c r="OB402" s="115"/>
      <c r="OC402" s="115"/>
      <c r="OD402" s="115"/>
      <c r="OE402" s="115"/>
      <c r="OF402" s="115"/>
      <c r="OG402" s="115"/>
      <c r="OH402" s="115"/>
      <c r="OI402" s="115"/>
      <c r="OJ402" s="115"/>
      <c r="OK402" s="115"/>
      <c r="OL402" s="115"/>
      <c r="OM402" s="115"/>
      <c r="ON402" s="115"/>
      <c r="OO402" s="115"/>
      <c r="OP402" s="115"/>
      <c r="OQ402" s="115"/>
      <c r="OR402" s="115"/>
      <c r="OS402" s="115"/>
      <c r="OT402" s="115"/>
      <c r="OU402" s="115"/>
      <c r="OV402" s="115"/>
      <c r="OW402" s="115"/>
      <c r="OX402" s="115"/>
      <c r="OY402" s="115"/>
      <c r="OZ402" s="115"/>
      <c r="PA402" s="115"/>
      <c r="PB402" s="115"/>
      <c r="PC402" s="115"/>
      <c r="PD402" s="115"/>
      <c r="PE402" s="115"/>
      <c r="PF402" s="115"/>
      <c r="PG402" s="115"/>
      <c r="PH402" s="115"/>
      <c r="PI402" s="115"/>
      <c r="PJ402" s="115"/>
      <c r="PK402" s="115"/>
      <c r="PL402" s="115"/>
      <c r="PM402" s="115"/>
      <c r="PN402" s="115"/>
      <c r="PO402" s="115"/>
      <c r="PP402" s="115"/>
      <c r="PQ402" s="115"/>
      <c r="PR402" s="115"/>
      <c r="PS402" s="115"/>
      <c r="PT402" s="115"/>
      <c r="PU402" s="115"/>
      <c r="PV402" s="115"/>
      <c r="PW402" s="115"/>
      <c r="PX402" s="115"/>
      <c r="PY402" s="115"/>
      <c r="PZ402" s="115"/>
      <c r="QA402" s="115"/>
      <c r="QB402" s="115"/>
      <c r="QC402" s="115"/>
      <c r="QD402" s="115"/>
      <c r="QE402" s="115"/>
      <c r="QF402" s="115"/>
      <c r="QG402" s="115"/>
      <c r="QH402" s="115"/>
      <c r="QI402" s="115"/>
      <c r="QJ402" s="115"/>
      <c r="QK402" s="115"/>
      <c r="QL402" s="115"/>
      <c r="QM402" s="115"/>
      <c r="QN402" s="115"/>
      <c r="QO402" s="115"/>
      <c r="QP402" s="115"/>
      <c r="QQ402" s="115"/>
      <c r="QR402" s="115"/>
      <c r="QS402" s="115"/>
      <c r="QT402" s="115"/>
      <c r="QU402" s="115"/>
      <c r="QV402" s="115"/>
      <c r="QW402" s="115"/>
      <c r="QX402" s="115"/>
      <c r="QY402" s="115"/>
      <c r="QZ402" s="115"/>
      <c r="RA402" s="115"/>
      <c r="RB402" s="115"/>
      <c r="RC402" s="115"/>
      <c r="RD402" s="115"/>
      <c r="RE402" s="115"/>
      <c r="RF402" s="115"/>
      <c r="RG402" s="115"/>
      <c r="RH402" s="115"/>
      <c r="RI402" s="115"/>
      <c r="RJ402" s="115"/>
      <c r="RK402" s="115"/>
      <c r="RL402" s="115"/>
      <c r="RM402" s="115"/>
      <c r="RN402" s="115"/>
      <c r="RO402" s="115"/>
      <c r="RP402" s="115"/>
      <c r="RQ402" s="115"/>
      <c r="RR402" s="115"/>
      <c r="RS402" s="115"/>
      <c r="RT402" s="115"/>
      <c r="RU402" s="115"/>
      <c r="RV402" s="115"/>
      <c r="RW402" s="115"/>
      <c r="RX402" s="115"/>
      <c r="RY402" s="115"/>
      <c r="RZ402" s="115"/>
      <c r="SA402" s="115"/>
      <c r="SB402" s="115"/>
      <c r="SC402" s="115"/>
      <c r="SD402" s="115"/>
      <c r="SE402" s="115"/>
      <c r="SF402" s="115"/>
      <c r="SG402" s="115"/>
      <c r="SH402" s="115"/>
      <c r="SI402" s="115"/>
      <c r="SJ402" s="115"/>
      <c r="SK402" s="115"/>
      <c r="SL402" s="115"/>
      <c r="SM402" s="115"/>
      <c r="SN402" s="115"/>
      <c r="SO402" s="115"/>
      <c r="SP402" s="115"/>
      <c r="SQ402" s="115"/>
      <c r="SR402" s="115"/>
      <c r="SS402" s="115"/>
      <c r="ST402" s="115"/>
      <c r="SU402" s="115"/>
      <c r="SV402" s="115"/>
      <c r="SW402" s="115"/>
      <c r="SX402" s="115"/>
      <c r="SY402" s="115"/>
      <c r="SZ402" s="115"/>
      <c r="TA402" s="115"/>
      <c r="TB402" s="115"/>
      <c r="TC402" s="115"/>
      <c r="TD402" s="115"/>
      <c r="TE402" s="115"/>
    </row>
    <row r="403" spans="1:525" s="121" customFormat="1" ht="45.75" customHeight="1" x14ac:dyDescent="0.25">
      <c r="A403" s="117" t="s">
        <v>217</v>
      </c>
      <c r="B403" s="118" t="str">
        <f>'дод 6'!A16</f>
        <v>0160</v>
      </c>
      <c r="C403" s="118" t="str">
        <f>'дод 6'!B16</f>
        <v>0111</v>
      </c>
      <c r="D403" s="119" t="str">
        <f>'дод 6'!C16</f>
        <v>Керівництво і управління у відповідній сфері у містах (місті Києві), селищах, селах, територіальних громадах</v>
      </c>
      <c r="E403" s="81">
        <f t="shared" ref="E403:E409" si="217">F403+I403</f>
        <v>19835694</v>
      </c>
      <c r="F403" s="81">
        <f>20906300+47674-1094800-83480+60000</f>
        <v>19835694</v>
      </c>
      <c r="G403" s="81">
        <f>15957600-897400</f>
        <v>15060200</v>
      </c>
      <c r="H403" s="81">
        <f>614000-83480</f>
        <v>530520</v>
      </c>
      <c r="I403" s="81"/>
      <c r="J403" s="81">
        <f>L403+O403</f>
        <v>0</v>
      </c>
      <c r="K403" s="81"/>
      <c r="L403" s="81"/>
      <c r="M403" s="81"/>
      <c r="N403" s="81"/>
      <c r="O403" s="81"/>
      <c r="P403" s="81">
        <f t="shared" ref="P403:P410" si="218">E403+J403</f>
        <v>19835694</v>
      </c>
      <c r="Q403" s="26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  <c r="IW403" s="120"/>
      <c r="IX403" s="120"/>
      <c r="IY403" s="120"/>
      <c r="IZ403" s="120"/>
      <c r="JA403" s="120"/>
      <c r="JB403" s="120"/>
      <c r="JC403" s="120"/>
      <c r="JD403" s="120"/>
      <c r="JE403" s="120"/>
      <c r="JF403" s="120"/>
      <c r="JG403" s="120"/>
      <c r="JH403" s="120"/>
      <c r="JI403" s="120"/>
      <c r="JJ403" s="120"/>
      <c r="JK403" s="120"/>
      <c r="JL403" s="120"/>
      <c r="JM403" s="120"/>
      <c r="JN403" s="120"/>
      <c r="JO403" s="120"/>
      <c r="JP403" s="120"/>
      <c r="JQ403" s="120"/>
      <c r="JR403" s="120"/>
      <c r="JS403" s="120"/>
      <c r="JT403" s="120"/>
      <c r="JU403" s="120"/>
      <c r="JV403" s="120"/>
      <c r="JW403" s="120"/>
      <c r="JX403" s="120"/>
      <c r="JY403" s="120"/>
      <c r="JZ403" s="120"/>
      <c r="KA403" s="120"/>
      <c r="KB403" s="120"/>
      <c r="KC403" s="120"/>
      <c r="KD403" s="120"/>
      <c r="KE403" s="120"/>
      <c r="KF403" s="120"/>
      <c r="KG403" s="120"/>
      <c r="KH403" s="120"/>
      <c r="KI403" s="120"/>
      <c r="KJ403" s="120"/>
      <c r="KK403" s="120"/>
      <c r="KL403" s="120"/>
      <c r="KM403" s="120"/>
      <c r="KN403" s="120"/>
      <c r="KO403" s="120"/>
      <c r="KP403" s="120"/>
      <c r="KQ403" s="120"/>
      <c r="KR403" s="120"/>
      <c r="KS403" s="120"/>
      <c r="KT403" s="120"/>
      <c r="KU403" s="120"/>
      <c r="KV403" s="120"/>
      <c r="KW403" s="120"/>
      <c r="KX403" s="120"/>
      <c r="KY403" s="120"/>
      <c r="KZ403" s="120"/>
      <c r="LA403" s="120"/>
      <c r="LB403" s="120"/>
      <c r="LC403" s="120"/>
      <c r="LD403" s="120"/>
      <c r="LE403" s="120"/>
      <c r="LF403" s="120"/>
      <c r="LG403" s="120"/>
      <c r="LH403" s="120"/>
      <c r="LI403" s="120"/>
      <c r="LJ403" s="120"/>
      <c r="LK403" s="120"/>
      <c r="LL403" s="120"/>
      <c r="LM403" s="120"/>
      <c r="LN403" s="120"/>
      <c r="LO403" s="120"/>
      <c r="LP403" s="120"/>
      <c r="LQ403" s="120"/>
      <c r="LR403" s="120"/>
      <c r="LS403" s="120"/>
      <c r="LT403" s="120"/>
      <c r="LU403" s="120"/>
      <c r="LV403" s="120"/>
      <c r="LW403" s="120"/>
      <c r="LX403" s="120"/>
      <c r="LY403" s="120"/>
      <c r="LZ403" s="120"/>
      <c r="MA403" s="120"/>
      <c r="MB403" s="120"/>
      <c r="MC403" s="120"/>
      <c r="MD403" s="120"/>
      <c r="ME403" s="120"/>
      <c r="MF403" s="120"/>
      <c r="MG403" s="120"/>
      <c r="MH403" s="120"/>
      <c r="MI403" s="120"/>
      <c r="MJ403" s="120"/>
      <c r="MK403" s="120"/>
      <c r="ML403" s="120"/>
      <c r="MM403" s="120"/>
      <c r="MN403" s="120"/>
      <c r="MO403" s="120"/>
      <c r="MP403" s="120"/>
      <c r="MQ403" s="120"/>
      <c r="MR403" s="120"/>
      <c r="MS403" s="120"/>
      <c r="MT403" s="120"/>
      <c r="MU403" s="120"/>
      <c r="MV403" s="120"/>
      <c r="MW403" s="120"/>
      <c r="MX403" s="120"/>
      <c r="MY403" s="120"/>
      <c r="MZ403" s="120"/>
      <c r="NA403" s="120"/>
      <c r="NB403" s="120"/>
      <c r="NC403" s="120"/>
      <c r="ND403" s="120"/>
      <c r="NE403" s="120"/>
      <c r="NF403" s="120"/>
      <c r="NG403" s="120"/>
      <c r="NH403" s="120"/>
      <c r="NI403" s="120"/>
      <c r="NJ403" s="120"/>
      <c r="NK403" s="120"/>
      <c r="NL403" s="120"/>
      <c r="NM403" s="120"/>
      <c r="NN403" s="120"/>
      <c r="NO403" s="120"/>
      <c r="NP403" s="120"/>
      <c r="NQ403" s="120"/>
      <c r="NR403" s="120"/>
      <c r="NS403" s="120"/>
      <c r="NT403" s="120"/>
      <c r="NU403" s="120"/>
      <c r="NV403" s="120"/>
      <c r="NW403" s="120"/>
      <c r="NX403" s="120"/>
      <c r="NY403" s="120"/>
      <c r="NZ403" s="120"/>
      <c r="OA403" s="120"/>
      <c r="OB403" s="120"/>
      <c r="OC403" s="120"/>
      <c r="OD403" s="120"/>
      <c r="OE403" s="120"/>
      <c r="OF403" s="120"/>
      <c r="OG403" s="120"/>
      <c r="OH403" s="120"/>
      <c r="OI403" s="120"/>
      <c r="OJ403" s="120"/>
      <c r="OK403" s="120"/>
      <c r="OL403" s="120"/>
      <c r="OM403" s="120"/>
      <c r="ON403" s="120"/>
      <c r="OO403" s="120"/>
      <c r="OP403" s="120"/>
      <c r="OQ403" s="120"/>
      <c r="OR403" s="120"/>
      <c r="OS403" s="120"/>
      <c r="OT403" s="120"/>
      <c r="OU403" s="120"/>
      <c r="OV403" s="120"/>
      <c r="OW403" s="120"/>
      <c r="OX403" s="120"/>
      <c r="OY403" s="120"/>
      <c r="OZ403" s="120"/>
      <c r="PA403" s="120"/>
      <c r="PB403" s="120"/>
      <c r="PC403" s="120"/>
      <c r="PD403" s="120"/>
      <c r="PE403" s="120"/>
      <c r="PF403" s="120"/>
      <c r="PG403" s="120"/>
      <c r="PH403" s="120"/>
      <c r="PI403" s="120"/>
      <c r="PJ403" s="120"/>
      <c r="PK403" s="120"/>
      <c r="PL403" s="120"/>
      <c r="PM403" s="120"/>
      <c r="PN403" s="120"/>
      <c r="PO403" s="120"/>
      <c r="PP403" s="120"/>
      <c r="PQ403" s="120"/>
      <c r="PR403" s="120"/>
      <c r="PS403" s="120"/>
      <c r="PT403" s="120"/>
      <c r="PU403" s="120"/>
      <c r="PV403" s="120"/>
      <c r="PW403" s="120"/>
      <c r="PX403" s="120"/>
      <c r="PY403" s="120"/>
      <c r="PZ403" s="120"/>
      <c r="QA403" s="120"/>
      <c r="QB403" s="120"/>
      <c r="QC403" s="120"/>
      <c r="QD403" s="120"/>
      <c r="QE403" s="120"/>
      <c r="QF403" s="120"/>
      <c r="QG403" s="120"/>
      <c r="QH403" s="120"/>
      <c r="QI403" s="120"/>
      <c r="QJ403" s="120"/>
      <c r="QK403" s="120"/>
      <c r="QL403" s="120"/>
      <c r="QM403" s="120"/>
      <c r="QN403" s="120"/>
      <c r="QO403" s="120"/>
      <c r="QP403" s="120"/>
      <c r="QQ403" s="120"/>
      <c r="QR403" s="120"/>
      <c r="QS403" s="120"/>
      <c r="QT403" s="120"/>
      <c r="QU403" s="120"/>
      <c r="QV403" s="120"/>
      <c r="QW403" s="120"/>
      <c r="QX403" s="120"/>
      <c r="QY403" s="120"/>
      <c r="QZ403" s="120"/>
      <c r="RA403" s="120"/>
      <c r="RB403" s="120"/>
      <c r="RC403" s="120"/>
      <c r="RD403" s="120"/>
      <c r="RE403" s="120"/>
      <c r="RF403" s="120"/>
      <c r="RG403" s="120"/>
      <c r="RH403" s="120"/>
      <c r="RI403" s="120"/>
      <c r="RJ403" s="120"/>
      <c r="RK403" s="120"/>
      <c r="RL403" s="120"/>
      <c r="RM403" s="120"/>
      <c r="RN403" s="120"/>
      <c r="RO403" s="120"/>
      <c r="RP403" s="120"/>
      <c r="RQ403" s="120"/>
      <c r="RR403" s="120"/>
      <c r="RS403" s="120"/>
      <c r="RT403" s="120"/>
      <c r="RU403" s="120"/>
      <c r="RV403" s="120"/>
      <c r="RW403" s="120"/>
      <c r="RX403" s="120"/>
      <c r="RY403" s="120"/>
      <c r="RZ403" s="120"/>
      <c r="SA403" s="120"/>
      <c r="SB403" s="120"/>
      <c r="SC403" s="120"/>
      <c r="SD403" s="120"/>
      <c r="SE403" s="120"/>
      <c r="SF403" s="120"/>
      <c r="SG403" s="120"/>
      <c r="SH403" s="120"/>
      <c r="SI403" s="120"/>
      <c r="SJ403" s="120"/>
      <c r="SK403" s="120"/>
      <c r="SL403" s="120"/>
      <c r="SM403" s="120"/>
      <c r="SN403" s="120"/>
      <c r="SO403" s="120"/>
      <c r="SP403" s="120"/>
      <c r="SQ403" s="120"/>
      <c r="SR403" s="120"/>
      <c r="SS403" s="120"/>
      <c r="ST403" s="120"/>
      <c r="SU403" s="120"/>
      <c r="SV403" s="120"/>
      <c r="SW403" s="120"/>
      <c r="SX403" s="120"/>
      <c r="SY403" s="120"/>
      <c r="SZ403" s="120"/>
      <c r="TA403" s="120"/>
      <c r="TB403" s="120"/>
      <c r="TC403" s="120"/>
      <c r="TD403" s="120"/>
      <c r="TE403" s="120"/>
    </row>
    <row r="404" spans="1:525" s="121" customFormat="1" ht="30.75" customHeight="1" x14ac:dyDescent="0.25">
      <c r="A404" s="117" t="s">
        <v>255</v>
      </c>
      <c r="B404" s="118" t="str">
        <f>'дод 6'!A239</f>
        <v>7640</v>
      </c>
      <c r="C404" s="118" t="str">
        <f>'дод 6'!B239</f>
        <v>0470</v>
      </c>
      <c r="D404" s="122" t="s">
        <v>413</v>
      </c>
      <c r="E404" s="81">
        <f t="shared" si="217"/>
        <v>666700</v>
      </c>
      <c r="F404" s="81">
        <f>596800+20000+49900</f>
        <v>666700</v>
      </c>
      <c r="G404" s="81"/>
      <c r="H404" s="81"/>
      <c r="I404" s="81"/>
      <c r="J404" s="81">
        <f t="shared" ref="J404:J411" si="219">L404+O404</f>
        <v>0</v>
      </c>
      <c r="K404" s="81"/>
      <c r="L404" s="81"/>
      <c r="M404" s="81"/>
      <c r="N404" s="81"/>
      <c r="O404" s="81"/>
      <c r="P404" s="81">
        <f t="shared" si="218"/>
        <v>666700</v>
      </c>
      <c r="Q404" s="26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  <c r="IW404" s="120"/>
      <c r="IX404" s="120"/>
      <c r="IY404" s="120"/>
      <c r="IZ404" s="120"/>
      <c r="JA404" s="120"/>
      <c r="JB404" s="120"/>
      <c r="JC404" s="120"/>
      <c r="JD404" s="120"/>
      <c r="JE404" s="120"/>
      <c r="JF404" s="120"/>
      <c r="JG404" s="120"/>
      <c r="JH404" s="120"/>
      <c r="JI404" s="120"/>
      <c r="JJ404" s="120"/>
      <c r="JK404" s="120"/>
      <c r="JL404" s="120"/>
      <c r="JM404" s="120"/>
      <c r="JN404" s="120"/>
      <c r="JO404" s="120"/>
      <c r="JP404" s="120"/>
      <c r="JQ404" s="120"/>
      <c r="JR404" s="120"/>
      <c r="JS404" s="120"/>
      <c r="JT404" s="120"/>
      <c r="JU404" s="120"/>
      <c r="JV404" s="120"/>
      <c r="JW404" s="120"/>
      <c r="JX404" s="120"/>
      <c r="JY404" s="120"/>
      <c r="JZ404" s="120"/>
      <c r="KA404" s="120"/>
      <c r="KB404" s="120"/>
      <c r="KC404" s="120"/>
      <c r="KD404" s="120"/>
      <c r="KE404" s="120"/>
      <c r="KF404" s="120"/>
      <c r="KG404" s="120"/>
      <c r="KH404" s="120"/>
      <c r="KI404" s="120"/>
      <c r="KJ404" s="120"/>
      <c r="KK404" s="120"/>
      <c r="KL404" s="120"/>
      <c r="KM404" s="120"/>
      <c r="KN404" s="120"/>
      <c r="KO404" s="120"/>
      <c r="KP404" s="120"/>
      <c r="KQ404" s="120"/>
      <c r="KR404" s="120"/>
      <c r="KS404" s="120"/>
      <c r="KT404" s="120"/>
      <c r="KU404" s="120"/>
      <c r="KV404" s="120"/>
      <c r="KW404" s="120"/>
      <c r="KX404" s="120"/>
      <c r="KY404" s="120"/>
      <c r="KZ404" s="120"/>
      <c r="LA404" s="120"/>
      <c r="LB404" s="120"/>
      <c r="LC404" s="120"/>
      <c r="LD404" s="120"/>
      <c r="LE404" s="120"/>
      <c r="LF404" s="120"/>
      <c r="LG404" s="120"/>
      <c r="LH404" s="120"/>
      <c r="LI404" s="120"/>
      <c r="LJ404" s="120"/>
      <c r="LK404" s="120"/>
      <c r="LL404" s="120"/>
      <c r="LM404" s="120"/>
      <c r="LN404" s="120"/>
      <c r="LO404" s="120"/>
      <c r="LP404" s="120"/>
      <c r="LQ404" s="120"/>
      <c r="LR404" s="120"/>
      <c r="LS404" s="120"/>
      <c r="LT404" s="120"/>
      <c r="LU404" s="120"/>
      <c r="LV404" s="120"/>
      <c r="LW404" s="120"/>
      <c r="LX404" s="120"/>
      <c r="LY404" s="120"/>
      <c r="LZ404" s="120"/>
      <c r="MA404" s="120"/>
      <c r="MB404" s="120"/>
      <c r="MC404" s="120"/>
      <c r="MD404" s="120"/>
      <c r="ME404" s="120"/>
      <c r="MF404" s="120"/>
      <c r="MG404" s="120"/>
      <c r="MH404" s="120"/>
      <c r="MI404" s="120"/>
      <c r="MJ404" s="120"/>
      <c r="MK404" s="120"/>
      <c r="ML404" s="120"/>
      <c r="MM404" s="120"/>
      <c r="MN404" s="120"/>
      <c r="MO404" s="120"/>
      <c r="MP404" s="120"/>
      <c r="MQ404" s="120"/>
      <c r="MR404" s="120"/>
      <c r="MS404" s="120"/>
      <c r="MT404" s="120"/>
      <c r="MU404" s="120"/>
      <c r="MV404" s="120"/>
      <c r="MW404" s="120"/>
      <c r="MX404" s="120"/>
      <c r="MY404" s="120"/>
      <c r="MZ404" s="120"/>
      <c r="NA404" s="120"/>
      <c r="NB404" s="120"/>
      <c r="NC404" s="120"/>
      <c r="ND404" s="120"/>
      <c r="NE404" s="120"/>
      <c r="NF404" s="120"/>
      <c r="NG404" s="120"/>
      <c r="NH404" s="120"/>
      <c r="NI404" s="120"/>
      <c r="NJ404" s="120"/>
      <c r="NK404" s="120"/>
      <c r="NL404" s="120"/>
      <c r="NM404" s="120"/>
      <c r="NN404" s="120"/>
      <c r="NO404" s="120"/>
      <c r="NP404" s="120"/>
      <c r="NQ404" s="120"/>
      <c r="NR404" s="120"/>
      <c r="NS404" s="120"/>
      <c r="NT404" s="120"/>
      <c r="NU404" s="120"/>
      <c r="NV404" s="120"/>
      <c r="NW404" s="120"/>
      <c r="NX404" s="120"/>
      <c r="NY404" s="120"/>
      <c r="NZ404" s="120"/>
      <c r="OA404" s="120"/>
      <c r="OB404" s="120"/>
      <c r="OC404" s="120"/>
      <c r="OD404" s="120"/>
      <c r="OE404" s="120"/>
      <c r="OF404" s="120"/>
      <c r="OG404" s="120"/>
      <c r="OH404" s="120"/>
      <c r="OI404" s="120"/>
      <c r="OJ404" s="120"/>
      <c r="OK404" s="120"/>
      <c r="OL404" s="120"/>
      <c r="OM404" s="120"/>
      <c r="ON404" s="120"/>
      <c r="OO404" s="120"/>
      <c r="OP404" s="120"/>
      <c r="OQ404" s="120"/>
      <c r="OR404" s="120"/>
      <c r="OS404" s="120"/>
      <c r="OT404" s="120"/>
      <c r="OU404" s="120"/>
      <c r="OV404" s="120"/>
      <c r="OW404" s="120"/>
      <c r="OX404" s="120"/>
      <c r="OY404" s="120"/>
      <c r="OZ404" s="120"/>
      <c r="PA404" s="120"/>
      <c r="PB404" s="120"/>
      <c r="PC404" s="120"/>
      <c r="PD404" s="120"/>
      <c r="PE404" s="120"/>
      <c r="PF404" s="120"/>
      <c r="PG404" s="120"/>
      <c r="PH404" s="120"/>
      <c r="PI404" s="120"/>
      <c r="PJ404" s="120"/>
      <c r="PK404" s="120"/>
      <c r="PL404" s="120"/>
      <c r="PM404" s="120"/>
      <c r="PN404" s="120"/>
      <c r="PO404" s="120"/>
      <c r="PP404" s="120"/>
      <c r="PQ404" s="120"/>
      <c r="PR404" s="120"/>
      <c r="PS404" s="120"/>
      <c r="PT404" s="120"/>
      <c r="PU404" s="120"/>
      <c r="PV404" s="120"/>
      <c r="PW404" s="120"/>
      <c r="PX404" s="120"/>
      <c r="PY404" s="120"/>
      <c r="PZ404" s="120"/>
      <c r="QA404" s="120"/>
      <c r="QB404" s="120"/>
      <c r="QC404" s="120"/>
      <c r="QD404" s="120"/>
      <c r="QE404" s="120"/>
      <c r="QF404" s="120"/>
      <c r="QG404" s="120"/>
      <c r="QH404" s="120"/>
      <c r="QI404" s="120"/>
      <c r="QJ404" s="120"/>
      <c r="QK404" s="120"/>
      <c r="QL404" s="120"/>
      <c r="QM404" s="120"/>
      <c r="QN404" s="120"/>
      <c r="QO404" s="120"/>
      <c r="QP404" s="120"/>
      <c r="QQ404" s="120"/>
      <c r="QR404" s="120"/>
      <c r="QS404" s="120"/>
      <c r="QT404" s="120"/>
      <c r="QU404" s="120"/>
      <c r="QV404" s="120"/>
      <c r="QW404" s="120"/>
      <c r="QX404" s="120"/>
      <c r="QY404" s="120"/>
      <c r="QZ404" s="120"/>
      <c r="RA404" s="120"/>
      <c r="RB404" s="120"/>
      <c r="RC404" s="120"/>
      <c r="RD404" s="120"/>
      <c r="RE404" s="120"/>
      <c r="RF404" s="120"/>
      <c r="RG404" s="120"/>
      <c r="RH404" s="120"/>
      <c r="RI404" s="120"/>
      <c r="RJ404" s="120"/>
      <c r="RK404" s="120"/>
      <c r="RL404" s="120"/>
      <c r="RM404" s="120"/>
      <c r="RN404" s="120"/>
      <c r="RO404" s="120"/>
      <c r="RP404" s="120"/>
      <c r="RQ404" s="120"/>
      <c r="RR404" s="120"/>
      <c r="RS404" s="120"/>
      <c r="RT404" s="120"/>
      <c r="RU404" s="120"/>
      <c r="RV404" s="120"/>
      <c r="RW404" s="120"/>
      <c r="RX404" s="120"/>
      <c r="RY404" s="120"/>
      <c r="RZ404" s="120"/>
      <c r="SA404" s="120"/>
      <c r="SB404" s="120"/>
      <c r="SC404" s="120"/>
      <c r="SD404" s="120"/>
      <c r="SE404" s="120"/>
      <c r="SF404" s="120"/>
      <c r="SG404" s="120"/>
      <c r="SH404" s="120"/>
      <c r="SI404" s="120"/>
      <c r="SJ404" s="120"/>
      <c r="SK404" s="120"/>
      <c r="SL404" s="120"/>
      <c r="SM404" s="120"/>
      <c r="SN404" s="120"/>
      <c r="SO404" s="120"/>
      <c r="SP404" s="120"/>
      <c r="SQ404" s="120"/>
      <c r="SR404" s="120"/>
      <c r="SS404" s="120"/>
      <c r="ST404" s="120"/>
      <c r="SU404" s="120"/>
      <c r="SV404" s="120"/>
      <c r="SW404" s="120"/>
      <c r="SX404" s="120"/>
      <c r="SY404" s="120"/>
      <c r="SZ404" s="120"/>
      <c r="TA404" s="120"/>
      <c r="TB404" s="120"/>
      <c r="TC404" s="120"/>
      <c r="TD404" s="120"/>
      <c r="TE404" s="120"/>
    </row>
    <row r="405" spans="1:525" s="121" customFormat="1" ht="42.75" customHeight="1" x14ac:dyDescent="0.25">
      <c r="A405" s="117" t="s">
        <v>325</v>
      </c>
      <c r="B405" s="118" t="str">
        <f>'дод 6'!A247</f>
        <v>7693</v>
      </c>
      <c r="C405" s="118" t="str">
        <f>'дод 6'!B247</f>
        <v>0490</v>
      </c>
      <c r="D405" s="122" t="str">
        <f>'дод 6'!C247</f>
        <v>Інші заходи, пов'язані з економічною діяльністю</v>
      </c>
      <c r="E405" s="81">
        <f t="shared" si="217"/>
        <v>65800</v>
      </c>
      <c r="F405" s="81">
        <f>20000+194200+85800-234200</f>
        <v>65800</v>
      </c>
      <c r="G405" s="81"/>
      <c r="H405" s="81"/>
      <c r="I405" s="81"/>
      <c r="J405" s="81">
        <f t="shared" si="219"/>
        <v>0</v>
      </c>
      <c r="K405" s="81"/>
      <c r="L405" s="81"/>
      <c r="M405" s="81"/>
      <c r="N405" s="81"/>
      <c r="O405" s="81"/>
      <c r="P405" s="81">
        <f t="shared" si="218"/>
        <v>65800</v>
      </c>
      <c r="Q405" s="26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  <c r="IW405" s="120"/>
      <c r="IX405" s="120"/>
      <c r="IY405" s="120"/>
      <c r="IZ405" s="120"/>
      <c r="JA405" s="120"/>
      <c r="JB405" s="120"/>
      <c r="JC405" s="120"/>
      <c r="JD405" s="120"/>
      <c r="JE405" s="120"/>
      <c r="JF405" s="120"/>
      <c r="JG405" s="120"/>
      <c r="JH405" s="120"/>
      <c r="JI405" s="120"/>
      <c r="JJ405" s="120"/>
      <c r="JK405" s="120"/>
      <c r="JL405" s="120"/>
      <c r="JM405" s="120"/>
      <c r="JN405" s="120"/>
      <c r="JO405" s="120"/>
      <c r="JP405" s="120"/>
      <c r="JQ405" s="120"/>
      <c r="JR405" s="120"/>
      <c r="JS405" s="120"/>
      <c r="JT405" s="120"/>
      <c r="JU405" s="120"/>
      <c r="JV405" s="120"/>
      <c r="JW405" s="120"/>
      <c r="JX405" s="120"/>
      <c r="JY405" s="120"/>
      <c r="JZ405" s="120"/>
      <c r="KA405" s="120"/>
      <c r="KB405" s="120"/>
      <c r="KC405" s="120"/>
      <c r="KD405" s="120"/>
      <c r="KE405" s="120"/>
      <c r="KF405" s="120"/>
      <c r="KG405" s="120"/>
      <c r="KH405" s="120"/>
      <c r="KI405" s="120"/>
      <c r="KJ405" s="120"/>
      <c r="KK405" s="120"/>
      <c r="KL405" s="120"/>
      <c r="KM405" s="120"/>
      <c r="KN405" s="120"/>
      <c r="KO405" s="120"/>
      <c r="KP405" s="120"/>
      <c r="KQ405" s="120"/>
      <c r="KR405" s="120"/>
      <c r="KS405" s="120"/>
      <c r="KT405" s="120"/>
      <c r="KU405" s="120"/>
      <c r="KV405" s="120"/>
      <c r="KW405" s="120"/>
      <c r="KX405" s="120"/>
      <c r="KY405" s="120"/>
      <c r="KZ405" s="120"/>
      <c r="LA405" s="120"/>
      <c r="LB405" s="120"/>
      <c r="LC405" s="120"/>
      <c r="LD405" s="120"/>
      <c r="LE405" s="120"/>
      <c r="LF405" s="120"/>
      <c r="LG405" s="120"/>
      <c r="LH405" s="120"/>
      <c r="LI405" s="120"/>
      <c r="LJ405" s="120"/>
      <c r="LK405" s="120"/>
      <c r="LL405" s="120"/>
      <c r="LM405" s="120"/>
      <c r="LN405" s="120"/>
      <c r="LO405" s="120"/>
      <c r="LP405" s="120"/>
      <c r="LQ405" s="120"/>
      <c r="LR405" s="120"/>
      <c r="LS405" s="120"/>
      <c r="LT405" s="120"/>
      <c r="LU405" s="120"/>
      <c r="LV405" s="120"/>
      <c r="LW405" s="120"/>
      <c r="LX405" s="120"/>
      <c r="LY405" s="120"/>
      <c r="LZ405" s="120"/>
      <c r="MA405" s="120"/>
      <c r="MB405" s="120"/>
      <c r="MC405" s="120"/>
      <c r="MD405" s="120"/>
      <c r="ME405" s="120"/>
      <c r="MF405" s="120"/>
      <c r="MG405" s="120"/>
      <c r="MH405" s="120"/>
      <c r="MI405" s="120"/>
      <c r="MJ405" s="120"/>
      <c r="MK405" s="120"/>
      <c r="ML405" s="120"/>
      <c r="MM405" s="120"/>
      <c r="MN405" s="120"/>
      <c r="MO405" s="120"/>
      <c r="MP405" s="120"/>
      <c r="MQ405" s="120"/>
      <c r="MR405" s="120"/>
      <c r="MS405" s="120"/>
      <c r="MT405" s="120"/>
      <c r="MU405" s="120"/>
      <c r="MV405" s="120"/>
      <c r="MW405" s="120"/>
      <c r="MX405" s="120"/>
      <c r="MY405" s="120"/>
      <c r="MZ405" s="120"/>
      <c r="NA405" s="120"/>
      <c r="NB405" s="120"/>
      <c r="NC405" s="120"/>
      <c r="ND405" s="120"/>
      <c r="NE405" s="120"/>
      <c r="NF405" s="120"/>
      <c r="NG405" s="120"/>
      <c r="NH405" s="120"/>
      <c r="NI405" s="120"/>
      <c r="NJ405" s="120"/>
      <c r="NK405" s="120"/>
      <c r="NL405" s="120"/>
      <c r="NM405" s="120"/>
      <c r="NN405" s="120"/>
      <c r="NO405" s="120"/>
      <c r="NP405" s="120"/>
      <c r="NQ405" s="120"/>
      <c r="NR405" s="120"/>
      <c r="NS405" s="120"/>
      <c r="NT405" s="120"/>
      <c r="NU405" s="120"/>
      <c r="NV405" s="120"/>
      <c r="NW405" s="120"/>
      <c r="NX405" s="120"/>
      <c r="NY405" s="120"/>
      <c r="NZ405" s="120"/>
      <c r="OA405" s="120"/>
      <c r="OB405" s="120"/>
      <c r="OC405" s="120"/>
      <c r="OD405" s="120"/>
      <c r="OE405" s="120"/>
      <c r="OF405" s="120"/>
      <c r="OG405" s="120"/>
      <c r="OH405" s="120"/>
      <c r="OI405" s="120"/>
      <c r="OJ405" s="120"/>
      <c r="OK405" s="120"/>
      <c r="OL405" s="120"/>
      <c r="OM405" s="120"/>
      <c r="ON405" s="120"/>
      <c r="OO405" s="120"/>
      <c r="OP405" s="120"/>
      <c r="OQ405" s="120"/>
      <c r="OR405" s="120"/>
      <c r="OS405" s="120"/>
      <c r="OT405" s="120"/>
      <c r="OU405" s="120"/>
      <c r="OV405" s="120"/>
      <c r="OW405" s="120"/>
      <c r="OX405" s="120"/>
      <c r="OY405" s="120"/>
      <c r="OZ405" s="120"/>
      <c r="PA405" s="120"/>
      <c r="PB405" s="120"/>
      <c r="PC405" s="120"/>
      <c r="PD405" s="120"/>
      <c r="PE405" s="120"/>
      <c r="PF405" s="120"/>
      <c r="PG405" s="120"/>
      <c r="PH405" s="120"/>
      <c r="PI405" s="120"/>
      <c r="PJ405" s="120"/>
      <c r="PK405" s="120"/>
      <c r="PL405" s="120"/>
      <c r="PM405" s="120"/>
      <c r="PN405" s="120"/>
      <c r="PO405" s="120"/>
      <c r="PP405" s="120"/>
      <c r="PQ405" s="120"/>
      <c r="PR405" s="120"/>
      <c r="PS405" s="120"/>
      <c r="PT405" s="120"/>
      <c r="PU405" s="120"/>
      <c r="PV405" s="120"/>
      <c r="PW405" s="120"/>
      <c r="PX405" s="120"/>
      <c r="PY405" s="120"/>
      <c r="PZ405" s="120"/>
      <c r="QA405" s="120"/>
      <c r="QB405" s="120"/>
      <c r="QC405" s="120"/>
      <c r="QD405" s="120"/>
      <c r="QE405" s="120"/>
      <c r="QF405" s="120"/>
      <c r="QG405" s="120"/>
      <c r="QH405" s="120"/>
      <c r="QI405" s="120"/>
      <c r="QJ405" s="120"/>
      <c r="QK405" s="120"/>
      <c r="QL405" s="120"/>
      <c r="QM405" s="120"/>
      <c r="QN405" s="120"/>
      <c r="QO405" s="120"/>
      <c r="QP405" s="120"/>
      <c r="QQ405" s="120"/>
      <c r="QR405" s="120"/>
      <c r="QS405" s="120"/>
      <c r="QT405" s="120"/>
      <c r="QU405" s="120"/>
      <c r="QV405" s="120"/>
      <c r="QW405" s="120"/>
      <c r="QX405" s="120"/>
      <c r="QY405" s="120"/>
      <c r="QZ405" s="120"/>
      <c r="RA405" s="120"/>
      <c r="RB405" s="120"/>
      <c r="RC405" s="120"/>
      <c r="RD405" s="120"/>
      <c r="RE405" s="120"/>
      <c r="RF405" s="120"/>
      <c r="RG405" s="120"/>
      <c r="RH405" s="120"/>
      <c r="RI405" s="120"/>
      <c r="RJ405" s="120"/>
      <c r="RK405" s="120"/>
      <c r="RL405" s="120"/>
      <c r="RM405" s="120"/>
      <c r="RN405" s="120"/>
      <c r="RO405" s="120"/>
      <c r="RP405" s="120"/>
      <c r="RQ405" s="120"/>
      <c r="RR405" s="120"/>
      <c r="RS405" s="120"/>
      <c r="RT405" s="120"/>
      <c r="RU405" s="120"/>
      <c r="RV405" s="120"/>
      <c r="RW405" s="120"/>
      <c r="RX405" s="120"/>
      <c r="RY405" s="120"/>
      <c r="RZ405" s="120"/>
      <c r="SA405" s="120"/>
      <c r="SB405" s="120"/>
      <c r="SC405" s="120"/>
      <c r="SD405" s="120"/>
      <c r="SE405" s="120"/>
      <c r="SF405" s="120"/>
      <c r="SG405" s="120"/>
      <c r="SH405" s="120"/>
      <c r="SI405" s="120"/>
      <c r="SJ405" s="120"/>
      <c r="SK405" s="120"/>
      <c r="SL405" s="120"/>
      <c r="SM405" s="120"/>
      <c r="SN405" s="120"/>
      <c r="SO405" s="120"/>
      <c r="SP405" s="120"/>
      <c r="SQ405" s="120"/>
      <c r="SR405" s="120"/>
      <c r="SS405" s="120"/>
      <c r="ST405" s="120"/>
      <c r="SU405" s="120"/>
      <c r="SV405" s="120"/>
      <c r="SW405" s="120"/>
      <c r="SX405" s="120"/>
      <c r="SY405" s="120"/>
      <c r="SZ405" s="120"/>
      <c r="TA405" s="120"/>
      <c r="TB405" s="120"/>
      <c r="TC405" s="120"/>
      <c r="TD405" s="120"/>
      <c r="TE405" s="120"/>
    </row>
    <row r="406" spans="1:525" s="121" customFormat="1" ht="48.75" customHeight="1" x14ac:dyDescent="0.25">
      <c r="A406" s="117" t="s">
        <v>651</v>
      </c>
      <c r="B406" s="118">
        <v>7700</v>
      </c>
      <c r="C406" s="117" t="s">
        <v>92</v>
      </c>
      <c r="D406" s="122" t="s">
        <v>357</v>
      </c>
      <c r="E406" s="81">
        <f t="shared" si="217"/>
        <v>10000</v>
      </c>
      <c r="F406" s="81">
        <v>10000</v>
      </c>
      <c r="G406" s="81"/>
      <c r="H406" s="81"/>
      <c r="I406" s="81"/>
      <c r="J406" s="81">
        <f t="shared" si="219"/>
        <v>0</v>
      </c>
      <c r="K406" s="81"/>
      <c r="L406" s="81"/>
      <c r="M406" s="81"/>
      <c r="N406" s="81"/>
      <c r="O406" s="81"/>
      <c r="P406" s="81">
        <f t="shared" si="218"/>
        <v>10000</v>
      </c>
      <c r="Q406" s="26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  <c r="IW406" s="120"/>
      <c r="IX406" s="120"/>
      <c r="IY406" s="120"/>
      <c r="IZ406" s="120"/>
      <c r="JA406" s="120"/>
      <c r="JB406" s="120"/>
      <c r="JC406" s="120"/>
      <c r="JD406" s="120"/>
      <c r="JE406" s="120"/>
      <c r="JF406" s="120"/>
      <c r="JG406" s="120"/>
      <c r="JH406" s="120"/>
      <c r="JI406" s="120"/>
      <c r="JJ406" s="120"/>
      <c r="JK406" s="120"/>
      <c r="JL406" s="120"/>
      <c r="JM406" s="120"/>
      <c r="JN406" s="120"/>
      <c r="JO406" s="120"/>
      <c r="JP406" s="120"/>
      <c r="JQ406" s="120"/>
      <c r="JR406" s="120"/>
      <c r="JS406" s="120"/>
      <c r="JT406" s="120"/>
      <c r="JU406" s="120"/>
      <c r="JV406" s="120"/>
      <c r="JW406" s="120"/>
      <c r="JX406" s="120"/>
      <c r="JY406" s="120"/>
      <c r="JZ406" s="120"/>
      <c r="KA406" s="120"/>
      <c r="KB406" s="120"/>
      <c r="KC406" s="120"/>
      <c r="KD406" s="120"/>
      <c r="KE406" s="120"/>
      <c r="KF406" s="120"/>
      <c r="KG406" s="120"/>
      <c r="KH406" s="120"/>
      <c r="KI406" s="120"/>
      <c r="KJ406" s="120"/>
      <c r="KK406" s="120"/>
      <c r="KL406" s="120"/>
      <c r="KM406" s="120"/>
      <c r="KN406" s="120"/>
      <c r="KO406" s="120"/>
      <c r="KP406" s="120"/>
      <c r="KQ406" s="120"/>
      <c r="KR406" s="120"/>
      <c r="KS406" s="120"/>
      <c r="KT406" s="120"/>
      <c r="KU406" s="120"/>
      <c r="KV406" s="120"/>
      <c r="KW406" s="120"/>
      <c r="KX406" s="120"/>
      <c r="KY406" s="120"/>
      <c r="KZ406" s="120"/>
      <c r="LA406" s="120"/>
      <c r="LB406" s="120"/>
      <c r="LC406" s="120"/>
      <c r="LD406" s="120"/>
      <c r="LE406" s="120"/>
      <c r="LF406" s="120"/>
      <c r="LG406" s="120"/>
      <c r="LH406" s="120"/>
      <c r="LI406" s="120"/>
      <c r="LJ406" s="120"/>
      <c r="LK406" s="120"/>
      <c r="LL406" s="120"/>
      <c r="LM406" s="120"/>
      <c r="LN406" s="120"/>
      <c r="LO406" s="120"/>
      <c r="LP406" s="120"/>
      <c r="LQ406" s="120"/>
      <c r="LR406" s="120"/>
      <c r="LS406" s="120"/>
      <c r="LT406" s="120"/>
      <c r="LU406" s="120"/>
      <c r="LV406" s="120"/>
      <c r="LW406" s="120"/>
      <c r="LX406" s="120"/>
      <c r="LY406" s="120"/>
      <c r="LZ406" s="120"/>
      <c r="MA406" s="120"/>
      <c r="MB406" s="120"/>
      <c r="MC406" s="120"/>
      <c r="MD406" s="120"/>
      <c r="ME406" s="120"/>
      <c r="MF406" s="120"/>
      <c r="MG406" s="120"/>
      <c r="MH406" s="120"/>
      <c r="MI406" s="120"/>
      <c r="MJ406" s="120"/>
      <c r="MK406" s="120"/>
      <c r="ML406" s="120"/>
      <c r="MM406" s="120"/>
      <c r="MN406" s="120"/>
      <c r="MO406" s="120"/>
      <c r="MP406" s="120"/>
      <c r="MQ406" s="120"/>
      <c r="MR406" s="120"/>
      <c r="MS406" s="120"/>
      <c r="MT406" s="120"/>
      <c r="MU406" s="120"/>
      <c r="MV406" s="120"/>
      <c r="MW406" s="120"/>
      <c r="MX406" s="120"/>
      <c r="MY406" s="120"/>
      <c r="MZ406" s="120"/>
      <c r="NA406" s="120"/>
      <c r="NB406" s="120"/>
      <c r="NC406" s="120"/>
      <c r="ND406" s="120"/>
      <c r="NE406" s="120"/>
      <c r="NF406" s="120"/>
      <c r="NG406" s="120"/>
      <c r="NH406" s="120"/>
      <c r="NI406" s="120"/>
      <c r="NJ406" s="120"/>
      <c r="NK406" s="120"/>
      <c r="NL406" s="120"/>
      <c r="NM406" s="120"/>
      <c r="NN406" s="120"/>
      <c r="NO406" s="120"/>
      <c r="NP406" s="120"/>
      <c r="NQ406" s="120"/>
      <c r="NR406" s="120"/>
      <c r="NS406" s="120"/>
      <c r="NT406" s="120"/>
      <c r="NU406" s="120"/>
      <c r="NV406" s="120"/>
      <c r="NW406" s="120"/>
      <c r="NX406" s="120"/>
      <c r="NY406" s="120"/>
      <c r="NZ406" s="120"/>
      <c r="OA406" s="120"/>
      <c r="OB406" s="120"/>
      <c r="OC406" s="120"/>
      <c r="OD406" s="120"/>
      <c r="OE406" s="120"/>
      <c r="OF406" s="120"/>
      <c r="OG406" s="120"/>
      <c r="OH406" s="120"/>
      <c r="OI406" s="120"/>
      <c r="OJ406" s="120"/>
      <c r="OK406" s="120"/>
      <c r="OL406" s="120"/>
      <c r="OM406" s="120"/>
      <c r="ON406" s="120"/>
      <c r="OO406" s="120"/>
      <c r="OP406" s="120"/>
      <c r="OQ406" s="120"/>
      <c r="OR406" s="120"/>
      <c r="OS406" s="120"/>
      <c r="OT406" s="120"/>
      <c r="OU406" s="120"/>
      <c r="OV406" s="120"/>
      <c r="OW406" s="120"/>
      <c r="OX406" s="120"/>
      <c r="OY406" s="120"/>
      <c r="OZ406" s="120"/>
      <c r="PA406" s="120"/>
      <c r="PB406" s="120"/>
      <c r="PC406" s="120"/>
      <c r="PD406" s="120"/>
      <c r="PE406" s="120"/>
      <c r="PF406" s="120"/>
      <c r="PG406" s="120"/>
      <c r="PH406" s="120"/>
      <c r="PI406" s="120"/>
      <c r="PJ406" s="120"/>
      <c r="PK406" s="120"/>
      <c r="PL406" s="120"/>
      <c r="PM406" s="120"/>
      <c r="PN406" s="120"/>
      <c r="PO406" s="120"/>
      <c r="PP406" s="120"/>
      <c r="PQ406" s="120"/>
      <c r="PR406" s="120"/>
      <c r="PS406" s="120"/>
      <c r="PT406" s="120"/>
      <c r="PU406" s="120"/>
      <c r="PV406" s="120"/>
      <c r="PW406" s="120"/>
      <c r="PX406" s="120"/>
      <c r="PY406" s="120"/>
      <c r="PZ406" s="120"/>
      <c r="QA406" s="120"/>
      <c r="QB406" s="120"/>
      <c r="QC406" s="120"/>
      <c r="QD406" s="120"/>
      <c r="QE406" s="120"/>
      <c r="QF406" s="120"/>
      <c r="QG406" s="120"/>
      <c r="QH406" s="120"/>
      <c r="QI406" s="120"/>
      <c r="QJ406" s="120"/>
      <c r="QK406" s="120"/>
      <c r="QL406" s="120"/>
      <c r="QM406" s="120"/>
      <c r="QN406" s="120"/>
      <c r="QO406" s="120"/>
      <c r="QP406" s="120"/>
      <c r="QQ406" s="120"/>
      <c r="QR406" s="120"/>
      <c r="QS406" s="120"/>
      <c r="QT406" s="120"/>
      <c r="QU406" s="120"/>
      <c r="QV406" s="120"/>
      <c r="QW406" s="120"/>
      <c r="QX406" s="120"/>
      <c r="QY406" s="120"/>
      <c r="QZ406" s="120"/>
      <c r="RA406" s="120"/>
      <c r="RB406" s="120"/>
      <c r="RC406" s="120"/>
      <c r="RD406" s="120"/>
      <c r="RE406" s="120"/>
      <c r="RF406" s="120"/>
      <c r="RG406" s="120"/>
      <c r="RH406" s="120"/>
      <c r="RI406" s="120"/>
      <c r="RJ406" s="120"/>
      <c r="RK406" s="120"/>
      <c r="RL406" s="120"/>
      <c r="RM406" s="120"/>
      <c r="RN406" s="120"/>
      <c r="RO406" s="120"/>
      <c r="RP406" s="120"/>
      <c r="RQ406" s="120"/>
      <c r="RR406" s="120"/>
      <c r="RS406" s="120"/>
      <c r="RT406" s="120"/>
      <c r="RU406" s="120"/>
      <c r="RV406" s="120"/>
      <c r="RW406" s="120"/>
      <c r="RX406" s="120"/>
      <c r="RY406" s="120"/>
      <c r="RZ406" s="120"/>
      <c r="SA406" s="120"/>
      <c r="SB406" s="120"/>
      <c r="SC406" s="120"/>
      <c r="SD406" s="120"/>
      <c r="SE406" s="120"/>
      <c r="SF406" s="120"/>
      <c r="SG406" s="120"/>
      <c r="SH406" s="120"/>
      <c r="SI406" s="120"/>
      <c r="SJ406" s="120"/>
      <c r="SK406" s="120"/>
      <c r="SL406" s="120"/>
      <c r="SM406" s="120"/>
      <c r="SN406" s="120"/>
      <c r="SO406" s="120"/>
      <c r="SP406" s="120"/>
      <c r="SQ406" s="120"/>
      <c r="SR406" s="120"/>
      <c r="SS406" s="120"/>
      <c r="ST406" s="120"/>
      <c r="SU406" s="120"/>
      <c r="SV406" s="120"/>
      <c r="SW406" s="120"/>
      <c r="SX406" s="120"/>
      <c r="SY406" s="120"/>
      <c r="SZ406" s="120"/>
      <c r="TA406" s="120"/>
      <c r="TB406" s="120"/>
      <c r="TC406" s="120"/>
      <c r="TD406" s="120"/>
      <c r="TE406" s="120"/>
    </row>
    <row r="407" spans="1:525" s="121" customFormat="1" ht="31.5" customHeight="1" x14ac:dyDescent="0.25">
      <c r="A407" s="117">
        <v>3718330</v>
      </c>
      <c r="B407" s="118">
        <f>'дод 6'!A264</f>
        <v>8330</v>
      </c>
      <c r="C407" s="117" t="s">
        <v>91</v>
      </c>
      <c r="D407" s="122" t="str">
        <f>'дод 6'!C264</f>
        <v xml:space="preserve">Інша діяльність у сфері екології та охорони природних ресурсів </v>
      </c>
      <c r="E407" s="81">
        <f t="shared" si="217"/>
        <v>108000</v>
      </c>
      <c r="F407" s="81">
        <f>80000+28000</f>
        <v>108000</v>
      </c>
      <c r="G407" s="81"/>
      <c r="H407" s="81"/>
      <c r="I407" s="81"/>
      <c r="J407" s="81">
        <f t="shared" si="219"/>
        <v>0</v>
      </c>
      <c r="K407" s="81"/>
      <c r="L407" s="81"/>
      <c r="M407" s="81"/>
      <c r="N407" s="81"/>
      <c r="O407" s="81"/>
      <c r="P407" s="81">
        <f t="shared" si="218"/>
        <v>108000</v>
      </c>
      <c r="Q407" s="26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  <c r="IW407" s="120"/>
      <c r="IX407" s="120"/>
      <c r="IY407" s="120"/>
      <c r="IZ407" s="120"/>
      <c r="JA407" s="120"/>
      <c r="JB407" s="120"/>
      <c r="JC407" s="120"/>
      <c r="JD407" s="120"/>
      <c r="JE407" s="120"/>
      <c r="JF407" s="120"/>
      <c r="JG407" s="120"/>
      <c r="JH407" s="120"/>
      <c r="JI407" s="120"/>
      <c r="JJ407" s="120"/>
      <c r="JK407" s="120"/>
      <c r="JL407" s="120"/>
      <c r="JM407" s="120"/>
      <c r="JN407" s="120"/>
      <c r="JO407" s="120"/>
      <c r="JP407" s="120"/>
      <c r="JQ407" s="120"/>
      <c r="JR407" s="120"/>
      <c r="JS407" s="120"/>
      <c r="JT407" s="120"/>
      <c r="JU407" s="120"/>
      <c r="JV407" s="120"/>
      <c r="JW407" s="120"/>
      <c r="JX407" s="120"/>
      <c r="JY407" s="120"/>
      <c r="JZ407" s="120"/>
      <c r="KA407" s="120"/>
      <c r="KB407" s="120"/>
      <c r="KC407" s="120"/>
      <c r="KD407" s="120"/>
      <c r="KE407" s="120"/>
      <c r="KF407" s="120"/>
      <c r="KG407" s="120"/>
      <c r="KH407" s="120"/>
      <c r="KI407" s="120"/>
      <c r="KJ407" s="120"/>
      <c r="KK407" s="120"/>
      <c r="KL407" s="120"/>
      <c r="KM407" s="120"/>
      <c r="KN407" s="120"/>
      <c r="KO407" s="120"/>
      <c r="KP407" s="120"/>
      <c r="KQ407" s="120"/>
      <c r="KR407" s="120"/>
      <c r="KS407" s="120"/>
      <c r="KT407" s="120"/>
      <c r="KU407" s="120"/>
      <c r="KV407" s="120"/>
      <c r="KW407" s="120"/>
      <c r="KX407" s="120"/>
      <c r="KY407" s="120"/>
      <c r="KZ407" s="120"/>
      <c r="LA407" s="120"/>
      <c r="LB407" s="120"/>
      <c r="LC407" s="120"/>
      <c r="LD407" s="120"/>
      <c r="LE407" s="120"/>
      <c r="LF407" s="120"/>
      <c r="LG407" s="120"/>
      <c r="LH407" s="120"/>
      <c r="LI407" s="120"/>
      <c r="LJ407" s="120"/>
      <c r="LK407" s="120"/>
      <c r="LL407" s="120"/>
      <c r="LM407" s="120"/>
      <c r="LN407" s="120"/>
      <c r="LO407" s="120"/>
      <c r="LP407" s="120"/>
      <c r="LQ407" s="120"/>
      <c r="LR407" s="120"/>
      <c r="LS407" s="120"/>
      <c r="LT407" s="120"/>
      <c r="LU407" s="120"/>
      <c r="LV407" s="120"/>
      <c r="LW407" s="120"/>
      <c r="LX407" s="120"/>
      <c r="LY407" s="120"/>
      <c r="LZ407" s="120"/>
      <c r="MA407" s="120"/>
      <c r="MB407" s="120"/>
      <c r="MC407" s="120"/>
      <c r="MD407" s="120"/>
      <c r="ME407" s="120"/>
      <c r="MF407" s="120"/>
      <c r="MG407" s="120"/>
      <c r="MH407" s="120"/>
      <c r="MI407" s="120"/>
      <c r="MJ407" s="120"/>
      <c r="MK407" s="120"/>
      <c r="ML407" s="120"/>
      <c r="MM407" s="120"/>
      <c r="MN407" s="120"/>
      <c r="MO407" s="120"/>
      <c r="MP407" s="120"/>
      <c r="MQ407" s="120"/>
      <c r="MR407" s="120"/>
      <c r="MS407" s="120"/>
      <c r="MT407" s="120"/>
      <c r="MU407" s="120"/>
      <c r="MV407" s="120"/>
      <c r="MW407" s="120"/>
      <c r="MX407" s="120"/>
      <c r="MY407" s="120"/>
      <c r="MZ407" s="120"/>
      <c r="NA407" s="120"/>
      <c r="NB407" s="120"/>
      <c r="NC407" s="120"/>
      <c r="ND407" s="120"/>
      <c r="NE407" s="120"/>
      <c r="NF407" s="120"/>
      <c r="NG407" s="120"/>
      <c r="NH407" s="120"/>
      <c r="NI407" s="120"/>
      <c r="NJ407" s="120"/>
      <c r="NK407" s="120"/>
      <c r="NL407" s="120"/>
      <c r="NM407" s="120"/>
      <c r="NN407" s="120"/>
      <c r="NO407" s="120"/>
      <c r="NP407" s="120"/>
      <c r="NQ407" s="120"/>
      <c r="NR407" s="120"/>
      <c r="NS407" s="120"/>
      <c r="NT407" s="120"/>
      <c r="NU407" s="120"/>
      <c r="NV407" s="120"/>
      <c r="NW407" s="120"/>
      <c r="NX407" s="120"/>
      <c r="NY407" s="120"/>
      <c r="NZ407" s="120"/>
      <c r="OA407" s="120"/>
      <c r="OB407" s="120"/>
      <c r="OC407" s="120"/>
      <c r="OD407" s="120"/>
      <c r="OE407" s="120"/>
      <c r="OF407" s="120"/>
      <c r="OG407" s="120"/>
      <c r="OH407" s="120"/>
      <c r="OI407" s="120"/>
      <c r="OJ407" s="120"/>
      <c r="OK407" s="120"/>
      <c r="OL407" s="120"/>
      <c r="OM407" s="120"/>
      <c r="ON407" s="120"/>
      <c r="OO407" s="120"/>
      <c r="OP407" s="120"/>
      <c r="OQ407" s="120"/>
      <c r="OR407" s="120"/>
      <c r="OS407" s="120"/>
      <c r="OT407" s="120"/>
      <c r="OU407" s="120"/>
      <c r="OV407" s="120"/>
      <c r="OW407" s="120"/>
      <c r="OX407" s="120"/>
      <c r="OY407" s="120"/>
      <c r="OZ407" s="120"/>
      <c r="PA407" s="120"/>
      <c r="PB407" s="120"/>
      <c r="PC407" s="120"/>
      <c r="PD407" s="120"/>
      <c r="PE407" s="120"/>
      <c r="PF407" s="120"/>
      <c r="PG407" s="120"/>
      <c r="PH407" s="120"/>
      <c r="PI407" s="120"/>
      <c r="PJ407" s="120"/>
      <c r="PK407" s="120"/>
      <c r="PL407" s="120"/>
      <c r="PM407" s="120"/>
      <c r="PN407" s="120"/>
      <c r="PO407" s="120"/>
      <c r="PP407" s="120"/>
      <c r="PQ407" s="120"/>
      <c r="PR407" s="120"/>
      <c r="PS407" s="120"/>
      <c r="PT407" s="120"/>
      <c r="PU407" s="120"/>
      <c r="PV407" s="120"/>
      <c r="PW407" s="120"/>
      <c r="PX407" s="120"/>
      <c r="PY407" s="120"/>
      <c r="PZ407" s="120"/>
      <c r="QA407" s="120"/>
      <c r="QB407" s="120"/>
      <c r="QC407" s="120"/>
      <c r="QD407" s="120"/>
      <c r="QE407" s="120"/>
      <c r="QF407" s="120"/>
      <c r="QG407" s="120"/>
      <c r="QH407" s="120"/>
      <c r="QI407" s="120"/>
      <c r="QJ407" s="120"/>
      <c r="QK407" s="120"/>
      <c r="QL407" s="120"/>
      <c r="QM407" s="120"/>
      <c r="QN407" s="120"/>
      <c r="QO407" s="120"/>
      <c r="QP407" s="120"/>
      <c r="QQ407" s="120"/>
      <c r="QR407" s="120"/>
      <c r="QS407" s="120"/>
      <c r="QT407" s="120"/>
      <c r="QU407" s="120"/>
      <c r="QV407" s="120"/>
      <c r="QW407" s="120"/>
      <c r="QX407" s="120"/>
      <c r="QY407" s="120"/>
      <c r="QZ407" s="120"/>
      <c r="RA407" s="120"/>
      <c r="RB407" s="120"/>
      <c r="RC407" s="120"/>
      <c r="RD407" s="120"/>
      <c r="RE407" s="120"/>
      <c r="RF407" s="120"/>
      <c r="RG407" s="120"/>
      <c r="RH407" s="120"/>
      <c r="RI407" s="120"/>
      <c r="RJ407" s="120"/>
      <c r="RK407" s="120"/>
      <c r="RL407" s="120"/>
      <c r="RM407" s="120"/>
      <c r="RN407" s="120"/>
      <c r="RO407" s="120"/>
      <c r="RP407" s="120"/>
      <c r="RQ407" s="120"/>
      <c r="RR407" s="120"/>
      <c r="RS407" s="120"/>
      <c r="RT407" s="120"/>
      <c r="RU407" s="120"/>
      <c r="RV407" s="120"/>
      <c r="RW407" s="120"/>
      <c r="RX407" s="120"/>
      <c r="RY407" s="120"/>
      <c r="RZ407" s="120"/>
      <c r="SA407" s="120"/>
      <c r="SB407" s="120"/>
      <c r="SC407" s="120"/>
      <c r="SD407" s="120"/>
      <c r="SE407" s="120"/>
      <c r="SF407" s="120"/>
      <c r="SG407" s="120"/>
      <c r="SH407" s="120"/>
      <c r="SI407" s="120"/>
      <c r="SJ407" s="120"/>
      <c r="SK407" s="120"/>
      <c r="SL407" s="120"/>
      <c r="SM407" s="120"/>
      <c r="SN407" s="120"/>
      <c r="SO407" s="120"/>
      <c r="SP407" s="120"/>
      <c r="SQ407" s="120"/>
      <c r="SR407" s="120"/>
      <c r="SS407" s="120"/>
      <c r="ST407" s="120"/>
      <c r="SU407" s="120"/>
      <c r="SV407" s="120"/>
      <c r="SW407" s="120"/>
      <c r="SX407" s="120"/>
      <c r="SY407" s="120"/>
      <c r="SZ407" s="120"/>
      <c r="TA407" s="120"/>
      <c r="TB407" s="120"/>
      <c r="TC407" s="120"/>
      <c r="TD407" s="120"/>
      <c r="TE407" s="120"/>
    </row>
    <row r="408" spans="1:525" s="121" customFormat="1" ht="30" customHeight="1" x14ac:dyDescent="0.25">
      <c r="A408" s="117" t="s">
        <v>218</v>
      </c>
      <c r="B408" s="118" t="str">
        <f>'дод 6'!A265</f>
        <v>8340</v>
      </c>
      <c r="C408" s="117" t="str">
        <f>'дод 6'!B265</f>
        <v>0540</v>
      </c>
      <c r="D408" s="122" t="str">
        <f>'дод 6'!C265</f>
        <v>Природоохоронні заходи за рахунок цільових фондів</v>
      </c>
      <c r="E408" s="81">
        <f t="shared" si="217"/>
        <v>0</v>
      </c>
      <c r="F408" s="81"/>
      <c r="G408" s="81"/>
      <c r="H408" s="81"/>
      <c r="I408" s="81"/>
      <c r="J408" s="81">
        <f t="shared" si="219"/>
        <v>248000</v>
      </c>
      <c r="K408" s="81"/>
      <c r="L408" s="81">
        <f>140000+58000</f>
        <v>198000</v>
      </c>
      <c r="M408" s="81"/>
      <c r="N408" s="81"/>
      <c r="O408" s="81">
        <v>50000</v>
      </c>
      <c r="P408" s="81">
        <f t="shared" si="218"/>
        <v>248000</v>
      </c>
      <c r="Q408" s="26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  <c r="IW408" s="120"/>
      <c r="IX408" s="120"/>
      <c r="IY408" s="120"/>
      <c r="IZ408" s="120"/>
      <c r="JA408" s="120"/>
      <c r="JB408" s="120"/>
      <c r="JC408" s="120"/>
      <c r="JD408" s="120"/>
      <c r="JE408" s="120"/>
      <c r="JF408" s="120"/>
      <c r="JG408" s="120"/>
      <c r="JH408" s="120"/>
      <c r="JI408" s="120"/>
      <c r="JJ408" s="120"/>
      <c r="JK408" s="120"/>
      <c r="JL408" s="120"/>
      <c r="JM408" s="120"/>
      <c r="JN408" s="120"/>
      <c r="JO408" s="120"/>
      <c r="JP408" s="120"/>
      <c r="JQ408" s="120"/>
      <c r="JR408" s="120"/>
      <c r="JS408" s="120"/>
      <c r="JT408" s="120"/>
      <c r="JU408" s="120"/>
      <c r="JV408" s="120"/>
      <c r="JW408" s="120"/>
      <c r="JX408" s="120"/>
      <c r="JY408" s="120"/>
      <c r="JZ408" s="120"/>
      <c r="KA408" s="120"/>
      <c r="KB408" s="120"/>
      <c r="KC408" s="120"/>
      <c r="KD408" s="120"/>
      <c r="KE408" s="120"/>
      <c r="KF408" s="120"/>
      <c r="KG408" s="120"/>
      <c r="KH408" s="120"/>
      <c r="KI408" s="120"/>
      <c r="KJ408" s="120"/>
      <c r="KK408" s="120"/>
      <c r="KL408" s="120"/>
      <c r="KM408" s="120"/>
      <c r="KN408" s="120"/>
      <c r="KO408" s="120"/>
      <c r="KP408" s="120"/>
      <c r="KQ408" s="120"/>
      <c r="KR408" s="120"/>
      <c r="KS408" s="120"/>
      <c r="KT408" s="120"/>
      <c r="KU408" s="120"/>
      <c r="KV408" s="120"/>
      <c r="KW408" s="120"/>
      <c r="KX408" s="120"/>
      <c r="KY408" s="120"/>
      <c r="KZ408" s="120"/>
      <c r="LA408" s="120"/>
      <c r="LB408" s="120"/>
      <c r="LC408" s="120"/>
      <c r="LD408" s="120"/>
      <c r="LE408" s="120"/>
      <c r="LF408" s="120"/>
      <c r="LG408" s="120"/>
      <c r="LH408" s="120"/>
      <c r="LI408" s="120"/>
      <c r="LJ408" s="120"/>
      <c r="LK408" s="120"/>
      <c r="LL408" s="120"/>
      <c r="LM408" s="120"/>
      <c r="LN408" s="120"/>
      <c r="LO408" s="120"/>
      <c r="LP408" s="120"/>
      <c r="LQ408" s="120"/>
      <c r="LR408" s="120"/>
      <c r="LS408" s="120"/>
      <c r="LT408" s="120"/>
      <c r="LU408" s="120"/>
      <c r="LV408" s="120"/>
      <c r="LW408" s="120"/>
      <c r="LX408" s="120"/>
      <c r="LY408" s="120"/>
      <c r="LZ408" s="120"/>
      <c r="MA408" s="120"/>
      <c r="MB408" s="120"/>
      <c r="MC408" s="120"/>
      <c r="MD408" s="120"/>
      <c r="ME408" s="120"/>
      <c r="MF408" s="120"/>
      <c r="MG408" s="120"/>
      <c r="MH408" s="120"/>
      <c r="MI408" s="120"/>
      <c r="MJ408" s="120"/>
      <c r="MK408" s="120"/>
      <c r="ML408" s="120"/>
      <c r="MM408" s="120"/>
      <c r="MN408" s="120"/>
      <c r="MO408" s="120"/>
      <c r="MP408" s="120"/>
      <c r="MQ408" s="120"/>
      <c r="MR408" s="120"/>
      <c r="MS408" s="120"/>
      <c r="MT408" s="120"/>
      <c r="MU408" s="120"/>
      <c r="MV408" s="120"/>
      <c r="MW408" s="120"/>
      <c r="MX408" s="120"/>
      <c r="MY408" s="120"/>
      <c r="MZ408" s="120"/>
      <c r="NA408" s="120"/>
      <c r="NB408" s="120"/>
      <c r="NC408" s="120"/>
      <c r="ND408" s="120"/>
      <c r="NE408" s="120"/>
      <c r="NF408" s="120"/>
      <c r="NG408" s="120"/>
      <c r="NH408" s="120"/>
      <c r="NI408" s="120"/>
      <c r="NJ408" s="120"/>
      <c r="NK408" s="120"/>
      <c r="NL408" s="120"/>
      <c r="NM408" s="120"/>
      <c r="NN408" s="120"/>
      <c r="NO408" s="120"/>
      <c r="NP408" s="120"/>
      <c r="NQ408" s="120"/>
      <c r="NR408" s="120"/>
      <c r="NS408" s="120"/>
      <c r="NT408" s="120"/>
      <c r="NU408" s="120"/>
      <c r="NV408" s="120"/>
      <c r="NW408" s="120"/>
      <c r="NX408" s="120"/>
      <c r="NY408" s="120"/>
      <c r="NZ408" s="120"/>
      <c r="OA408" s="120"/>
      <c r="OB408" s="120"/>
      <c r="OC408" s="120"/>
      <c r="OD408" s="120"/>
      <c r="OE408" s="120"/>
      <c r="OF408" s="120"/>
      <c r="OG408" s="120"/>
      <c r="OH408" s="120"/>
      <c r="OI408" s="120"/>
      <c r="OJ408" s="120"/>
      <c r="OK408" s="120"/>
      <c r="OL408" s="120"/>
      <c r="OM408" s="120"/>
      <c r="ON408" s="120"/>
      <c r="OO408" s="120"/>
      <c r="OP408" s="120"/>
      <c r="OQ408" s="120"/>
      <c r="OR408" s="120"/>
      <c r="OS408" s="120"/>
      <c r="OT408" s="120"/>
      <c r="OU408" s="120"/>
      <c r="OV408" s="120"/>
      <c r="OW408" s="120"/>
      <c r="OX408" s="120"/>
      <c r="OY408" s="120"/>
      <c r="OZ408" s="120"/>
      <c r="PA408" s="120"/>
      <c r="PB408" s="120"/>
      <c r="PC408" s="120"/>
      <c r="PD408" s="120"/>
      <c r="PE408" s="120"/>
      <c r="PF408" s="120"/>
      <c r="PG408" s="120"/>
      <c r="PH408" s="120"/>
      <c r="PI408" s="120"/>
      <c r="PJ408" s="120"/>
      <c r="PK408" s="120"/>
      <c r="PL408" s="120"/>
      <c r="PM408" s="120"/>
      <c r="PN408" s="120"/>
      <c r="PO408" s="120"/>
      <c r="PP408" s="120"/>
      <c r="PQ408" s="120"/>
      <c r="PR408" s="120"/>
      <c r="PS408" s="120"/>
      <c r="PT408" s="120"/>
      <c r="PU408" s="120"/>
      <c r="PV408" s="120"/>
      <c r="PW408" s="120"/>
      <c r="PX408" s="120"/>
      <c r="PY408" s="120"/>
      <c r="PZ408" s="120"/>
      <c r="QA408" s="120"/>
      <c r="QB408" s="120"/>
      <c r="QC408" s="120"/>
      <c r="QD408" s="120"/>
      <c r="QE408" s="120"/>
      <c r="QF408" s="120"/>
      <c r="QG408" s="120"/>
      <c r="QH408" s="120"/>
      <c r="QI408" s="120"/>
      <c r="QJ408" s="120"/>
      <c r="QK408" s="120"/>
      <c r="QL408" s="120"/>
      <c r="QM408" s="120"/>
      <c r="QN408" s="120"/>
      <c r="QO408" s="120"/>
      <c r="QP408" s="120"/>
      <c r="QQ408" s="120"/>
      <c r="QR408" s="120"/>
      <c r="QS408" s="120"/>
      <c r="QT408" s="120"/>
      <c r="QU408" s="120"/>
      <c r="QV408" s="120"/>
      <c r="QW408" s="120"/>
      <c r="QX408" s="120"/>
      <c r="QY408" s="120"/>
      <c r="QZ408" s="120"/>
      <c r="RA408" s="120"/>
      <c r="RB408" s="120"/>
      <c r="RC408" s="120"/>
      <c r="RD408" s="120"/>
      <c r="RE408" s="120"/>
      <c r="RF408" s="120"/>
      <c r="RG408" s="120"/>
      <c r="RH408" s="120"/>
      <c r="RI408" s="120"/>
      <c r="RJ408" s="120"/>
      <c r="RK408" s="120"/>
      <c r="RL408" s="120"/>
      <c r="RM408" s="120"/>
      <c r="RN408" s="120"/>
      <c r="RO408" s="120"/>
      <c r="RP408" s="120"/>
      <c r="RQ408" s="120"/>
      <c r="RR408" s="120"/>
      <c r="RS408" s="120"/>
      <c r="RT408" s="120"/>
      <c r="RU408" s="120"/>
      <c r="RV408" s="120"/>
      <c r="RW408" s="120"/>
      <c r="RX408" s="120"/>
      <c r="RY408" s="120"/>
      <c r="RZ408" s="120"/>
      <c r="SA408" s="120"/>
      <c r="SB408" s="120"/>
      <c r="SC408" s="120"/>
      <c r="SD408" s="120"/>
      <c r="SE408" s="120"/>
      <c r="SF408" s="120"/>
      <c r="SG408" s="120"/>
      <c r="SH408" s="120"/>
      <c r="SI408" s="120"/>
      <c r="SJ408" s="120"/>
      <c r="SK408" s="120"/>
      <c r="SL408" s="120"/>
      <c r="SM408" s="120"/>
      <c r="SN408" s="120"/>
      <c r="SO408" s="120"/>
      <c r="SP408" s="120"/>
      <c r="SQ408" s="120"/>
      <c r="SR408" s="120"/>
      <c r="SS408" s="120"/>
      <c r="ST408" s="120"/>
      <c r="SU408" s="120"/>
      <c r="SV408" s="120"/>
      <c r="SW408" s="120"/>
      <c r="SX408" s="120"/>
      <c r="SY408" s="120"/>
      <c r="SZ408" s="120"/>
      <c r="TA408" s="120"/>
      <c r="TB408" s="120"/>
      <c r="TC408" s="120"/>
      <c r="TD408" s="120"/>
      <c r="TE408" s="120"/>
    </row>
    <row r="409" spans="1:525" s="121" customFormat="1" ht="21.75" customHeight="1" x14ac:dyDescent="0.25">
      <c r="A409" s="117" t="s">
        <v>219</v>
      </c>
      <c r="B409" s="118" t="str">
        <f>'дод 6'!A268</f>
        <v>8600</v>
      </c>
      <c r="C409" s="118" t="str">
        <f>'дод 6'!B268</f>
        <v>0170</v>
      </c>
      <c r="D409" s="122" t="str">
        <f>'дод 6'!C268</f>
        <v>Обслуговування місцевого боргу</v>
      </c>
      <c r="E409" s="81">
        <f t="shared" si="217"/>
        <v>1500809</v>
      </c>
      <c r="F409" s="81">
        <f>157286+1338191+5332</f>
        <v>1500809</v>
      </c>
      <c r="G409" s="81"/>
      <c r="H409" s="81"/>
      <c r="I409" s="81"/>
      <c r="J409" s="81">
        <f t="shared" si="219"/>
        <v>0</v>
      </c>
      <c r="K409" s="81"/>
      <c r="L409" s="81"/>
      <c r="M409" s="81"/>
      <c r="N409" s="81"/>
      <c r="O409" s="81"/>
      <c r="P409" s="81">
        <f t="shared" si="218"/>
        <v>1500809</v>
      </c>
      <c r="Q409" s="26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  <c r="IW409" s="120"/>
      <c r="IX409" s="120"/>
      <c r="IY409" s="120"/>
      <c r="IZ409" s="120"/>
      <c r="JA409" s="120"/>
      <c r="JB409" s="120"/>
      <c r="JC409" s="120"/>
      <c r="JD409" s="120"/>
      <c r="JE409" s="120"/>
      <c r="JF409" s="120"/>
      <c r="JG409" s="120"/>
      <c r="JH409" s="120"/>
      <c r="JI409" s="120"/>
      <c r="JJ409" s="120"/>
      <c r="JK409" s="120"/>
      <c r="JL409" s="120"/>
      <c r="JM409" s="120"/>
      <c r="JN409" s="120"/>
      <c r="JO409" s="120"/>
      <c r="JP409" s="120"/>
      <c r="JQ409" s="120"/>
      <c r="JR409" s="120"/>
      <c r="JS409" s="120"/>
      <c r="JT409" s="120"/>
      <c r="JU409" s="120"/>
      <c r="JV409" s="120"/>
      <c r="JW409" s="120"/>
      <c r="JX409" s="120"/>
      <c r="JY409" s="120"/>
      <c r="JZ409" s="120"/>
      <c r="KA409" s="120"/>
      <c r="KB409" s="120"/>
      <c r="KC409" s="120"/>
      <c r="KD409" s="120"/>
      <c r="KE409" s="120"/>
      <c r="KF409" s="120"/>
      <c r="KG409" s="120"/>
      <c r="KH409" s="120"/>
      <c r="KI409" s="120"/>
      <c r="KJ409" s="120"/>
      <c r="KK409" s="120"/>
      <c r="KL409" s="120"/>
      <c r="KM409" s="120"/>
      <c r="KN409" s="120"/>
      <c r="KO409" s="120"/>
      <c r="KP409" s="120"/>
      <c r="KQ409" s="120"/>
      <c r="KR409" s="120"/>
      <c r="KS409" s="120"/>
      <c r="KT409" s="120"/>
      <c r="KU409" s="120"/>
      <c r="KV409" s="120"/>
      <c r="KW409" s="120"/>
      <c r="KX409" s="120"/>
      <c r="KY409" s="120"/>
      <c r="KZ409" s="120"/>
      <c r="LA409" s="120"/>
      <c r="LB409" s="120"/>
      <c r="LC409" s="120"/>
      <c r="LD409" s="120"/>
      <c r="LE409" s="120"/>
      <c r="LF409" s="120"/>
      <c r="LG409" s="120"/>
      <c r="LH409" s="120"/>
      <c r="LI409" s="120"/>
      <c r="LJ409" s="120"/>
      <c r="LK409" s="120"/>
      <c r="LL409" s="120"/>
      <c r="LM409" s="120"/>
      <c r="LN409" s="120"/>
      <c r="LO409" s="120"/>
      <c r="LP409" s="120"/>
      <c r="LQ409" s="120"/>
      <c r="LR409" s="120"/>
      <c r="LS409" s="120"/>
      <c r="LT409" s="120"/>
      <c r="LU409" s="120"/>
      <c r="LV409" s="120"/>
      <c r="LW409" s="120"/>
      <c r="LX409" s="120"/>
      <c r="LY409" s="120"/>
      <c r="LZ409" s="120"/>
      <c r="MA409" s="120"/>
      <c r="MB409" s="120"/>
      <c r="MC409" s="120"/>
      <c r="MD409" s="120"/>
      <c r="ME409" s="120"/>
      <c r="MF409" s="120"/>
      <c r="MG409" s="120"/>
      <c r="MH409" s="120"/>
      <c r="MI409" s="120"/>
      <c r="MJ409" s="120"/>
      <c r="MK409" s="120"/>
      <c r="ML409" s="120"/>
      <c r="MM409" s="120"/>
      <c r="MN409" s="120"/>
      <c r="MO409" s="120"/>
      <c r="MP409" s="120"/>
      <c r="MQ409" s="120"/>
      <c r="MR409" s="120"/>
      <c r="MS409" s="120"/>
      <c r="MT409" s="120"/>
      <c r="MU409" s="120"/>
      <c r="MV409" s="120"/>
      <c r="MW409" s="120"/>
      <c r="MX409" s="120"/>
      <c r="MY409" s="120"/>
      <c r="MZ409" s="120"/>
      <c r="NA409" s="120"/>
      <c r="NB409" s="120"/>
      <c r="NC409" s="120"/>
      <c r="ND409" s="120"/>
      <c r="NE409" s="120"/>
      <c r="NF409" s="120"/>
      <c r="NG409" s="120"/>
      <c r="NH409" s="120"/>
      <c r="NI409" s="120"/>
      <c r="NJ409" s="120"/>
      <c r="NK409" s="120"/>
      <c r="NL409" s="120"/>
      <c r="NM409" s="120"/>
      <c r="NN409" s="120"/>
      <c r="NO409" s="120"/>
      <c r="NP409" s="120"/>
      <c r="NQ409" s="120"/>
      <c r="NR409" s="120"/>
      <c r="NS409" s="120"/>
      <c r="NT409" s="120"/>
      <c r="NU409" s="120"/>
      <c r="NV409" s="120"/>
      <c r="NW409" s="120"/>
      <c r="NX409" s="120"/>
      <c r="NY409" s="120"/>
      <c r="NZ409" s="120"/>
      <c r="OA409" s="120"/>
      <c r="OB409" s="120"/>
      <c r="OC409" s="120"/>
      <c r="OD409" s="120"/>
      <c r="OE409" s="120"/>
      <c r="OF409" s="120"/>
      <c r="OG409" s="120"/>
      <c r="OH409" s="120"/>
      <c r="OI409" s="120"/>
      <c r="OJ409" s="120"/>
      <c r="OK409" s="120"/>
      <c r="OL409" s="120"/>
      <c r="OM409" s="120"/>
      <c r="ON409" s="120"/>
      <c r="OO409" s="120"/>
      <c r="OP409" s="120"/>
      <c r="OQ409" s="120"/>
      <c r="OR409" s="120"/>
      <c r="OS409" s="120"/>
      <c r="OT409" s="120"/>
      <c r="OU409" s="120"/>
      <c r="OV409" s="120"/>
      <c r="OW409" s="120"/>
      <c r="OX409" s="120"/>
      <c r="OY409" s="120"/>
      <c r="OZ409" s="120"/>
      <c r="PA409" s="120"/>
      <c r="PB409" s="120"/>
      <c r="PC409" s="120"/>
      <c r="PD409" s="120"/>
      <c r="PE409" s="120"/>
      <c r="PF409" s="120"/>
      <c r="PG409" s="120"/>
      <c r="PH409" s="120"/>
      <c r="PI409" s="120"/>
      <c r="PJ409" s="120"/>
      <c r="PK409" s="120"/>
      <c r="PL409" s="120"/>
      <c r="PM409" s="120"/>
      <c r="PN409" s="120"/>
      <c r="PO409" s="120"/>
      <c r="PP409" s="120"/>
      <c r="PQ409" s="120"/>
      <c r="PR409" s="120"/>
      <c r="PS409" s="120"/>
      <c r="PT409" s="120"/>
      <c r="PU409" s="120"/>
      <c r="PV409" s="120"/>
      <c r="PW409" s="120"/>
      <c r="PX409" s="120"/>
      <c r="PY409" s="120"/>
      <c r="PZ409" s="120"/>
      <c r="QA409" s="120"/>
      <c r="QB409" s="120"/>
      <c r="QC409" s="120"/>
      <c r="QD409" s="120"/>
      <c r="QE409" s="120"/>
      <c r="QF409" s="120"/>
      <c r="QG409" s="120"/>
      <c r="QH409" s="120"/>
      <c r="QI409" s="120"/>
      <c r="QJ409" s="120"/>
      <c r="QK409" s="120"/>
      <c r="QL409" s="120"/>
      <c r="QM409" s="120"/>
      <c r="QN409" s="120"/>
      <c r="QO409" s="120"/>
      <c r="QP409" s="120"/>
      <c r="QQ409" s="120"/>
      <c r="QR409" s="120"/>
      <c r="QS409" s="120"/>
      <c r="QT409" s="120"/>
      <c r="QU409" s="120"/>
      <c r="QV409" s="120"/>
      <c r="QW409" s="120"/>
      <c r="QX409" s="120"/>
      <c r="QY409" s="120"/>
      <c r="QZ409" s="120"/>
      <c r="RA409" s="120"/>
      <c r="RB409" s="120"/>
      <c r="RC409" s="120"/>
      <c r="RD409" s="120"/>
      <c r="RE409" s="120"/>
      <c r="RF409" s="120"/>
      <c r="RG409" s="120"/>
      <c r="RH409" s="120"/>
      <c r="RI409" s="120"/>
      <c r="RJ409" s="120"/>
      <c r="RK409" s="120"/>
      <c r="RL409" s="120"/>
      <c r="RM409" s="120"/>
      <c r="RN409" s="120"/>
      <c r="RO409" s="120"/>
      <c r="RP409" s="120"/>
      <c r="RQ409" s="120"/>
      <c r="RR409" s="120"/>
      <c r="RS409" s="120"/>
      <c r="RT409" s="120"/>
      <c r="RU409" s="120"/>
      <c r="RV409" s="120"/>
      <c r="RW409" s="120"/>
      <c r="RX409" s="120"/>
      <c r="RY409" s="120"/>
      <c r="RZ409" s="120"/>
      <c r="SA409" s="120"/>
      <c r="SB409" s="120"/>
      <c r="SC409" s="120"/>
      <c r="SD409" s="120"/>
      <c r="SE409" s="120"/>
      <c r="SF409" s="120"/>
      <c r="SG409" s="120"/>
      <c r="SH409" s="120"/>
      <c r="SI409" s="120"/>
      <c r="SJ409" s="120"/>
      <c r="SK409" s="120"/>
      <c r="SL409" s="120"/>
      <c r="SM409" s="120"/>
      <c r="SN409" s="120"/>
      <c r="SO409" s="120"/>
      <c r="SP409" s="120"/>
      <c r="SQ409" s="120"/>
      <c r="SR409" s="120"/>
      <c r="SS409" s="120"/>
      <c r="ST409" s="120"/>
      <c r="SU409" s="120"/>
      <c r="SV409" s="120"/>
      <c r="SW409" s="120"/>
      <c r="SX409" s="120"/>
      <c r="SY409" s="120"/>
      <c r="SZ409" s="120"/>
      <c r="TA409" s="120"/>
      <c r="TB409" s="120"/>
      <c r="TC409" s="120"/>
      <c r="TD409" s="120"/>
      <c r="TE409" s="120"/>
    </row>
    <row r="410" spans="1:525" s="121" customFormat="1" ht="22.5" customHeight="1" x14ac:dyDescent="0.25">
      <c r="A410" s="117" t="s">
        <v>487</v>
      </c>
      <c r="B410" s="118">
        <v>8710</v>
      </c>
      <c r="C410" s="118" t="str">
        <f>'дод 6'!B270</f>
        <v>0133</v>
      </c>
      <c r="D410" s="122" t="str">
        <f>'дод 6'!C270</f>
        <v>Резервний фонд місцевого бюджету</v>
      </c>
      <c r="E410" s="81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-1030000-1390330+58722329-36590816+174200+10182000+2000000-300000-4308200-1581620+417500-2000000-9182000+491404+1295871.3-1230000-1320000-161243</f>
        <v>19980172.860000003</v>
      </c>
      <c r="F410" s="81"/>
      <c r="G410" s="81"/>
      <c r="H410" s="81"/>
      <c r="I410" s="81"/>
      <c r="J410" s="81">
        <f t="shared" si="219"/>
        <v>0</v>
      </c>
      <c r="K410" s="81"/>
      <c r="L410" s="81"/>
      <c r="M410" s="81"/>
      <c r="N410" s="81"/>
      <c r="O410" s="81"/>
      <c r="P410" s="81">
        <f t="shared" si="218"/>
        <v>19980172.860000003</v>
      </c>
      <c r="Q410" s="26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24.75" customHeight="1" x14ac:dyDescent="0.25">
      <c r="A411" s="117" t="s">
        <v>229</v>
      </c>
      <c r="B411" s="118" t="str">
        <f>'дод 6'!A278</f>
        <v>9110</v>
      </c>
      <c r="C411" s="118" t="str">
        <f>'дод 6'!B278</f>
        <v>0180</v>
      </c>
      <c r="D411" s="122" t="str">
        <f>'дод 6'!C278</f>
        <v>Реверсна дотація</v>
      </c>
      <c r="E411" s="81">
        <f>F411+I411</f>
        <v>126998500</v>
      </c>
      <c r="F411" s="81">
        <v>126998500</v>
      </c>
      <c r="G411" s="81"/>
      <c r="H411" s="81"/>
      <c r="I411" s="81"/>
      <c r="J411" s="81">
        <f t="shared" si="219"/>
        <v>0</v>
      </c>
      <c r="K411" s="81"/>
      <c r="L411" s="81"/>
      <c r="M411" s="81"/>
      <c r="N411" s="81"/>
      <c r="O411" s="81"/>
      <c r="P411" s="81">
        <f>E411+J411</f>
        <v>126998500</v>
      </c>
      <c r="Q411" s="26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1.5" x14ac:dyDescent="0.25">
      <c r="A412" s="142" t="s">
        <v>734</v>
      </c>
      <c r="B412" s="148"/>
      <c r="C412" s="148"/>
      <c r="D412" s="249" t="s">
        <v>736</v>
      </c>
      <c r="E412" s="79">
        <f>E413</f>
        <v>741400</v>
      </c>
      <c r="F412" s="79">
        <f t="shared" ref="F412:P412" si="220">F413</f>
        <v>741400</v>
      </c>
      <c r="G412" s="79">
        <f t="shared" si="220"/>
        <v>560500</v>
      </c>
      <c r="H412" s="79">
        <f t="shared" si="220"/>
        <v>9500</v>
      </c>
      <c r="I412" s="79">
        <f t="shared" si="220"/>
        <v>0</v>
      </c>
      <c r="J412" s="79">
        <f t="shared" si="220"/>
        <v>0</v>
      </c>
      <c r="K412" s="79">
        <f t="shared" si="220"/>
        <v>0</v>
      </c>
      <c r="L412" s="79">
        <f t="shared" si="220"/>
        <v>0</v>
      </c>
      <c r="M412" s="79">
        <f t="shared" si="220"/>
        <v>0</v>
      </c>
      <c r="N412" s="79">
        <f t="shared" si="220"/>
        <v>0</v>
      </c>
      <c r="O412" s="79">
        <f t="shared" si="220"/>
        <v>0</v>
      </c>
      <c r="P412" s="79">
        <f t="shared" si="220"/>
        <v>741400</v>
      </c>
      <c r="Q412" s="248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21" customFormat="1" ht="31.5" x14ac:dyDescent="0.25">
      <c r="A413" s="112" t="s">
        <v>735</v>
      </c>
      <c r="B413" s="141"/>
      <c r="C413" s="141"/>
      <c r="D413" s="149" t="s">
        <v>736</v>
      </c>
      <c r="E413" s="80">
        <f>E414</f>
        <v>741400</v>
      </c>
      <c r="F413" s="80">
        <f t="shared" ref="F413:P413" si="221">F414</f>
        <v>741400</v>
      </c>
      <c r="G413" s="80">
        <f t="shared" si="221"/>
        <v>560500</v>
      </c>
      <c r="H413" s="80">
        <f t="shared" si="221"/>
        <v>9500</v>
      </c>
      <c r="I413" s="80">
        <f t="shared" si="221"/>
        <v>0</v>
      </c>
      <c r="J413" s="80">
        <f t="shared" si="221"/>
        <v>0</v>
      </c>
      <c r="K413" s="80">
        <f t="shared" si="221"/>
        <v>0</v>
      </c>
      <c r="L413" s="80">
        <f t="shared" si="221"/>
        <v>0</v>
      </c>
      <c r="M413" s="80">
        <f t="shared" si="221"/>
        <v>0</v>
      </c>
      <c r="N413" s="80">
        <f t="shared" si="221"/>
        <v>0</v>
      </c>
      <c r="O413" s="80">
        <f t="shared" si="221"/>
        <v>0</v>
      </c>
      <c r="P413" s="80">
        <f t="shared" si="221"/>
        <v>741400</v>
      </c>
      <c r="Q413" s="248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  <c r="EA413" s="120"/>
      <c r="EB413" s="120"/>
      <c r="EC413" s="120"/>
      <c r="ED413" s="120"/>
      <c r="EE413" s="120"/>
      <c r="EF413" s="120"/>
      <c r="EG413" s="120"/>
      <c r="EH413" s="120"/>
      <c r="EI413" s="120"/>
      <c r="EJ413" s="120"/>
      <c r="EK413" s="120"/>
      <c r="EL413" s="120"/>
      <c r="EM413" s="120"/>
      <c r="EN413" s="120"/>
      <c r="EO413" s="120"/>
      <c r="EP413" s="120"/>
      <c r="EQ413" s="120"/>
      <c r="ER413" s="120"/>
      <c r="ES413" s="120"/>
      <c r="ET413" s="120"/>
      <c r="EU413" s="120"/>
      <c r="EV413" s="120"/>
      <c r="EW413" s="120"/>
      <c r="EX413" s="120"/>
      <c r="EY413" s="120"/>
      <c r="EZ413" s="120"/>
      <c r="FA413" s="120"/>
      <c r="FB413" s="120"/>
      <c r="FC413" s="120"/>
      <c r="FD413" s="120"/>
      <c r="FE413" s="120"/>
      <c r="FF413" s="120"/>
      <c r="FG413" s="120"/>
      <c r="FH413" s="120"/>
      <c r="FI413" s="120"/>
      <c r="FJ413" s="120"/>
      <c r="FK413" s="120"/>
      <c r="FL413" s="120"/>
      <c r="FM413" s="120"/>
      <c r="FN413" s="120"/>
      <c r="FO413" s="120"/>
      <c r="FP413" s="120"/>
      <c r="FQ413" s="120"/>
      <c r="FR413" s="120"/>
      <c r="FS413" s="120"/>
      <c r="FT413" s="120"/>
      <c r="FU413" s="120"/>
      <c r="FV413" s="120"/>
      <c r="FW413" s="120"/>
      <c r="FX413" s="120"/>
      <c r="FY413" s="120"/>
      <c r="FZ413" s="120"/>
      <c r="GA413" s="120"/>
      <c r="GB413" s="120"/>
      <c r="GC413" s="120"/>
      <c r="GD413" s="120"/>
      <c r="GE413" s="120"/>
      <c r="GF413" s="120"/>
      <c r="GG413" s="120"/>
      <c r="GH413" s="120"/>
      <c r="GI413" s="120"/>
      <c r="GJ413" s="120"/>
      <c r="GK413" s="120"/>
      <c r="GL413" s="120"/>
      <c r="GM413" s="120"/>
      <c r="GN413" s="120"/>
      <c r="GO413" s="120"/>
      <c r="GP413" s="120"/>
      <c r="GQ413" s="120"/>
      <c r="GR413" s="120"/>
      <c r="GS413" s="120"/>
      <c r="GT413" s="120"/>
      <c r="GU413" s="120"/>
      <c r="GV413" s="120"/>
      <c r="GW413" s="120"/>
      <c r="GX413" s="120"/>
      <c r="GY413" s="120"/>
      <c r="GZ413" s="120"/>
      <c r="HA413" s="120"/>
      <c r="HB413" s="120"/>
      <c r="HC413" s="120"/>
      <c r="HD413" s="120"/>
      <c r="HE413" s="120"/>
      <c r="HF413" s="120"/>
      <c r="HG413" s="120"/>
      <c r="HH413" s="120"/>
      <c r="HI413" s="120"/>
      <c r="HJ413" s="120"/>
      <c r="HK413" s="120"/>
      <c r="HL413" s="120"/>
      <c r="HM413" s="120"/>
      <c r="HN413" s="120"/>
      <c r="HO413" s="120"/>
      <c r="HP413" s="120"/>
      <c r="HQ413" s="120"/>
      <c r="HR413" s="120"/>
      <c r="HS413" s="120"/>
      <c r="HT413" s="120"/>
      <c r="HU413" s="120"/>
      <c r="HV413" s="120"/>
      <c r="HW413" s="120"/>
      <c r="HX413" s="120"/>
      <c r="HY413" s="120"/>
      <c r="HZ413" s="120"/>
      <c r="IA413" s="120"/>
      <c r="IB413" s="120"/>
      <c r="IC413" s="120"/>
      <c r="ID413" s="120"/>
      <c r="IE413" s="120"/>
      <c r="IF413" s="120"/>
      <c r="IG413" s="120"/>
      <c r="IH413" s="120"/>
      <c r="II413" s="120"/>
      <c r="IJ413" s="120"/>
      <c r="IK413" s="120"/>
      <c r="IL413" s="120"/>
      <c r="IM413" s="120"/>
      <c r="IN413" s="120"/>
      <c r="IO413" s="120"/>
      <c r="IP413" s="120"/>
      <c r="IQ413" s="120"/>
      <c r="IR413" s="120"/>
      <c r="IS413" s="120"/>
      <c r="IT413" s="120"/>
      <c r="IU413" s="120"/>
      <c r="IV413" s="120"/>
      <c r="IW413" s="120"/>
      <c r="IX413" s="120"/>
      <c r="IY413" s="120"/>
      <c r="IZ413" s="120"/>
      <c r="JA413" s="120"/>
      <c r="JB413" s="120"/>
      <c r="JC413" s="120"/>
      <c r="JD413" s="120"/>
      <c r="JE413" s="120"/>
      <c r="JF413" s="120"/>
      <c r="JG413" s="120"/>
      <c r="JH413" s="120"/>
      <c r="JI413" s="120"/>
      <c r="JJ413" s="120"/>
      <c r="JK413" s="120"/>
      <c r="JL413" s="120"/>
      <c r="JM413" s="120"/>
      <c r="JN413" s="120"/>
      <c r="JO413" s="120"/>
      <c r="JP413" s="120"/>
      <c r="JQ413" s="120"/>
      <c r="JR413" s="120"/>
      <c r="JS413" s="120"/>
      <c r="JT413" s="120"/>
      <c r="JU413" s="120"/>
      <c r="JV413" s="120"/>
      <c r="JW413" s="120"/>
      <c r="JX413" s="120"/>
      <c r="JY413" s="120"/>
      <c r="JZ413" s="120"/>
      <c r="KA413" s="120"/>
      <c r="KB413" s="120"/>
      <c r="KC413" s="120"/>
      <c r="KD413" s="120"/>
      <c r="KE413" s="120"/>
      <c r="KF413" s="120"/>
      <c r="KG413" s="120"/>
      <c r="KH413" s="120"/>
      <c r="KI413" s="120"/>
      <c r="KJ413" s="120"/>
      <c r="KK413" s="120"/>
      <c r="KL413" s="120"/>
      <c r="KM413" s="120"/>
      <c r="KN413" s="120"/>
      <c r="KO413" s="120"/>
      <c r="KP413" s="120"/>
      <c r="KQ413" s="120"/>
      <c r="KR413" s="120"/>
      <c r="KS413" s="120"/>
      <c r="KT413" s="120"/>
      <c r="KU413" s="120"/>
      <c r="KV413" s="120"/>
      <c r="KW413" s="120"/>
      <c r="KX413" s="120"/>
      <c r="KY413" s="120"/>
      <c r="KZ413" s="120"/>
      <c r="LA413" s="120"/>
      <c r="LB413" s="120"/>
      <c r="LC413" s="120"/>
      <c r="LD413" s="120"/>
      <c r="LE413" s="120"/>
      <c r="LF413" s="120"/>
      <c r="LG413" s="120"/>
      <c r="LH413" s="120"/>
      <c r="LI413" s="120"/>
      <c r="LJ413" s="120"/>
      <c r="LK413" s="120"/>
      <c r="LL413" s="120"/>
      <c r="LM413" s="120"/>
      <c r="LN413" s="120"/>
      <c r="LO413" s="120"/>
      <c r="LP413" s="120"/>
      <c r="LQ413" s="120"/>
      <c r="LR413" s="120"/>
      <c r="LS413" s="120"/>
      <c r="LT413" s="120"/>
      <c r="LU413" s="120"/>
      <c r="LV413" s="120"/>
      <c r="LW413" s="120"/>
      <c r="LX413" s="120"/>
      <c r="LY413" s="120"/>
      <c r="LZ413" s="120"/>
      <c r="MA413" s="120"/>
      <c r="MB413" s="120"/>
      <c r="MC413" s="120"/>
      <c r="MD413" s="120"/>
      <c r="ME413" s="120"/>
      <c r="MF413" s="120"/>
      <c r="MG413" s="120"/>
      <c r="MH413" s="120"/>
      <c r="MI413" s="120"/>
      <c r="MJ413" s="120"/>
      <c r="MK413" s="120"/>
      <c r="ML413" s="120"/>
      <c r="MM413" s="120"/>
      <c r="MN413" s="120"/>
      <c r="MO413" s="120"/>
      <c r="MP413" s="120"/>
      <c r="MQ413" s="120"/>
      <c r="MR413" s="120"/>
      <c r="MS413" s="120"/>
      <c r="MT413" s="120"/>
      <c r="MU413" s="120"/>
      <c r="MV413" s="120"/>
      <c r="MW413" s="120"/>
      <c r="MX413" s="120"/>
      <c r="MY413" s="120"/>
      <c r="MZ413" s="120"/>
      <c r="NA413" s="120"/>
      <c r="NB413" s="120"/>
      <c r="NC413" s="120"/>
      <c r="ND413" s="120"/>
      <c r="NE413" s="120"/>
      <c r="NF413" s="120"/>
      <c r="NG413" s="120"/>
      <c r="NH413" s="120"/>
      <c r="NI413" s="120"/>
      <c r="NJ413" s="120"/>
      <c r="NK413" s="120"/>
      <c r="NL413" s="120"/>
      <c r="NM413" s="120"/>
      <c r="NN413" s="120"/>
      <c r="NO413" s="120"/>
      <c r="NP413" s="120"/>
      <c r="NQ413" s="120"/>
      <c r="NR413" s="120"/>
      <c r="NS413" s="120"/>
      <c r="NT413" s="120"/>
      <c r="NU413" s="120"/>
      <c r="NV413" s="120"/>
      <c r="NW413" s="120"/>
      <c r="NX413" s="120"/>
      <c r="NY413" s="120"/>
      <c r="NZ413" s="120"/>
      <c r="OA413" s="120"/>
      <c r="OB413" s="120"/>
      <c r="OC413" s="120"/>
      <c r="OD413" s="120"/>
      <c r="OE413" s="120"/>
      <c r="OF413" s="120"/>
      <c r="OG413" s="120"/>
      <c r="OH413" s="120"/>
      <c r="OI413" s="120"/>
      <c r="OJ413" s="120"/>
      <c r="OK413" s="120"/>
      <c r="OL413" s="120"/>
      <c r="OM413" s="120"/>
      <c r="ON413" s="120"/>
      <c r="OO413" s="120"/>
      <c r="OP413" s="120"/>
      <c r="OQ413" s="120"/>
      <c r="OR413" s="120"/>
      <c r="OS413" s="120"/>
      <c r="OT413" s="120"/>
      <c r="OU413" s="120"/>
      <c r="OV413" s="120"/>
      <c r="OW413" s="120"/>
      <c r="OX413" s="120"/>
      <c r="OY413" s="120"/>
      <c r="OZ413" s="120"/>
      <c r="PA413" s="120"/>
      <c r="PB413" s="120"/>
      <c r="PC413" s="120"/>
      <c r="PD413" s="120"/>
      <c r="PE413" s="120"/>
      <c r="PF413" s="120"/>
      <c r="PG413" s="120"/>
      <c r="PH413" s="120"/>
      <c r="PI413" s="120"/>
      <c r="PJ413" s="120"/>
      <c r="PK413" s="120"/>
      <c r="PL413" s="120"/>
      <c r="PM413" s="120"/>
      <c r="PN413" s="120"/>
      <c r="PO413" s="120"/>
      <c r="PP413" s="120"/>
      <c r="PQ413" s="120"/>
      <c r="PR413" s="120"/>
      <c r="PS413" s="120"/>
      <c r="PT413" s="120"/>
      <c r="PU413" s="120"/>
      <c r="PV413" s="120"/>
      <c r="PW413" s="120"/>
      <c r="PX413" s="120"/>
      <c r="PY413" s="120"/>
      <c r="PZ413" s="120"/>
      <c r="QA413" s="120"/>
      <c r="QB413" s="120"/>
      <c r="QC413" s="120"/>
      <c r="QD413" s="120"/>
      <c r="QE413" s="120"/>
      <c r="QF413" s="120"/>
      <c r="QG413" s="120"/>
      <c r="QH413" s="120"/>
      <c r="QI413" s="120"/>
      <c r="QJ413" s="120"/>
      <c r="QK413" s="120"/>
      <c r="QL413" s="120"/>
      <c r="QM413" s="120"/>
      <c r="QN413" s="120"/>
      <c r="QO413" s="120"/>
      <c r="QP413" s="120"/>
      <c r="QQ413" s="120"/>
      <c r="QR413" s="120"/>
      <c r="QS413" s="120"/>
      <c r="QT413" s="120"/>
      <c r="QU413" s="120"/>
      <c r="QV413" s="120"/>
      <c r="QW413" s="120"/>
      <c r="QX413" s="120"/>
      <c r="QY413" s="120"/>
      <c r="QZ413" s="120"/>
      <c r="RA413" s="120"/>
      <c r="RB413" s="120"/>
      <c r="RC413" s="120"/>
      <c r="RD413" s="120"/>
      <c r="RE413" s="120"/>
      <c r="RF413" s="120"/>
      <c r="RG413" s="120"/>
      <c r="RH413" s="120"/>
      <c r="RI413" s="120"/>
      <c r="RJ413" s="120"/>
      <c r="RK413" s="120"/>
      <c r="RL413" s="120"/>
      <c r="RM413" s="120"/>
      <c r="RN413" s="120"/>
      <c r="RO413" s="120"/>
      <c r="RP413" s="120"/>
      <c r="RQ413" s="120"/>
      <c r="RR413" s="120"/>
      <c r="RS413" s="120"/>
      <c r="RT413" s="120"/>
      <c r="RU413" s="120"/>
      <c r="RV413" s="120"/>
      <c r="RW413" s="120"/>
      <c r="RX413" s="120"/>
      <c r="RY413" s="120"/>
      <c r="RZ413" s="120"/>
      <c r="SA413" s="120"/>
      <c r="SB413" s="120"/>
      <c r="SC413" s="120"/>
      <c r="SD413" s="120"/>
      <c r="SE413" s="120"/>
      <c r="SF413" s="120"/>
      <c r="SG413" s="120"/>
      <c r="SH413" s="120"/>
      <c r="SI413" s="120"/>
      <c r="SJ413" s="120"/>
      <c r="SK413" s="120"/>
      <c r="SL413" s="120"/>
      <c r="SM413" s="120"/>
      <c r="SN413" s="120"/>
      <c r="SO413" s="120"/>
      <c r="SP413" s="120"/>
      <c r="SQ413" s="120"/>
      <c r="SR413" s="120"/>
      <c r="SS413" s="120"/>
      <c r="ST413" s="120"/>
      <c r="SU413" s="120"/>
      <c r="SV413" s="120"/>
      <c r="SW413" s="120"/>
      <c r="SX413" s="120"/>
      <c r="SY413" s="120"/>
      <c r="SZ413" s="120"/>
      <c r="TA413" s="120"/>
      <c r="TB413" s="120"/>
      <c r="TC413" s="120"/>
      <c r="TD413" s="120"/>
      <c r="TE413" s="120"/>
    </row>
    <row r="414" spans="1:525" s="121" customFormat="1" ht="47.25" x14ac:dyDescent="0.25">
      <c r="A414" s="117" t="s">
        <v>737</v>
      </c>
      <c r="B414" s="118" t="s">
        <v>117</v>
      </c>
      <c r="C414" s="118" t="s">
        <v>45</v>
      </c>
      <c r="D414" s="119" t="s">
        <v>472</v>
      </c>
      <c r="E414" s="81">
        <f t="shared" ref="E414" si="222">F414+I414</f>
        <v>741400</v>
      </c>
      <c r="F414" s="81">
        <v>741400</v>
      </c>
      <c r="G414" s="81">
        <v>560500</v>
      </c>
      <c r="H414" s="81">
        <v>9500</v>
      </c>
      <c r="I414" s="81"/>
      <c r="J414" s="81">
        <f>L414+O414</f>
        <v>0</v>
      </c>
      <c r="K414" s="81"/>
      <c r="L414" s="81"/>
      <c r="M414" s="81"/>
      <c r="N414" s="81"/>
      <c r="O414" s="81"/>
      <c r="P414" s="81">
        <f>E414+J414</f>
        <v>741400</v>
      </c>
      <c r="Q414" s="248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  <c r="EA414" s="120"/>
      <c r="EB414" s="120"/>
      <c r="EC414" s="120"/>
      <c r="ED414" s="120"/>
      <c r="EE414" s="120"/>
      <c r="EF414" s="120"/>
      <c r="EG414" s="120"/>
      <c r="EH414" s="120"/>
      <c r="EI414" s="120"/>
      <c r="EJ414" s="120"/>
      <c r="EK414" s="120"/>
      <c r="EL414" s="120"/>
      <c r="EM414" s="120"/>
      <c r="EN414" s="120"/>
      <c r="EO414" s="120"/>
      <c r="EP414" s="120"/>
      <c r="EQ414" s="120"/>
      <c r="ER414" s="120"/>
      <c r="ES414" s="120"/>
      <c r="ET414" s="120"/>
      <c r="EU414" s="120"/>
      <c r="EV414" s="120"/>
      <c r="EW414" s="120"/>
      <c r="EX414" s="120"/>
      <c r="EY414" s="120"/>
      <c r="EZ414" s="120"/>
      <c r="FA414" s="120"/>
      <c r="FB414" s="120"/>
      <c r="FC414" s="120"/>
      <c r="FD414" s="120"/>
      <c r="FE414" s="120"/>
      <c r="FF414" s="120"/>
      <c r="FG414" s="120"/>
      <c r="FH414" s="120"/>
      <c r="FI414" s="120"/>
      <c r="FJ414" s="120"/>
      <c r="FK414" s="120"/>
      <c r="FL414" s="120"/>
      <c r="FM414" s="120"/>
      <c r="FN414" s="120"/>
      <c r="FO414" s="120"/>
      <c r="FP414" s="120"/>
      <c r="FQ414" s="120"/>
      <c r="FR414" s="120"/>
      <c r="FS414" s="120"/>
      <c r="FT414" s="120"/>
      <c r="FU414" s="120"/>
      <c r="FV414" s="120"/>
      <c r="FW414" s="120"/>
      <c r="FX414" s="120"/>
      <c r="FY414" s="120"/>
      <c r="FZ414" s="120"/>
      <c r="GA414" s="120"/>
      <c r="GB414" s="120"/>
      <c r="GC414" s="120"/>
      <c r="GD414" s="120"/>
      <c r="GE414" s="120"/>
      <c r="GF414" s="120"/>
      <c r="GG414" s="120"/>
      <c r="GH414" s="120"/>
      <c r="GI414" s="120"/>
      <c r="GJ414" s="120"/>
      <c r="GK414" s="120"/>
      <c r="GL414" s="120"/>
      <c r="GM414" s="120"/>
      <c r="GN414" s="120"/>
      <c r="GO414" s="120"/>
      <c r="GP414" s="120"/>
      <c r="GQ414" s="120"/>
      <c r="GR414" s="120"/>
      <c r="GS414" s="120"/>
      <c r="GT414" s="120"/>
      <c r="GU414" s="120"/>
      <c r="GV414" s="120"/>
      <c r="GW414" s="120"/>
      <c r="GX414" s="120"/>
      <c r="GY414" s="120"/>
      <c r="GZ414" s="120"/>
      <c r="HA414" s="120"/>
      <c r="HB414" s="120"/>
      <c r="HC414" s="120"/>
      <c r="HD414" s="120"/>
      <c r="HE414" s="120"/>
      <c r="HF414" s="120"/>
      <c r="HG414" s="120"/>
      <c r="HH414" s="120"/>
      <c r="HI414" s="120"/>
      <c r="HJ414" s="120"/>
      <c r="HK414" s="120"/>
      <c r="HL414" s="120"/>
      <c r="HM414" s="120"/>
      <c r="HN414" s="120"/>
      <c r="HO414" s="120"/>
      <c r="HP414" s="120"/>
      <c r="HQ414" s="120"/>
      <c r="HR414" s="120"/>
      <c r="HS414" s="120"/>
      <c r="HT414" s="120"/>
      <c r="HU414" s="120"/>
      <c r="HV414" s="120"/>
      <c r="HW414" s="120"/>
      <c r="HX414" s="120"/>
      <c r="HY414" s="120"/>
      <c r="HZ414" s="120"/>
      <c r="IA414" s="120"/>
      <c r="IB414" s="120"/>
      <c r="IC414" s="120"/>
      <c r="ID414" s="120"/>
      <c r="IE414" s="120"/>
      <c r="IF414" s="120"/>
      <c r="IG414" s="120"/>
      <c r="IH414" s="120"/>
      <c r="II414" s="120"/>
      <c r="IJ414" s="120"/>
      <c r="IK414" s="120"/>
      <c r="IL414" s="120"/>
      <c r="IM414" s="120"/>
      <c r="IN414" s="120"/>
      <c r="IO414" s="120"/>
      <c r="IP414" s="120"/>
      <c r="IQ414" s="120"/>
      <c r="IR414" s="120"/>
      <c r="IS414" s="120"/>
      <c r="IT414" s="120"/>
      <c r="IU414" s="120"/>
      <c r="IV414" s="120"/>
      <c r="IW414" s="120"/>
      <c r="IX414" s="120"/>
      <c r="IY414" s="120"/>
      <c r="IZ414" s="120"/>
      <c r="JA414" s="120"/>
      <c r="JB414" s="120"/>
      <c r="JC414" s="120"/>
      <c r="JD414" s="120"/>
      <c r="JE414" s="120"/>
      <c r="JF414" s="120"/>
      <c r="JG414" s="120"/>
      <c r="JH414" s="120"/>
      <c r="JI414" s="120"/>
      <c r="JJ414" s="120"/>
      <c r="JK414" s="120"/>
      <c r="JL414" s="120"/>
      <c r="JM414" s="120"/>
      <c r="JN414" s="120"/>
      <c r="JO414" s="120"/>
      <c r="JP414" s="120"/>
      <c r="JQ414" s="120"/>
      <c r="JR414" s="120"/>
      <c r="JS414" s="120"/>
      <c r="JT414" s="120"/>
      <c r="JU414" s="120"/>
      <c r="JV414" s="120"/>
      <c r="JW414" s="120"/>
      <c r="JX414" s="120"/>
      <c r="JY414" s="120"/>
      <c r="JZ414" s="120"/>
      <c r="KA414" s="120"/>
      <c r="KB414" s="120"/>
      <c r="KC414" s="120"/>
      <c r="KD414" s="120"/>
      <c r="KE414" s="120"/>
      <c r="KF414" s="120"/>
      <c r="KG414" s="120"/>
      <c r="KH414" s="120"/>
      <c r="KI414" s="120"/>
      <c r="KJ414" s="120"/>
      <c r="KK414" s="120"/>
      <c r="KL414" s="120"/>
      <c r="KM414" s="120"/>
      <c r="KN414" s="120"/>
      <c r="KO414" s="120"/>
      <c r="KP414" s="120"/>
      <c r="KQ414" s="120"/>
      <c r="KR414" s="120"/>
      <c r="KS414" s="120"/>
      <c r="KT414" s="120"/>
      <c r="KU414" s="120"/>
      <c r="KV414" s="120"/>
      <c r="KW414" s="120"/>
      <c r="KX414" s="120"/>
      <c r="KY414" s="120"/>
      <c r="KZ414" s="120"/>
      <c r="LA414" s="120"/>
      <c r="LB414" s="120"/>
      <c r="LC414" s="120"/>
      <c r="LD414" s="120"/>
      <c r="LE414" s="120"/>
      <c r="LF414" s="120"/>
      <c r="LG414" s="120"/>
      <c r="LH414" s="120"/>
      <c r="LI414" s="120"/>
      <c r="LJ414" s="120"/>
      <c r="LK414" s="120"/>
      <c r="LL414" s="120"/>
      <c r="LM414" s="120"/>
      <c r="LN414" s="120"/>
      <c r="LO414" s="120"/>
      <c r="LP414" s="120"/>
      <c r="LQ414" s="120"/>
      <c r="LR414" s="120"/>
      <c r="LS414" s="120"/>
      <c r="LT414" s="120"/>
      <c r="LU414" s="120"/>
      <c r="LV414" s="120"/>
      <c r="LW414" s="120"/>
      <c r="LX414" s="120"/>
      <c r="LY414" s="120"/>
      <c r="LZ414" s="120"/>
      <c r="MA414" s="120"/>
      <c r="MB414" s="120"/>
      <c r="MC414" s="120"/>
      <c r="MD414" s="120"/>
      <c r="ME414" s="120"/>
      <c r="MF414" s="120"/>
      <c r="MG414" s="120"/>
      <c r="MH414" s="120"/>
      <c r="MI414" s="120"/>
      <c r="MJ414" s="120"/>
      <c r="MK414" s="120"/>
      <c r="ML414" s="120"/>
      <c r="MM414" s="120"/>
      <c r="MN414" s="120"/>
      <c r="MO414" s="120"/>
      <c r="MP414" s="120"/>
      <c r="MQ414" s="120"/>
      <c r="MR414" s="120"/>
      <c r="MS414" s="120"/>
      <c r="MT414" s="120"/>
      <c r="MU414" s="120"/>
      <c r="MV414" s="120"/>
      <c r="MW414" s="120"/>
      <c r="MX414" s="120"/>
      <c r="MY414" s="120"/>
      <c r="MZ414" s="120"/>
      <c r="NA414" s="120"/>
      <c r="NB414" s="120"/>
      <c r="NC414" s="120"/>
      <c r="ND414" s="120"/>
      <c r="NE414" s="120"/>
      <c r="NF414" s="120"/>
      <c r="NG414" s="120"/>
      <c r="NH414" s="120"/>
      <c r="NI414" s="120"/>
      <c r="NJ414" s="120"/>
      <c r="NK414" s="120"/>
      <c r="NL414" s="120"/>
      <c r="NM414" s="120"/>
      <c r="NN414" s="120"/>
      <c r="NO414" s="120"/>
      <c r="NP414" s="120"/>
      <c r="NQ414" s="120"/>
      <c r="NR414" s="120"/>
      <c r="NS414" s="120"/>
      <c r="NT414" s="120"/>
      <c r="NU414" s="120"/>
      <c r="NV414" s="120"/>
      <c r="NW414" s="120"/>
      <c r="NX414" s="120"/>
      <c r="NY414" s="120"/>
      <c r="NZ414" s="120"/>
      <c r="OA414" s="120"/>
      <c r="OB414" s="120"/>
      <c r="OC414" s="120"/>
      <c r="OD414" s="120"/>
      <c r="OE414" s="120"/>
      <c r="OF414" s="120"/>
      <c r="OG414" s="120"/>
      <c r="OH414" s="120"/>
      <c r="OI414" s="120"/>
      <c r="OJ414" s="120"/>
      <c r="OK414" s="120"/>
      <c r="OL414" s="120"/>
      <c r="OM414" s="120"/>
      <c r="ON414" s="120"/>
      <c r="OO414" s="120"/>
      <c r="OP414" s="120"/>
      <c r="OQ414" s="120"/>
      <c r="OR414" s="120"/>
      <c r="OS414" s="120"/>
      <c r="OT414" s="120"/>
      <c r="OU414" s="120"/>
      <c r="OV414" s="120"/>
      <c r="OW414" s="120"/>
      <c r="OX414" s="120"/>
      <c r="OY414" s="120"/>
      <c r="OZ414" s="120"/>
      <c r="PA414" s="120"/>
      <c r="PB414" s="120"/>
      <c r="PC414" s="120"/>
      <c r="PD414" s="120"/>
      <c r="PE414" s="120"/>
      <c r="PF414" s="120"/>
      <c r="PG414" s="120"/>
      <c r="PH414" s="120"/>
      <c r="PI414" s="120"/>
      <c r="PJ414" s="120"/>
      <c r="PK414" s="120"/>
      <c r="PL414" s="120"/>
      <c r="PM414" s="120"/>
      <c r="PN414" s="120"/>
      <c r="PO414" s="120"/>
      <c r="PP414" s="120"/>
      <c r="PQ414" s="120"/>
      <c r="PR414" s="120"/>
      <c r="PS414" s="120"/>
      <c r="PT414" s="120"/>
      <c r="PU414" s="120"/>
      <c r="PV414" s="120"/>
      <c r="PW414" s="120"/>
      <c r="PX414" s="120"/>
      <c r="PY414" s="120"/>
      <c r="PZ414" s="120"/>
      <c r="QA414" s="120"/>
      <c r="QB414" s="120"/>
      <c r="QC414" s="120"/>
      <c r="QD414" s="120"/>
      <c r="QE414" s="120"/>
      <c r="QF414" s="120"/>
      <c r="QG414" s="120"/>
      <c r="QH414" s="120"/>
      <c r="QI414" s="120"/>
      <c r="QJ414" s="120"/>
      <c r="QK414" s="120"/>
      <c r="QL414" s="120"/>
      <c r="QM414" s="120"/>
      <c r="QN414" s="120"/>
      <c r="QO414" s="120"/>
      <c r="QP414" s="120"/>
      <c r="QQ414" s="120"/>
      <c r="QR414" s="120"/>
      <c r="QS414" s="120"/>
      <c r="QT414" s="120"/>
      <c r="QU414" s="120"/>
      <c r="QV414" s="120"/>
      <c r="QW414" s="120"/>
      <c r="QX414" s="120"/>
      <c r="QY414" s="120"/>
      <c r="QZ414" s="120"/>
      <c r="RA414" s="120"/>
      <c r="RB414" s="120"/>
      <c r="RC414" s="120"/>
      <c r="RD414" s="120"/>
      <c r="RE414" s="120"/>
      <c r="RF414" s="120"/>
      <c r="RG414" s="120"/>
      <c r="RH414" s="120"/>
      <c r="RI414" s="120"/>
      <c r="RJ414" s="120"/>
      <c r="RK414" s="120"/>
      <c r="RL414" s="120"/>
      <c r="RM414" s="120"/>
      <c r="RN414" s="120"/>
      <c r="RO414" s="120"/>
      <c r="RP414" s="120"/>
      <c r="RQ414" s="120"/>
      <c r="RR414" s="120"/>
      <c r="RS414" s="120"/>
      <c r="RT414" s="120"/>
      <c r="RU414" s="120"/>
      <c r="RV414" s="120"/>
      <c r="RW414" s="120"/>
      <c r="RX414" s="120"/>
      <c r="RY414" s="120"/>
      <c r="RZ414" s="120"/>
      <c r="SA414" s="120"/>
      <c r="SB414" s="120"/>
      <c r="SC414" s="120"/>
      <c r="SD414" s="120"/>
      <c r="SE414" s="120"/>
      <c r="SF414" s="120"/>
      <c r="SG414" s="120"/>
      <c r="SH414" s="120"/>
      <c r="SI414" s="120"/>
      <c r="SJ414" s="120"/>
      <c r="SK414" s="120"/>
      <c r="SL414" s="120"/>
      <c r="SM414" s="120"/>
      <c r="SN414" s="120"/>
      <c r="SO414" s="120"/>
      <c r="SP414" s="120"/>
      <c r="SQ414" s="120"/>
      <c r="SR414" s="120"/>
      <c r="SS414" s="120"/>
      <c r="ST414" s="120"/>
      <c r="SU414" s="120"/>
      <c r="SV414" s="120"/>
      <c r="SW414" s="120"/>
      <c r="SX414" s="120"/>
      <c r="SY414" s="120"/>
      <c r="SZ414" s="120"/>
      <c r="TA414" s="120"/>
      <c r="TB414" s="120"/>
      <c r="TC414" s="120"/>
      <c r="TD414" s="120"/>
      <c r="TE414" s="120"/>
    </row>
    <row r="415" spans="1:525" s="111" customFormat="1" ht="22.5" customHeight="1" x14ac:dyDescent="0.25">
      <c r="A415" s="142"/>
      <c r="B415" s="148"/>
      <c r="C415" s="160"/>
      <c r="D415" s="138" t="s">
        <v>399</v>
      </c>
      <c r="E415" s="79">
        <f>E13+E65+E151+E192+E236+E245+E256+E321+E328+E358+E366+E373+E401+E324+E389+E381+E369+E412</f>
        <v>2973657837.4299998</v>
      </c>
      <c r="F415" s="79">
        <f t="shared" ref="F415:P415" si="223">F13+F65+F151+F192+F236+F245+F256+F321+F328+F358+F366+F373+F401+F324+F389+F381+F369+F412</f>
        <v>2811847972.5699997</v>
      </c>
      <c r="G415" s="79">
        <f t="shared" si="223"/>
        <v>1204383471.28</v>
      </c>
      <c r="H415" s="79">
        <f t="shared" si="223"/>
        <v>159331124.28999999</v>
      </c>
      <c r="I415" s="79">
        <f t="shared" si="223"/>
        <v>141829692</v>
      </c>
      <c r="J415" s="79">
        <f t="shared" si="223"/>
        <v>1623849573.9999998</v>
      </c>
      <c r="K415" s="79">
        <f t="shared" si="223"/>
        <v>1027711655.8199999</v>
      </c>
      <c r="L415" s="79">
        <f t="shared" si="223"/>
        <v>120531507.63</v>
      </c>
      <c r="M415" s="79">
        <f t="shared" si="223"/>
        <v>9145692</v>
      </c>
      <c r="N415" s="79">
        <f t="shared" si="223"/>
        <v>6561045</v>
      </c>
      <c r="O415" s="79">
        <f t="shared" si="223"/>
        <v>1503318066.3699999</v>
      </c>
      <c r="P415" s="79">
        <f t="shared" si="223"/>
        <v>4597507411.4300003</v>
      </c>
      <c r="Q415" s="259">
        <v>23</v>
      </c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  <c r="IV415" s="110"/>
      <c r="IW415" s="110"/>
      <c r="IX415" s="110"/>
      <c r="IY415" s="110"/>
      <c r="IZ415" s="110"/>
      <c r="JA415" s="110"/>
      <c r="JB415" s="110"/>
      <c r="JC415" s="110"/>
      <c r="JD415" s="110"/>
      <c r="JE415" s="110"/>
      <c r="JF415" s="110"/>
      <c r="JG415" s="110"/>
      <c r="JH415" s="110"/>
      <c r="JI415" s="110"/>
      <c r="JJ415" s="110"/>
      <c r="JK415" s="110"/>
      <c r="JL415" s="110"/>
      <c r="JM415" s="110"/>
      <c r="JN415" s="110"/>
      <c r="JO415" s="110"/>
      <c r="JP415" s="110"/>
      <c r="JQ415" s="110"/>
      <c r="JR415" s="110"/>
      <c r="JS415" s="110"/>
      <c r="JT415" s="110"/>
      <c r="JU415" s="110"/>
      <c r="JV415" s="110"/>
      <c r="JW415" s="110"/>
      <c r="JX415" s="110"/>
      <c r="JY415" s="110"/>
      <c r="JZ415" s="110"/>
      <c r="KA415" s="110"/>
      <c r="KB415" s="110"/>
      <c r="KC415" s="110"/>
      <c r="KD415" s="110"/>
      <c r="KE415" s="110"/>
      <c r="KF415" s="110"/>
      <c r="KG415" s="110"/>
      <c r="KH415" s="110"/>
      <c r="KI415" s="110"/>
      <c r="KJ415" s="110"/>
      <c r="KK415" s="110"/>
      <c r="KL415" s="110"/>
      <c r="KM415" s="110"/>
      <c r="KN415" s="110"/>
      <c r="KO415" s="110"/>
      <c r="KP415" s="110"/>
      <c r="KQ415" s="110"/>
      <c r="KR415" s="110"/>
      <c r="KS415" s="110"/>
      <c r="KT415" s="110"/>
      <c r="KU415" s="110"/>
      <c r="KV415" s="110"/>
      <c r="KW415" s="110"/>
      <c r="KX415" s="110"/>
      <c r="KY415" s="110"/>
      <c r="KZ415" s="110"/>
      <c r="LA415" s="110"/>
      <c r="LB415" s="110"/>
      <c r="LC415" s="110"/>
      <c r="LD415" s="110"/>
      <c r="LE415" s="110"/>
      <c r="LF415" s="110"/>
      <c r="LG415" s="110"/>
      <c r="LH415" s="110"/>
      <c r="LI415" s="110"/>
      <c r="LJ415" s="110"/>
      <c r="LK415" s="110"/>
      <c r="LL415" s="110"/>
      <c r="LM415" s="110"/>
      <c r="LN415" s="110"/>
      <c r="LO415" s="110"/>
      <c r="LP415" s="110"/>
      <c r="LQ415" s="110"/>
      <c r="LR415" s="110"/>
      <c r="LS415" s="110"/>
      <c r="LT415" s="110"/>
      <c r="LU415" s="110"/>
      <c r="LV415" s="110"/>
      <c r="LW415" s="110"/>
      <c r="LX415" s="110"/>
      <c r="LY415" s="110"/>
      <c r="LZ415" s="110"/>
      <c r="MA415" s="110"/>
      <c r="MB415" s="110"/>
      <c r="MC415" s="110"/>
      <c r="MD415" s="110"/>
      <c r="ME415" s="110"/>
      <c r="MF415" s="110"/>
      <c r="MG415" s="110"/>
      <c r="MH415" s="110"/>
      <c r="MI415" s="110"/>
      <c r="MJ415" s="110"/>
      <c r="MK415" s="110"/>
      <c r="ML415" s="110"/>
      <c r="MM415" s="110"/>
      <c r="MN415" s="110"/>
      <c r="MO415" s="110"/>
      <c r="MP415" s="110"/>
      <c r="MQ415" s="110"/>
      <c r="MR415" s="110"/>
      <c r="MS415" s="110"/>
      <c r="MT415" s="110"/>
      <c r="MU415" s="110"/>
      <c r="MV415" s="110"/>
      <c r="MW415" s="110"/>
      <c r="MX415" s="110"/>
      <c r="MY415" s="110"/>
      <c r="MZ415" s="110"/>
      <c r="NA415" s="110"/>
      <c r="NB415" s="110"/>
      <c r="NC415" s="110"/>
      <c r="ND415" s="110"/>
      <c r="NE415" s="110"/>
      <c r="NF415" s="110"/>
      <c r="NG415" s="110"/>
      <c r="NH415" s="110"/>
      <c r="NI415" s="110"/>
      <c r="NJ415" s="110"/>
      <c r="NK415" s="110"/>
      <c r="NL415" s="110"/>
      <c r="NM415" s="110"/>
      <c r="NN415" s="110"/>
      <c r="NO415" s="110"/>
      <c r="NP415" s="110"/>
      <c r="NQ415" s="110"/>
      <c r="NR415" s="110"/>
      <c r="NS415" s="110"/>
      <c r="NT415" s="110"/>
      <c r="NU415" s="110"/>
      <c r="NV415" s="110"/>
      <c r="NW415" s="110"/>
      <c r="NX415" s="110"/>
      <c r="NY415" s="110"/>
      <c r="NZ415" s="110"/>
      <c r="OA415" s="110"/>
      <c r="OB415" s="110"/>
      <c r="OC415" s="110"/>
      <c r="OD415" s="110"/>
      <c r="OE415" s="110"/>
      <c r="OF415" s="110"/>
      <c r="OG415" s="110"/>
      <c r="OH415" s="110"/>
      <c r="OI415" s="110"/>
      <c r="OJ415" s="110"/>
      <c r="OK415" s="110"/>
      <c r="OL415" s="110"/>
      <c r="OM415" s="110"/>
      <c r="ON415" s="110"/>
      <c r="OO415" s="110"/>
      <c r="OP415" s="110"/>
      <c r="OQ415" s="110"/>
      <c r="OR415" s="110"/>
      <c r="OS415" s="110"/>
      <c r="OT415" s="110"/>
      <c r="OU415" s="110"/>
      <c r="OV415" s="110"/>
      <c r="OW415" s="110"/>
      <c r="OX415" s="110"/>
      <c r="OY415" s="110"/>
      <c r="OZ415" s="110"/>
      <c r="PA415" s="110"/>
      <c r="PB415" s="110"/>
      <c r="PC415" s="110"/>
      <c r="PD415" s="110"/>
      <c r="PE415" s="110"/>
      <c r="PF415" s="110"/>
      <c r="PG415" s="110"/>
      <c r="PH415" s="110"/>
      <c r="PI415" s="110"/>
      <c r="PJ415" s="110"/>
      <c r="PK415" s="110"/>
      <c r="PL415" s="110"/>
      <c r="PM415" s="110"/>
      <c r="PN415" s="110"/>
      <c r="PO415" s="110"/>
      <c r="PP415" s="110"/>
      <c r="PQ415" s="110"/>
      <c r="PR415" s="110"/>
      <c r="PS415" s="110"/>
      <c r="PT415" s="110"/>
      <c r="PU415" s="110"/>
      <c r="PV415" s="110"/>
      <c r="PW415" s="110"/>
      <c r="PX415" s="110"/>
      <c r="PY415" s="110"/>
      <c r="PZ415" s="110"/>
      <c r="QA415" s="110"/>
      <c r="QB415" s="110"/>
      <c r="QC415" s="110"/>
      <c r="QD415" s="110"/>
      <c r="QE415" s="110"/>
      <c r="QF415" s="110"/>
      <c r="QG415" s="110"/>
      <c r="QH415" s="110"/>
      <c r="QI415" s="110"/>
      <c r="QJ415" s="110"/>
      <c r="QK415" s="110"/>
      <c r="QL415" s="110"/>
      <c r="QM415" s="110"/>
      <c r="QN415" s="110"/>
      <c r="QO415" s="110"/>
      <c r="QP415" s="110"/>
      <c r="QQ415" s="110"/>
      <c r="QR415" s="110"/>
      <c r="QS415" s="110"/>
      <c r="QT415" s="110"/>
      <c r="QU415" s="110"/>
      <c r="QV415" s="110"/>
      <c r="QW415" s="110"/>
      <c r="QX415" s="110"/>
      <c r="QY415" s="110"/>
      <c r="QZ415" s="110"/>
      <c r="RA415" s="110"/>
      <c r="RB415" s="110"/>
      <c r="RC415" s="110"/>
      <c r="RD415" s="110"/>
      <c r="RE415" s="110"/>
      <c r="RF415" s="110"/>
      <c r="RG415" s="110"/>
      <c r="RH415" s="110"/>
      <c r="RI415" s="110"/>
      <c r="RJ415" s="110"/>
      <c r="RK415" s="110"/>
      <c r="RL415" s="110"/>
      <c r="RM415" s="110"/>
      <c r="RN415" s="110"/>
      <c r="RO415" s="110"/>
      <c r="RP415" s="110"/>
      <c r="RQ415" s="110"/>
      <c r="RR415" s="110"/>
      <c r="RS415" s="110"/>
      <c r="RT415" s="110"/>
      <c r="RU415" s="110"/>
      <c r="RV415" s="110"/>
      <c r="RW415" s="110"/>
      <c r="RX415" s="110"/>
      <c r="RY415" s="110"/>
      <c r="RZ415" s="110"/>
      <c r="SA415" s="110"/>
      <c r="SB415" s="110"/>
      <c r="SC415" s="110"/>
      <c r="SD415" s="110"/>
      <c r="SE415" s="110"/>
      <c r="SF415" s="110"/>
      <c r="SG415" s="110"/>
      <c r="SH415" s="110"/>
      <c r="SI415" s="110"/>
      <c r="SJ415" s="110"/>
      <c r="SK415" s="110"/>
      <c r="SL415" s="110"/>
      <c r="SM415" s="110"/>
      <c r="SN415" s="110"/>
      <c r="SO415" s="110"/>
      <c r="SP415" s="110"/>
      <c r="SQ415" s="110"/>
      <c r="SR415" s="110"/>
      <c r="SS415" s="110"/>
      <c r="ST415" s="110"/>
      <c r="SU415" s="110"/>
      <c r="SV415" s="110"/>
      <c r="SW415" s="110"/>
      <c r="SX415" s="110"/>
      <c r="SY415" s="110"/>
      <c r="SZ415" s="110"/>
      <c r="TA415" s="110"/>
      <c r="TB415" s="110"/>
      <c r="TC415" s="110"/>
      <c r="TD415" s="110"/>
      <c r="TE415" s="110"/>
    </row>
    <row r="416" spans="1:525" s="116" customFormat="1" ht="30.75" customHeight="1" x14ac:dyDescent="0.25">
      <c r="A416" s="112"/>
      <c r="B416" s="141"/>
      <c r="C416" s="113"/>
      <c r="D416" s="114" t="s">
        <v>394</v>
      </c>
      <c r="E416" s="80">
        <f t="shared" ref="E416:P416" si="224">E67+E69+E76+E330+E265</f>
        <v>473819800</v>
      </c>
      <c r="F416" s="80">
        <f t="shared" si="224"/>
        <v>473819800</v>
      </c>
      <c r="G416" s="80">
        <f t="shared" si="224"/>
        <v>389369340</v>
      </c>
      <c r="H416" s="80">
        <f t="shared" si="224"/>
        <v>0</v>
      </c>
      <c r="I416" s="80">
        <f t="shared" si="224"/>
        <v>0</v>
      </c>
      <c r="J416" s="80">
        <f t="shared" si="224"/>
        <v>400008554.01999998</v>
      </c>
      <c r="K416" s="80">
        <f t="shared" si="224"/>
        <v>8554.02</v>
      </c>
      <c r="L416" s="80">
        <f t="shared" si="224"/>
        <v>0</v>
      </c>
      <c r="M416" s="80">
        <f t="shared" si="224"/>
        <v>0</v>
      </c>
      <c r="N416" s="80">
        <f t="shared" si="224"/>
        <v>0</v>
      </c>
      <c r="O416" s="80">
        <f t="shared" si="224"/>
        <v>400008554.01999998</v>
      </c>
      <c r="P416" s="80">
        <f t="shared" si="224"/>
        <v>873828354.01999998</v>
      </c>
      <c r="Q416" s="259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  <c r="HE416" s="115"/>
      <c r="HF416" s="115"/>
      <c r="HG416" s="115"/>
      <c r="HH416" s="115"/>
      <c r="HI416" s="115"/>
      <c r="HJ416" s="115"/>
      <c r="HK416" s="115"/>
      <c r="HL416" s="115"/>
      <c r="HM416" s="115"/>
      <c r="HN416" s="115"/>
      <c r="HO416" s="115"/>
      <c r="HP416" s="115"/>
      <c r="HQ416" s="115"/>
      <c r="HR416" s="115"/>
      <c r="HS416" s="115"/>
      <c r="HT416" s="115"/>
      <c r="HU416" s="115"/>
      <c r="HV416" s="115"/>
      <c r="HW416" s="115"/>
      <c r="HX416" s="115"/>
      <c r="HY416" s="115"/>
      <c r="HZ416" s="115"/>
      <c r="IA416" s="115"/>
      <c r="IB416" s="115"/>
      <c r="IC416" s="115"/>
      <c r="ID416" s="115"/>
      <c r="IE416" s="115"/>
      <c r="IF416" s="115"/>
      <c r="IG416" s="115"/>
      <c r="IH416" s="115"/>
      <c r="II416" s="115"/>
      <c r="IJ416" s="115"/>
      <c r="IK416" s="115"/>
      <c r="IL416" s="115"/>
      <c r="IM416" s="115"/>
      <c r="IN416" s="115"/>
      <c r="IO416" s="115"/>
      <c r="IP416" s="115"/>
      <c r="IQ416" s="115"/>
      <c r="IR416" s="115"/>
      <c r="IS416" s="115"/>
      <c r="IT416" s="115"/>
      <c r="IU416" s="115"/>
      <c r="IV416" s="115"/>
      <c r="IW416" s="115"/>
      <c r="IX416" s="115"/>
      <c r="IY416" s="115"/>
      <c r="IZ416" s="115"/>
      <c r="JA416" s="115"/>
      <c r="JB416" s="115"/>
      <c r="JC416" s="115"/>
      <c r="JD416" s="115"/>
      <c r="JE416" s="115"/>
      <c r="JF416" s="115"/>
      <c r="JG416" s="115"/>
      <c r="JH416" s="115"/>
      <c r="JI416" s="115"/>
      <c r="JJ416" s="115"/>
      <c r="JK416" s="115"/>
      <c r="JL416" s="115"/>
      <c r="JM416" s="115"/>
      <c r="JN416" s="115"/>
      <c r="JO416" s="115"/>
      <c r="JP416" s="115"/>
      <c r="JQ416" s="115"/>
      <c r="JR416" s="115"/>
      <c r="JS416" s="115"/>
      <c r="JT416" s="115"/>
      <c r="JU416" s="115"/>
      <c r="JV416" s="115"/>
      <c r="JW416" s="115"/>
      <c r="JX416" s="115"/>
      <c r="JY416" s="115"/>
      <c r="JZ416" s="115"/>
      <c r="KA416" s="115"/>
      <c r="KB416" s="115"/>
      <c r="KC416" s="115"/>
      <c r="KD416" s="115"/>
      <c r="KE416" s="115"/>
      <c r="KF416" s="115"/>
      <c r="KG416" s="115"/>
      <c r="KH416" s="115"/>
      <c r="KI416" s="115"/>
      <c r="KJ416" s="115"/>
      <c r="KK416" s="115"/>
      <c r="KL416" s="115"/>
      <c r="KM416" s="115"/>
      <c r="KN416" s="115"/>
      <c r="KO416" s="115"/>
      <c r="KP416" s="115"/>
      <c r="KQ416" s="115"/>
      <c r="KR416" s="115"/>
      <c r="KS416" s="115"/>
      <c r="KT416" s="115"/>
      <c r="KU416" s="115"/>
      <c r="KV416" s="115"/>
      <c r="KW416" s="115"/>
      <c r="KX416" s="115"/>
      <c r="KY416" s="115"/>
      <c r="KZ416" s="115"/>
      <c r="LA416" s="115"/>
      <c r="LB416" s="115"/>
      <c r="LC416" s="115"/>
      <c r="LD416" s="115"/>
      <c r="LE416" s="115"/>
      <c r="LF416" s="115"/>
      <c r="LG416" s="115"/>
      <c r="LH416" s="115"/>
      <c r="LI416" s="115"/>
      <c r="LJ416" s="115"/>
      <c r="LK416" s="115"/>
      <c r="LL416" s="115"/>
      <c r="LM416" s="115"/>
      <c r="LN416" s="115"/>
      <c r="LO416" s="115"/>
      <c r="LP416" s="115"/>
      <c r="LQ416" s="115"/>
      <c r="LR416" s="115"/>
      <c r="LS416" s="115"/>
      <c r="LT416" s="115"/>
      <c r="LU416" s="115"/>
      <c r="LV416" s="115"/>
      <c r="LW416" s="115"/>
      <c r="LX416" s="115"/>
      <c r="LY416" s="115"/>
      <c r="LZ416" s="115"/>
      <c r="MA416" s="115"/>
      <c r="MB416" s="115"/>
      <c r="MC416" s="115"/>
      <c r="MD416" s="115"/>
      <c r="ME416" s="115"/>
      <c r="MF416" s="115"/>
      <c r="MG416" s="115"/>
      <c r="MH416" s="115"/>
      <c r="MI416" s="115"/>
      <c r="MJ416" s="115"/>
      <c r="MK416" s="115"/>
      <c r="ML416" s="115"/>
      <c r="MM416" s="115"/>
      <c r="MN416" s="115"/>
      <c r="MO416" s="115"/>
      <c r="MP416" s="115"/>
      <c r="MQ416" s="115"/>
      <c r="MR416" s="115"/>
      <c r="MS416" s="115"/>
      <c r="MT416" s="115"/>
      <c r="MU416" s="115"/>
      <c r="MV416" s="115"/>
      <c r="MW416" s="115"/>
      <c r="MX416" s="115"/>
      <c r="MY416" s="115"/>
      <c r="MZ416" s="115"/>
      <c r="NA416" s="115"/>
      <c r="NB416" s="115"/>
      <c r="NC416" s="115"/>
      <c r="ND416" s="115"/>
      <c r="NE416" s="115"/>
      <c r="NF416" s="115"/>
      <c r="NG416" s="115"/>
      <c r="NH416" s="115"/>
      <c r="NI416" s="115"/>
      <c r="NJ416" s="115"/>
      <c r="NK416" s="115"/>
      <c r="NL416" s="115"/>
      <c r="NM416" s="115"/>
      <c r="NN416" s="115"/>
      <c r="NO416" s="115"/>
      <c r="NP416" s="115"/>
      <c r="NQ416" s="115"/>
      <c r="NR416" s="115"/>
      <c r="NS416" s="115"/>
      <c r="NT416" s="115"/>
      <c r="NU416" s="115"/>
      <c r="NV416" s="115"/>
      <c r="NW416" s="115"/>
      <c r="NX416" s="115"/>
      <c r="NY416" s="115"/>
      <c r="NZ416" s="115"/>
      <c r="OA416" s="115"/>
      <c r="OB416" s="115"/>
      <c r="OC416" s="115"/>
      <c r="OD416" s="115"/>
      <c r="OE416" s="115"/>
      <c r="OF416" s="115"/>
      <c r="OG416" s="115"/>
      <c r="OH416" s="115"/>
      <c r="OI416" s="115"/>
      <c r="OJ416" s="115"/>
      <c r="OK416" s="115"/>
      <c r="OL416" s="115"/>
      <c r="OM416" s="115"/>
      <c r="ON416" s="115"/>
      <c r="OO416" s="115"/>
      <c r="OP416" s="115"/>
      <c r="OQ416" s="115"/>
      <c r="OR416" s="115"/>
      <c r="OS416" s="115"/>
      <c r="OT416" s="115"/>
      <c r="OU416" s="115"/>
      <c r="OV416" s="115"/>
      <c r="OW416" s="115"/>
      <c r="OX416" s="115"/>
      <c r="OY416" s="115"/>
      <c r="OZ416" s="115"/>
      <c r="PA416" s="115"/>
      <c r="PB416" s="115"/>
      <c r="PC416" s="115"/>
      <c r="PD416" s="115"/>
      <c r="PE416" s="115"/>
      <c r="PF416" s="115"/>
      <c r="PG416" s="115"/>
      <c r="PH416" s="115"/>
      <c r="PI416" s="115"/>
      <c r="PJ416" s="115"/>
      <c r="PK416" s="115"/>
      <c r="PL416" s="115"/>
      <c r="PM416" s="115"/>
      <c r="PN416" s="115"/>
      <c r="PO416" s="115"/>
      <c r="PP416" s="115"/>
      <c r="PQ416" s="115"/>
      <c r="PR416" s="115"/>
      <c r="PS416" s="115"/>
      <c r="PT416" s="115"/>
      <c r="PU416" s="115"/>
      <c r="PV416" s="115"/>
      <c r="PW416" s="115"/>
      <c r="PX416" s="115"/>
      <c r="PY416" s="115"/>
      <c r="PZ416" s="115"/>
      <c r="QA416" s="115"/>
      <c r="QB416" s="115"/>
      <c r="QC416" s="115"/>
      <c r="QD416" s="115"/>
      <c r="QE416" s="115"/>
      <c r="QF416" s="115"/>
      <c r="QG416" s="115"/>
      <c r="QH416" s="115"/>
      <c r="QI416" s="115"/>
      <c r="QJ416" s="115"/>
      <c r="QK416" s="115"/>
      <c r="QL416" s="115"/>
      <c r="QM416" s="115"/>
      <c r="QN416" s="115"/>
      <c r="QO416" s="115"/>
      <c r="QP416" s="115"/>
      <c r="QQ416" s="115"/>
      <c r="QR416" s="115"/>
      <c r="QS416" s="115"/>
      <c r="QT416" s="115"/>
      <c r="QU416" s="115"/>
      <c r="QV416" s="115"/>
      <c r="QW416" s="115"/>
      <c r="QX416" s="115"/>
      <c r="QY416" s="115"/>
      <c r="QZ416" s="115"/>
      <c r="RA416" s="115"/>
      <c r="RB416" s="115"/>
      <c r="RC416" s="115"/>
      <c r="RD416" s="115"/>
      <c r="RE416" s="115"/>
      <c r="RF416" s="115"/>
      <c r="RG416" s="115"/>
      <c r="RH416" s="115"/>
      <c r="RI416" s="115"/>
      <c r="RJ416" s="115"/>
      <c r="RK416" s="115"/>
      <c r="RL416" s="115"/>
      <c r="RM416" s="115"/>
      <c r="RN416" s="115"/>
      <c r="RO416" s="115"/>
      <c r="RP416" s="115"/>
      <c r="RQ416" s="115"/>
      <c r="RR416" s="115"/>
      <c r="RS416" s="115"/>
      <c r="RT416" s="115"/>
      <c r="RU416" s="115"/>
      <c r="RV416" s="115"/>
      <c r="RW416" s="115"/>
      <c r="RX416" s="115"/>
      <c r="RY416" s="115"/>
      <c r="RZ416" s="115"/>
      <c r="SA416" s="115"/>
      <c r="SB416" s="115"/>
      <c r="SC416" s="115"/>
      <c r="SD416" s="115"/>
      <c r="SE416" s="115"/>
      <c r="SF416" s="115"/>
      <c r="SG416" s="115"/>
      <c r="SH416" s="115"/>
      <c r="SI416" s="115"/>
      <c r="SJ416" s="115"/>
      <c r="SK416" s="115"/>
      <c r="SL416" s="115"/>
      <c r="SM416" s="115"/>
      <c r="SN416" s="115"/>
      <c r="SO416" s="115"/>
      <c r="SP416" s="115"/>
      <c r="SQ416" s="115"/>
      <c r="SR416" s="115"/>
      <c r="SS416" s="115"/>
      <c r="ST416" s="115"/>
      <c r="SU416" s="115"/>
      <c r="SV416" s="115"/>
      <c r="SW416" s="115"/>
      <c r="SX416" s="115"/>
      <c r="SY416" s="115"/>
      <c r="SZ416" s="115"/>
      <c r="TA416" s="115"/>
      <c r="TB416" s="115"/>
      <c r="TC416" s="115"/>
      <c r="TD416" s="115"/>
      <c r="TE416" s="115"/>
    </row>
    <row r="417" spans="1:525" s="116" customFormat="1" ht="32.25" customHeight="1" x14ac:dyDescent="0.25">
      <c r="A417" s="112"/>
      <c r="B417" s="141"/>
      <c r="C417" s="113"/>
      <c r="D417" s="114" t="s">
        <v>395</v>
      </c>
      <c r="E417" s="80">
        <f t="shared" ref="E417:P417" si="225">E15+E70+E71+E72+E196+E153+E194+E197+E195+E78+E331+E258+E79+E266+E80+E81+E159</f>
        <v>9996264.8299999982</v>
      </c>
      <c r="F417" s="80">
        <f t="shared" si="225"/>
        <v>9996264.8299999982</v>
      </c>
      <c r="G417" s="80">
        <f t="shared" si="225"/>
        <v>3469886</v>
      </c>
      <c r="H417" s="80">
        <f t="shared" si="225"/>
        <v>0</v>
      </c>
      <c r="I417" s="80">
        <f t="shared" si="225"/>
        <v>0</v>
      </c>
      <c r="J417" s="80">
        <f t="shared" si="225"/>
        <v>152218291.78999999</v>
      </c>
      <c r="K417" s="80">
        <f t="shared" si="225"/>
        <v>64276123.789999999</v>
      </c>
      <c r="L417" s="80">
        <f t="shared" si="225"/>
        <v>18531428</v>
      </c>
      <c r="M417" s="80">
        <f t="shared" si="225"/>
        <v>0</v>
      </c>
      <c r="N417" s="80">
        <f t="shared" si="225"/>
        <v>0</v>
      </c>
      <c r="O417" s="80">
        <f t="shared" si="225"/>
        <v>133686863.78999999</v>
      </c>
      <c r="P417" s="80">
        <f t="shared" si="225"/>
        <v>162214556.62</v>
      </c>
      <c r="Q417" s="259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/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/>
      <c r="IE417" s="115"/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/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/>
      <c r="JF417" s="115"/>
      <c r="JG417" s="115"/>
      <c r="JH417" s="115"/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5"/>
      <c r="JV417" s="115"/>
      <c r="JW417" s="115"/>
      <c r="JX417" s="115"/>
      <c r="JY417" s="115"/>
      <c r="JZ417" s="115"/>
      <c r="KA417" s="115"/>
      <c r="KB417" s="115"/>
      <c r="KC417" s="115"/>
      <c r="KD417" s="115"/>
      <c r="KE417" s="115"/>
      <c r="KF417" s="115"/>
      <c r="KG417" s="115"/>
      <c r="KH417" s="115"/>
      <c r="KI417" s="115"/>
      <c r="KJ417" s="115"/>
      <c r="KK417" s="115"/>
      <c r="KL417" s="115"/>
      <c r="KM417" s="115"/>
      <c r="KN417" s="115"/>
      <c r="KO417" s="115"/>
      <c r="KP417" s="115"/>
      <c r="KQ417" s="115"/>
      <c r="KR417" s="115"/>
      <c r="KS417" s="115"/>
      <c r="KT417" s="115"/>
      <c r="KU417" s="115"/>
      <c r="KV417" s="115"/>
      <c r="KW417" s="115"/>
      <c r="KX417" s="115"/>
      <c r="KY417" s="115"/>
      <c r="KZ417" s="115"/>
      <c r="LA417" s="115"/>
      <c r="LB417" s="115"/>
      <c r="LC417" s="115"/>
      <c r="LD417" s="115"/>
      <c r="LE417" s="115"/>
      <c r="LF417" s="115"/>
      <c r="LG417" s="115"/>
      <c r="LH417" s="115"/>
      <c r="LI417" s="115"/>
      <c r="LJ417" s="115"/>
      <c r="LK417" s="115"/>
      <c r="LL417" s="115"/>
      <c r="LM417" s="115"/>
      <c r="LN417" s="115"/>
      <c r="LO417" s="115"/>
      <c r="LP417" s="115"/>
      <c r="LQ417" s="115"/>
      <c r="LR417" s="115"/>
      <c r="LS417" s="115"/>
      <c r="LT417" s="115"/>
      <c r="LU417" s="115"/>
      <c r="LV417" s="115"/>
      <c r="LW417" s="115"/>
      <c r="LX417" s="115"/>
      <c r="LY417" s="115"/>
      <c r="LZ417" s="115"/>
      <c r="MA417" s="115"/>
      <c r="MB417" s="115"/>
      <c r="MC417" s="115"/>
      <c r="MD417" s="115"/>
      <c r="ME417" s="115"/>
      <c r="MF417" s="115"/>
      <c r="MG417" s="115"/>
      <c r="MH417" s="115"/>
      <c r="MI417" s="115"/>
      <c r="MJ417" s="115"/>
      <c r="MK417" s="115"/>
      <c r="ML417" s="115"/>
      <c r="MM417" s="115"/>
      <c r="MN417" s="115"/>
      <c r="MO417" s="115"/>
      <c r="MP417" s="115"/>
      <c r="MQ417" s="115"/>
      <c r="MR417" s="115"/>
      <c r="MS417" s="115"/>
      <c r="MT417" s="115"/>
      <c r="MU417" s="115"/>
      <c r="MV417" s="115"/>
      <c r="MW417" s="115"/>
      <c r="MX417" s="115"/>
      <c r="MY417" s="115"/>
      <c r="MZ417" s="115"/>
      <c r="NA417" s="115"/>
      <c r="NB417" s="115"/>
      <c r="NC417" s="115"/>
      <c r="ND417" s="115"/>
      <c r="NE417" s="115"/>
      <c r="NF417" s="115"/>
      <c r="NG417" s="115"/>
      <c r="NH417" s="115"/>
      <c r="NI417" s="115"/>
      <c r="NJ417" s="115"/>
      <c r="NK417" s="115"/>
      <c r="NL417" s="115"/>
      <c r="NM417" s="115"/>
      <c r="NN417" s="115"/>
      <c r="NO417" s="115"/>
      <c r="NP417" s="115"/>
      <c r="NQ417" s="115"/>
      <c r="NR417" s="115"/>
      <c r="NS417" s="115"/>
      <c r="NT417" s="115"/>
      <c r="NU417" s="115"/>
      <c r="NV417" s="115"/>
      <c r="NW417" s="115"/>
      <c r="NX417" s="115"/>
      <c r="NY417" s="115"/>
      <c r="NZ417" s="115"/>
      <c r="OA417" s="115"/>
      <c r="OB417" s="115"/>
      <c r="OC417" s="115"/>
      <c r="OD417" s="115"/>
      <c r="OE417" s="115"/>
      <c r="OF417" s="115"/>
      <c r="OG417" s="115"/>
      <c r="OH417" s="115"/>
      <c r="OI417" s="115"/>
      <c r="OJ417" s="115"/>
      <c r="OK417" s="115"/>
      <c r="OL417" s="115"/>
      <c r="OM417" s="115"/>
      <c r="ON417" s="115"/>
      <c r="OO417" s="115"/>
      <c r="OP417" s="115"/>
      <c r="OQ417" s="115"/>
      <c r="OR417" s="115"/>
      <c r="OS417" s="115"/>
      <c r="OT417" s="115"/>
      <c r="OU417" s="115"/>
      <c r="OV417" s="115"/>
      <c r="OW417" s="115"/>
      <c r="OX417" s="115"/>
      <c r="OY417" s="115"/>
      <c r="OZ417" s="115"/>
      <c r="PA417" s="115"/>
      <c r="PB417" s="115"/>
      <c r="PC417" s="115"/>
      <c r="PD417" s="115"/>
      <c r="PE417" s="115"/>
      <c r="PF417" s="115"/>
      <c r="PG417" s="115"/>
      <c r="PH417" s="115"/>
      <c r="PI417" s="115"/>
      <c r="PJ417" s="115"/>
      <c r="PK417" s="115"/>
      <c r="PL417" s="115"/>
      <c r="PM417" s="115"/>
      <c r="PN417" s="115"/>
      <c r="PO417" s="115"/>
      <c r="PP417" s="115"/>
      <c r="PQ417" s="115"/>
      <c r="PR417" s="115"/>
      <c r="PS417" s="115"/>
      <c r="PT417" s="115"/>
      <c r="PU417" s="115"/>
      <c r="PV417" s="115"/>
      <c r="PW417" s="115"/>
      <c r="PX417" s="115"/>
      <c r="PY417" s="115"/>
      <c r="PZ417" s="115"/>
      <c r="QA417" s="115"/>
      <c r="QB417" s="115"/>
      <c r="QC417" s="115"/>
      <c r="QD417" s="115"/>
      <c r="QE417" s="115"/>
      <c r="QF417" s="115"/>
      <c r="QG417" s="115"/>
      <c r="QH417" s="115"/>
      <c r="QI417" s="115"/>
      <c r="QJ417" s="115"/>
      <c r="QK417" s="115"/>
      <c r="QL417" s="115"/>
      <c r="QM417" s="115"/>
      <c r="QN417" s="115"/>
      <c r="QO417" s="115"/>
      <c r="QP417" s="115"/>
      <c r="QQ417" s="115"/>
      <c r="QR417" s="115"/>
      <c r="QS417" s="115"/>
      <c r="QT417" s="115"/>
      <c r="QU417" s="115"/>
      <c r="QV417" s="115"/>
      <c r="QW417" s="115"/>
      <c r="QX417" s="115"/>
      <c r="QY417" s="115"/>
      <c r="QZ417" s="115"/>
      <c r="RA417" s="115"/>
      <c r="RB417" s="115"/>
      <c r="RC417" s="115"/>
      <c r="RD417" s="115"/>
      <c r="RE417" s="115"/>
      <c r="RF417" s="115"/>
      <c r="RG417" s="115"/>
      <c r="RH417" s="115"/>
      <c r="RI417" s="115"/>
      <c r="RJ417" s="115"/>
      <c r="RK417" s="115"/>
      <c r="RL417" s="115"/>
      <c r="RM417" s="115"/>
      <c r="RN417" s="115"/>
      <c r="RO417" s="115"/>
      <c r="RP417" s="115"/>
      <c r="RQ417" s="115"/>
      <c r="RR417" s="115"/>
      <c r="RS417" s="115"/>
      <c r="RT417" s="115"/>
      <c r="RU417" s="115"/>
      <c r="RV417" s="115"/>
      <c r="RW417" s="115"/>
      <c r="RX417" s="115"/>
      <c r="RY417" s="115"/>
      <c r="RZ417" s="115"/>
      <c r="SA417" s="115"/>
      <c r="SB417" s="115"/>
      <c r="SC417" s="115"/>
      <c r="SD417" s="115"/>
      <c r="SE417" s="115"/>
      <c r="SF417" s="115"/>
      <c r="SG417" s="115"/>
      <c r="SH417" s="115"/>
      <c r="SI417" s="115"/>
      <c r="SJ417" s="115"/>
      <c r="SK417" s="115"/>
      <c r="SL417" s="115"/>
      <c r="SM417" s="115"/>
      <c r="SN417" s="115"/>
      <c r="SO417" s="115"/>
      <c r="SP417" s="115"/>
      <c r="SQ417" s="115"/>
      <c r="SR417" s="115"/>
      <c r="SS417" s="115"/>
      <c r="ST417" s="115"/>
      <c r="SU417" s="115"/>
      <c r="SV417" s="115"/>
      <c r="SW417" s="115"/>
      <c r="SX417" s="115"/>
      <c r="SY417" s="115"/>
      <c r="SZ417" s="115"/>
      <c r="TA417" s="115"/>
      <c r="TB417" s="115"/>
      <c r="TC417" s="115"/>
      <c r="TD417" s="115"/>
      <c r="TE417" s="115"/>
    </row>
    <row r="418" spans="1:525" s="116" customFormat="1" ht="42" customHeight="1" x14ac:dyDescent="0.25">
      <c r="A418" s="112"/>
      <c r="B418" s="141"/>
      <c r="C418" s="113"/>
      <c r="D418" s="114" t="s">
        <v>714</v>
      </c>
      <c r="E418" s="80">
        <f t="shared" ref="E418:P418" si="226">E264</f>
        <v>0</v>
      </c>
      <c r="F418" s="80">
        <f t="shared" si="226"/>
        <v>0</v>
      </c>
      <c r="G418" s="80">
        <f t="shared" si="226"/>
        <v>0</v>
      </c>
      <c r="H418" s="80">
        <f t="shared" si="226"/>
        <v>0</v>
      </c>
      <c r="I418" s="80">
        <f t="shared" si="226"/>
        <v>0</v>
      </c>
      <c r="J418" s="80">
        <f t="shared" si="226"/>
        <v>7344000</v>
      </c>
      <c r="K418" s="80">
        <f t="shared" si="226"/>
        <v>7344000</v>
      </c>
      <c r="L418" s="80">
        <f t="shared" si="226"/>
        <v>0</v>
      </c>
      <c r="M418" s="80">
        <f t="shared" si="226"/>
        <v>0</v>
      </c>
      <c r="N418" s="80">
        <f t="shared" si="226"/>
        <v>0</v>
      </c>
      <c r="O418" s="80">
        <f t="shared" si="226"/>
        <v>7344000</v>
      </c>
      <c r="P418" s="80">
        <f t="shared" si="226"/>
        <v>7344000</v>
      </c>
      <c r="Q418" s="259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  <c r="HE418" s="115"/>
      <c r="HF418" s="115"/>
      <c r="HG418" s="115"/>
      <c r="HH418" s="115"/>
      <c r="HI418" s="115"/>
      <c r="HJ418" s="115"/>
      <c r="HK418" s="115"/>
      <c r="HL418" s="115"/>
      <c r="HM418" s="115"/>
      <c r="HN418" s="115"/>
      <c r="HO418" s="115"/>
      <c r="HP418" s="115"/>
      <c r="HQ418" s="115"/>
      <c r="HR418" s="115"/>
      <c r="HS418" s="115"/>
      <c r="HT418" s="115"/>
      <c r="HU418" s="115"/>
      <c r="HV418" s="115"/>
      <c r="HW418" s="115"/>
      <c r="HX418" s="115"/>
      <c r="HY418" s="115"/>
      <c r="HZ418" s="115"/>
      <c r="IA418" s="115"/>
      <c r="IB418" s="115"/>
      <c r="IC418" s="115"/>
      <c r="ID418" s="115"/>
      <c r="IE418" s="115"/>
      <c r="IF418" s="115"/>
      <c r="IG418" s="115"/>
      <c r="IH418" s="115"/>
      <c r="II418" s="115"/>
      <c r="IJ418" s="115"/>
      <c r="IK418" s="115"/>
      <c r="IL418" s="115"/>
      <c r="IM418" s="115"/>
      <c r="IN418" s="115"/>
      <c r="IO418" s="115"/>
      <c r="IP418" s="115"/>
      <c r="IQ418" s="115"/>
      <c r="IR418" s="115"/>
      <c r="IS418" s="115"/>
      <c r="IT418" s="115"/>
      <c r="IU418" s="115"/>
      <c r="IV418" s="115"/>
      <c r="IW418" s="115"/>
      <c r="IX418" s="115"/>
      <c r="IY418" s="115"/>
      <c r="IZ418" s="115"/>
      <c r="JA418" s="115"/>
      <c r="JB418" s="115"/>
      <c r="JC418" s="115"/>
      <c r="JD418" s="115"/>
      <c r="JE418" s="115"/>
      <c r="JF418" s="115"/>
      <c r="JG418" s="115"/>
      <c r="JH418" s="115"/>
      <c r="JI418" s="115"/>
      <c r="JJ418" s="115"/>
      <c r="JK418" s="115"/>
      <c r="JL418" s="115"/>
      <c r="JM418" s="115"/>
      <c r="JN418" s="115"/>
      <c r="JO418" s="115"/>
      <c r="JP418" s="115"/>
      <c r="JQ418" s="115"/>
      <c r="JR418" s="115"/>
      <c r="JS418" s="115"/>
      <c r="JT418" s="115"/>
      <c r="JU418" s="115"/>
      <c r="JV418" s="115"/>
      <c r="JW418" s="115"/>
      <c r="JX418" s="115"/>
      <c r="JY418" s="115"/>
      <c r="JZ418" s="115"/>
      <c r="KA418" s="115"/>
      <c r="KB418" s="115"/>
      <c r="KC418" s="115"/>
      <c r="KD418" s="115"/>
      <c r="KE418" s="115"/>
      <c r="KF418" s="115"/>
      <c r="KG418" s="115"/>
      <c r="KH418" s="115"/>
      <c r="KI418" s="115"/>
      <c r="KJ418" s="115"/>
      <c r="KK418" s="115"/>
      <c r="KL418" s="115"/>
      <c r="KM418" s="115"/>
      <c r="KN418" s="115"/>
      <c r="KO418" s="115"/>
      <c r="KP418" s="115"/>
      <c r="KQ418" s="115"/>
      <c r="KR418" s="115"/>
      <c r="KS418" s="115"/>
      <c r="KT418" s="115"/>
      <c r="KU418" s="115"/>
      <c r="KV418" s="115"/>
      <c r="KW418" s="115"/>
      <c r="KX418" s="115"/>
      <c r="KY418" s="115"/>
      <c r="KZ418" s="115"/>
      <c r="LA418" s="115"/>
      <c r="LB418" s="115"/>
      <c r="LC418" s="115"/>
      <c r="LD418" s="115"/>
      <c r="LE418" s="115"/>
      <c r="LF418" s="115"/>
      <c r="LG418" s="115"/>
      <c r="LH418" s="115"/>
      <c r="LI418" s="115"/>
      <c r="LJ418" s="115"/>
      <c r="LK418" s="115"/>
      <c r="LL418" s="115"/>
      <c r="LM418" s="115"/>
      <c r="LN418" s="115"/>
      <c r="LO418" s="115"/>
      <c r="LP418" s="115"/>
      <c r="LQ418" s="115"/>
      <c r="LR418" s="115"/>
      <c r="LS418" s="115"/>
      <c r="LT418" s="115"/>
      <c r="LU418" s="115"/>
      <c r="LV418" s="115"/>
      <c r="LW418" s="115"/>
      <c r="LX418" s="115"/>
      <c r="LY418" s="115"/>
      <c r="LZ418" s="115"/>
      <c r="MA418" s="115"/>
      <c r="MB418" s="115"/>
      <c r="MC418" s="115"/>
      <c r="MD418" s="115"/>
      <c r="ME418" s="115"/>
      <c r="MF418" s="115"/>
      <c r="MG418" s="115"/>
      <c r="MH418" s="115"/>
      <c r="MI418" s="115"/>
      <c r="MJ418" s="115"/>
      <c r="MK418" s="115"/>
      <c r="ML418" s="115"/>
      <c r="MM418" s="115"/>
      <c r="MN418" s="115"/>
      <c r="MO418" s="115"/>
      <c r="MP418" s="115"/>
      <c r="MQ418" s="115"/>
      <c r="MR418" s="115"/>
      <c r="MS418" s="115"/>
      <c r="MT418" s="115"/>
      <c r="MU418" s="115"/>
      <c r="MV418" s="115"/>
      <c r="MW418" s="115"/>
      <c r="MX418" s="115"/>
      <c r="MY418" s="115"/>
      <c r="MZ418" s="115"/>
      <c r="NA418" s="115"/>
      <c r="NB418" s="115"/>
      <c r="NC418" s="115"/>
      <c r="ND418" s="115"/>
      <c r="NE418" s="115"/>
      <c r="NF418" s="115"/>
      <c r="NG418" s="115"/>
      <c r="NH418" s="115"/>
      <c r="NI418" s="115"/>
      <c r="NJ418" s="115"/>
      <c r="NK418" s="115"/>
      <c r="NL418" s="115"/>
      <c r="NM418" s="115"/>
      <c r="NN418" s="115"/>
      <c r="NO418" s="115"/>
      <c r="NP418" s="115"/>
      <c r="NQ418" s="115"/>
      <c r="NR418" s="115"/>
      <c r="NS418" s="115"/>
      <c r="NT418" s="115"/>
      <c r="NU418" s="115"/>
      <c r="NV418" s="115"/>
      <c r="NW418" s="115"/>
      <c r="NX418" s="115"/>
      <c r="NY418" s="115"/>
      <c r="NZ418" s="115"/>
      <c r="OA418" s="115"/>
      <c r="OB418" s="115"/>
      <c r="OC418" s="115"/>
      <c r="OD418" s="115"/>
      <c r="OE418" s="115"/>
      <c r="OF418" s="115"/>
      <c r="OG418" s="115"/>
      <c r="OH418" s="115"/>
      <c r="OI418" s="115"/>
      <c r="OJ418" s="115"/>
      <c r="OK418" s="115"/>
      <c r="OL418" s="115"/>
      <c r="OM418" s="115"/>
      <c r="ON418" s="115"/>
      <c r="OO418" s="115"/>
      <c r="OP418" s="115"/>
      <c r="OQ418" s="115"/>
      <c r="OR418" s="115"/>
      <c r="OS418" s="115"/>
      <c r="OT418" s="115"/>
      <c r="OU418" s="115"/>
      <c r="OV418" s="115"/>
      <c r="OW418" s="115"/>
      <c r="OX418" s="115"/>
      <c r="OY418" s="115"/>
      <c r="OZ418" s="115"/>
      <c r="PA418" s="115"/>
      <c r="PB418" s="115"/>
      <c r="PC418" s="115"/>
      <c r="PD418" s="115"/>
      <c r="PE418" s="115"/>
      <c r="PF418" s="115"/>
      <c r="PG418" s="115"/>
      <c r="PH418" s="115"/>
      <c r="PI418" s="115"/>
      <c r="PJ418" s="115"/>
      <c r="PK418" s="115"/>
      <c r="PL418" s="115"/>
      <c r="PM418" s="115"/>
      <c r="PN418" s="115"/>
      <c r="PO418" s="115"/>
      <c r="PP418" s="115"/>
      <c r="PQ418" s="115"/>
      <c r="PR418" s="115"/>
      <c r="PS418" s="115"/>
      <c r="PT418" s="115"/>
      <c r="PU418" s="115"/>
      <c r="PV418" s="115"/>
      <c r="PW418" s="115"/>
      <c r="PX418" s="115"/>
      <c r="PY418" s="115"/>
      <c r="PZ418" s="115"/>
      <c r="QA418" s="115"/>
      <c r="QB418" s="115"/>
      <c r="QC418" s="115"/>
      <c r="QD418" s="115"/>
      <c r="QE418" s="115"/>
      <c r="QF418" s="115"/>
      <c r="QG418" s="115"/>
      <c r="QH418" s="115"/>
      <c r="QI418" s="115"/>
      <c r="QJ418" s="115"/>
      <c r="QK418" s="115"/>
      <c r="QL418" s="115"/>
      <c r="QM418" s="115"/>
      <c r="QN418" s="115"/>
      <c r="QO418" s="115"/>
      <c r="QP418" s="115"/>
      <c r="QQ418" s="115"/>
      <c r="QR418" s="115"/>
      <c r="QS418" s="115"/>
      <c r="QT418" s="115"/>
      <c r="QU418" s="115"/>
      <c r="QV418" s="115"/>
      <c r="QW418" s="115"/>
      <c r="QX418" s="115"/>
      <c r="QY418" s="115"/>
      <c r="QZ418" s="115"/>
      <c r="RA418" s="115"/>
      <c r="RB418" s="115"/>
      <c r="RC418" s="115"/>
      <c r="RD418" s="115"/>
      <c r="RE418" s="115"/>
      <c r="RF418" s="115"/>
      <c r="RG418" s="115"/>
      <c r="RH418" s="115"/>
      <c r="RI418" s="115"/>
      <c r="RJ418" s="115"/>
      <c r="RK418" s="115"/>
      <c r="RL418" s="115"/>
      <c r="RM418" s="115"/>
      <c r="RN418" s="115"/>
      <c r="RO418" s="115"/>
      <c r="RP418" s="115"/>
      <c r="RQ418" s="115"/>
      <c r="RR418" s="115"/>
      <c r="RS418" s="115"/>
      <c r="RT418" s="115"/>
      <c r="RU418" s="115"/>
      <c r="RV418" s="115"/>
      <c r="RW418" s="115"/>
      <c r="RX418" s="115"/>
      <c r="RY418" s="115"/>
      <c r="RZ418" s="115"/>
      <c r="SA418" s="115"/>
      <c r="SB418" s="115"/>
      <c r="SC418" s="115"/>
      <c r="SD418" s="115"/>
      <c r="SE418" s="115"/>
      <c r="SF418" s="115"/>
      <c r="SG418" s="115"/>
      <c r="SH418" s="115"/>
      <c r="SI418" s="115"/>
      <c r="SJ418" s="115"/>
      <c r="SK418" s="115"/>
      <c r="SL418" s="115"/>
      <c r="SM418" s="115"/>
      <c r="SN418" s="115"/>
      <c r="SO418" s="115"/>
      <c r="SP418" s="115"/>
      <c r="SQ418" s="115"/>
      <c r="SR418" s="115"/>
      <c r="SS418" s="115"/>
      <c r="ST418" s="115"/>
      <c r="SU418" s="115"/>
      <c r="SV418" s="115"/>
      <c r="SW418" s="115"/>
      <c r="SX418" s="115"/>
      <c r="SY418" s="115"/>
      <c r="SZ418" s="115"/>
      <c r="TA418" s="115"/>
      <c r="TB418" s="115"/>
      <c r="TC418" s="115"/>
      <c r="TD418" s="115"/>
      <c r="TE418" s="115"/>
    </row>
    <row r="419" spans="1:525" s="116" customFormat="1" ht="20.25" customHeight="1" x14ac:dyDescent="0.25">
      <c r="A419" s="112"/>
      <c r="B419" s="141"/>
      <c r="C419" s="141"/>
      <c r="D419" s="149" t="s">
        <v>410</v>
      </c>
      <c r="E419" s="80">
        <f t="shared" ref="E419:P419" si="227">E160+E332+E263</f>
        <v>0</v>
      </c>
      <c r="F419" s="80">
        <f t="shared" si="227"/>
        <v>0</v>
      </c>
      <c r="G419" s="80">
        <f t="shared" si="227"/>
        <v>0</v>
      </c>
      <c r="H419" s="80">
        <f t="shared" si="227"/>
        <v>0</v>
      </c>
      <c r="I419" s="80">
        <f t="shared" si="227"/>
        <v>0</v>
      </c>
      <c r="J419" s="80">
        <f t="shared" si="227"/>
        <v>92214546</v>
      </c>
      <c r="K419" s="80">
        <f t="shared" si="227"/>
        <v>92214546</v>
      </c>
      <c r="L419" s="80">
        <f t="shared" si="227"/>
        <v>0</v>
      </c>
      <c r="M419" s="80">
        <f t="shared" si="227"/>
        <v>0</v>
      </c>
      <c r="N419" s="80">
        <f t="shared" si="227"/>
        <v>0</v>
      </c>
      <c r="O419" s="80">
        <f t="shared" si="227"/>
        <v>92214546</v>
      </c>
      <c r="P419" s="80">
        <f t="shared" si="227"/>
        <v>92214546</v>
      </c>
      <c r="Q419" s="259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/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/>
      <c r="IE419" s="115"/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/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/>
      <c r="JF419" s="115"/>
      <c r="JG419" s="115"/>
      <c r="JH419" s="115"/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5"/>
      <c r="JV419" s="115"/>
      <c r="JW419" s="115"/>
      <c r="JX419" s="115"/>
      <c r="JY419" s="115"/>
      <c r="JZ419" s="115"/>
      <c r="KA419" s="115"/>
      <c r="KB419" s="115"/>
      <c r="KC419" s="115"/>
      <c r="KD419" s="115"/>
      <c r="KE419" s="115"/>
      <c r="KF419" s="115"/>
      <c r="KG419" s="115"/>
      <c r="KH419" s="115"/>
      <c r="KI419" s="115"/>
      <c r="KJ419" s="115"/>
      <c r="KK419" s="115"/>
      <c r="KL419" s="115"/>
      <c r="KM419" s="115"/>
      <c r="KN419" s="115"/>
      <c r="KO419" s="115"/>
      <c r="KP419" s="115"/>
      <c r="KQ419" s="115"/>
      <c r="KR419" s="115"/>
      <c r="KS419" s="115"/>
      <c r="KT419" s="115"/>
      <c r="KU419" s="115"/>
      <c r="KV419" s="115"/>
      <c r="KW419" s="115"/>
      <c r="KX419" s="115"/>
      <c r="KY419" s="115"/>
      <c r="KZ419" s="115"/>
      <c r="LA419" s="115"/>
      <c r="LB419" s="115"/>
      <c r="LC419" s="115"/>
      <c r="LD419" s="115"/>
      <c r="LE419" s="115"/>
      <c r="LF419" s="115"/>
      <c r="LG419" s="115"/>
      <c r="LH419" s="115"/>
      <c r="LI419" s="115"/>
      <c r="LJ419" s="115"/>
      <c r="LK419" s="115"/>
      <c r="LL419" s="115"/>
      <c r="LM419" s="115"/>
      <c r="LN419" s="115"/>
      <c r="LO419" s="115"/>
      <c r="LP419" s="115"/>
      <c r="LQ419" s="115"/>
      <c r="LR419" s="115"/>
      <c r="LS419" s="115"/>
      <c r="LT419" s="115"/>
      <c r="LU419" s="115"/>
      <c r="LV419" s="115"/>
      <c r="LW419" s="115"/>
      <c r="LX419" s="115"/>
      <c r="LY419" s="115"/>
      <c r="LZ419" s="115"/>
      <c r="MA419" s="115"/>
      <c r="MB419" s="115"/>
      <c r="MC419" s="115"/>
      <c r="MD419" s="115"/>
      <c r="ME419" s="115"/>
      <c r="MF419" s="115"/>
      <c r="MG419" s="115"/>
      <c r="MH419" s="115"/>
      <c r="MI419" s="115"/>
      <c r="MJ419" s="115"/>
      <c r="MK419" s="115"/>
      <c r="ML419" s="115"/>
      <c r="MM419" s="115"/>
      <c r="MN419" s="115"/>
      <c r="MO419" s="115"/>
      <c r="MP419" s="115"/>
      <c r="MQ419" s="115"/>
      <c r="MR419" s="115"/>
      <c r="MS419" s="115"/>
      <c r="MT419" s="115"/>
      <c r="MU419" s="115"/>
      <c r="MV419" s="115"/>
      <c r="MW419" s="115"/>
      <c r="MX419" s="115"/>
      <c r="MY419" s="115"/>
      <c r="MZ419" s="115"/>
      <c r="NA419" s="115"/>
      <c r="NB419" s="115"/>
      <c r="NC419" s="115"/>
      <c r="ND419" s="115"/>
      <c r="NE419" s="115"/>
      <c r="NF419" s="115"/>
      <c r="NG419" s="115"/>
      <c r="NH419" s="115"/>
      <c r="NI419" s="115"/>
      <c r="NJ419" s="115"/>
      <c r="NK419" s="115"/>
      <c r="NL419" s="115"/>
      <c r="NM419" s="115"/>
      <c r="NN419" s="115"/>
      <c r="NO419" s="115"/>
      <c r="NP419" s="115"/>
      <c r="NQ419" s="115"/>
      <c r="NR419" s="115"/>
      <c r="NS419" s="115"/>
      <c r="NT419" s="115"/>
      <c r="NU419" s="115"/>
      <c r="NV419" s="115"/>
      <c r="NW419" s="115"/>
      <c r="NX419" s="115"/>
      <c r="NY419" s="115"/>
      <c r="NZ419" s="115"/>
      <c r="OA419" s="115"/>
      <c r="OB419" s="115"/>
      <c r="OC419" s="115"/>
      <c r="OD419" s="115"/>
      <c r="OE419" s="115"/>
      <c r="OF419" s="115"/>
      <c r="OG419" s="115"/>
      <c r="OH419" s="115"/>
      <c r="OI419" s="115"/>
      <c r="OJ419" s="115"/>
      <c r="OK419" s="115"/>
      <c r="OL419" s="115"/>
      <c r="OM419" s="115"/>
      <c r="ON419" s="115"/>
      <c r="OO419" s="115"/>
      <c r="OP419" s="115"/>
      <c r="OQ419" s="115"/>
      <c r="OR419" s="115"/>
      <c r="OS419" s="115"/>
      <c r="OT419" s="115"/>
      <c r="OU419" s="115"/>
      <c r="OV419" s="115"/>
      <c r="OW419" s="115"/>
      <c r="OX419" s="115"/>
      <c r="OY419" s="115"/>
      <c r="OZ419" s="115"/>
      <c r="PA419" s="115"/>
      <c r="PB419" s="115"/>
      <c r="PC419" s="115"/>
      <c r="PD419" s="115"/>
      <c r="PE419" s="115"/>
      <c r="PF419" s="115"/>
      <c r="PG419" s="115"/>
      <c r="PH419" s="115"/>
      <c r="PI419" s="115"/>
      <c r="PJ419" s="115"/>
      <c r="PK419" s="115"/>
      <c r="PL419" s="115"/>
      <c r="PM419" s="115"/>
      <c r="PN419" s="115"/>
      <c r="PO419" s="115"/>
      <c r="PP419" s="115"/>
      <c r="PQ419" s="115"/>
      <c r="PR419" s="115"/>
      <c r="PS419" s="115"/>
      <c r="PT419" s="115"/>
      <c r="PU419" s="115"/>
      <c r="PV419" s="115"/>
      <c r="PW419" s="115"/>
      <c r="PX419" s="115"/>
      <c r="PY419" s="115"/>
      <c r="PZ419" s="115"/>
      <c r="QA419" s="115"/>
      <c r="QB419" s="115"/>
      <c r="QC419" s="115"/>
      <c r="QD419" s="115"/>
      <c r="QE419" s="115"/>
      <c r="QF419" s="115"/>
      <c r="QG419" s="115"/>
      <c r="QH419" s="115"/>
      <c r="QI419" s="115"/>
      <c r="QJ419" s="115"/>
      <c r="QK419" s="115"/>
      <c r="QL419" s="115"/>
      <c r="QM419" s="115"/>
      <c r="QN419" s="115"/>
      <c r="QO419" s="115"/>
      <c r="QP419" s="115"/>
      <c r="QQ419" s="115"/>
      <c r="QR419" s="115"/>
      <c r="QS419" s="115"/>
      <c r="QT419" s="115"/>
      <c r="QU419" s="115"/>
      <c r="QV419" s="115"/>
      <c r="QW419" s="115"/>
      <c r="QX419" s="115"/>
      <c r="QY419" s="115"/>
      <c r="QZ419" s="115"/>
      <c r="RA419" s="115"/>
      <c r="RB419" s="115"/>
      <c r="RC419" s="115"/>
      <c r="RD419" s="115"/>
      <c r="RE419" s="115"/>
      <c r="RF419" s="115"/>
      <c r="RG419" s="115"/>
      <c r="RH419" s="115"/>
      <c r="RI419" s="115"/>
      <c r="RJ419" s="115"/>
      <c r="RK419" s="115"/>
      <c r="RL419" s="115"/>
      <c r="RM419" s="115"/>
      <c r="RN419" s="115"/>
      <c r="RO419" s="115"/>
      <c r="RP419" s="115"/>
      <c r="RQ419" s="115"/>
      <c r="RR419" s="115"/>
      <c r="RS419" s="115"/>
      <c r="RT419" s="115"/>
      <c r="RU419" s="115"/>
      <c r="RV419" s="115"/>
      <c r="RW419" s="115"/>
      <c r="RX419" s="115"/>
      <c r="RY419" s="115"/>
      <c r="RZ419" s="115"/>
      <c r="SA419" s="115"/>
      <c r="SB419" s="115"/>
      <c r="SC419" s="115"/>
      <c r="SD419" s="115"/>
      <c r="SE419" s="115"/>
      <c r="SF419" s="115"/>
      <c r="SG419" s="115"/>
      <c r="SH419" s="115"/>
      <c r="SI419" s="115"/>
      <c r="SJ419" s="115"/>
      <c r="SK419" s="115"/>
      <c r="SL419" s="115"/>
      <c r="SM419" s="115"/>
      <c r="SN419" s="115"/>
      <c r="SO419" s="115"/>
      <c r="SP419" s="115"/>
      <c r="SQ419" s="115"/>
      <c r="SR419" s="115"/>
      <c r="SS419" s="115"/>
      <c r="ST419" s="115"/>
      <c r="SU419" s="115"/>
      <c r="SV419" s="115"/>
      <c r="SW419" s="115"/>
      <c r="SX419" s="115"/>
      <c r="SY419" s="115"/>
      <c r="SZ419" s="115"/>
      <c r="TA419" s="115"/>
      <c r="TB419" s="115"/>
      <c r="TC419" s="115"/>
      <c r="TD419" s="115"/>
      <c r="TE419" s="115"/>
    </row>
    <row r="420" spans="1:525" s="116" customFormat="1" ht="20.25" customHeight="1" x14ac:dyDescent="0.25">
      <c r="A420" s="112"/>
      <c r="B420" s="141"/>
      <c r="C420" s="141"/>
      <c r="D420" s="149" t="s">
        <v>662</v>
      </c>
      <c r="E420" s="80">
        <f t="shared" ref="E420:P420" si="228">E161+E82</f>
        <v>0</v>
      </c>
      <c r="F420" s="80">
        <f t="shared" si="228"/>
        <v>0</v>
      </c>
      <c r="G420" s="80">
        <f t="shared" si="228"/>
        <v>0</v>
      </c>
      <c r="H420" s="80">
        <f t="shared" si="228"/>
        <v>0</v>
      </c>
      <c r="I420" s="80">
        <f t="shared" si="228"/>
        <v>0</v>
      </c>
      <c r="J420" s="80">
        <f t="shared" si="228"/>
        <v>4590000</v>
      </c>
      <c r="K420" s="80">
        <f t="shared" si="228"/>
        <v>0</v>
      </c>
      <c r="L420" s="80">
        <f t="shared" si="228"/>
        <v>50000</v>
      </c>
      <c r="M420" s="80">
        <f t="shared" si="228"/>
        <v>0</v>
      </c>
      <c r="N420" s="80">
        <f t="shared" si="228"/>
        <v>0</v>
      </c>
      <c r="O420" s="80">
        <f t="shared" si="228"/>
        <v>4540000</v>
      </c>
      <c r="P420" s="80">
        <f t="shared" si="228"/>
        <v>4590000</v>
      </c>
      <c r="Q420" s="259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5"/>
      <c r="CT420" s="115"/>
      <c r="CU420" s="115"/>
      <c r="CV420" s="115"/>
      <c r="CW420" s="115"/>
      <c r="CX420" s="115"/>
      <c r="CY420" s="115"/>
      <c r="CZ420" s="115"/>
      <c r="DA420" s="115"/>
      <c r="DB420" s="115"/>
      <c r="DC420" s="115"/>
      <c r="DD420" s="115"/>
      <c r="DE420" s="115"/>
      <c r="DF420" s="115"/>
      <c r="DG420" s="115"/>
      <c r="DH420" s="115"/>
      <c r="DI420" s="115"/>
      <c r="DJ420" s="115"/>
      <c r="DK420" s="115"/>
      <c r="DL420" s="115"/>
      <c r="DM420" s="115"/>
      <c r="DN420" s="115"/>
      <c r="DO420" s="115"/>
      <c r="DP420" s="115"/>
      <c r="DQ420" s="115"/>
      <c r="DR420" s="115"/>
      <c r="DS420" s="115"/>
      <c r="DT420" s="115"/>
      <c r="DU420" s="115"/>
      <c r="DV420" s="115"/>
      <c r="DW420" s="115"/>
      <c r="DX420" s="115"/>
      <c r="DY420" s="115"/>
      <c r="DZ420" s="115"/>
      <c r="EA420" s="115"/>
      <c r="EB420" s="115"/>
      <c r="EC420" s="115"/>
      <c r="ED420" s="115"/>
      <c r="EE420" s="115"/>
      <c r="EF420" s="115"/>
      <c r="EG420" s="115"/>
      <c r="EH420" s="115"/>
      <c r="EI420" s="115"/>
      <c r="EJ420" s="115"/>
      <c r="EK420" s="115"/>
      <c r="EL420" s="115"/>
      <c r="EM420" s="115"/>
      <c r="EN420" s="115"/>
      <c r="EO420" s="115"/>
      <c r="EP420" s="115"/>
      <c r="EQ420" s="115"/>
      <c r="ER420" s="115"/>
      <c r="ES420" s="115"/>
      <c r="ET420" s="115"/>
      <c r="EU420" s="115"/>
      <c r="EV420" s="115"/>
      <c r="EW420" s="115"/>
      <c r="EX420" s="115"/>
      <c r="EY420" s="115"/>
      <c r="EZ420" s="115"/>
      <c r="FA420" s="115"/>
      <c r="FB420" s="115"/>
      <c r="FC420" s="115"/>
      <c r="FD420" s="115"/>
      <c r="FE420" s="115"/>
      <c r="FF420" s="115"/>
      <c r="FG420" s="115"/>
      <c r="FH420" s="115"/>
      <c r="FI420" s="115"/>
      <c r="FJ420" s="115"/>
      <c r="FK420" s="115"/>
      <c r="FL420" s="115"/>
      <c r="FM420" s="115"/>
      <c r="FN420" s="115"/>
      <c r="FO420" s="115"/>
      <c r="FP420" s="115"/>
      <c r="FQ420" s="115"/>
      <c r="FR420" s="115"/>
      <c r="FS420" s="115"/>
      <c r="FT420" s="115"/>
      <c r="FU420" s="115"/>
      <c r="FV420" s="115"/>
      <c r="FW420" s="115"/>
      <c r="FX420" s="115"/>
      <c r="FY420" s="115"/>
      <c r="FZ420" s="115"/>
      <c r="GA420" s="115"/>
      <c r="GB420" s="115"/>
      <c r="GC420" s="115"/>
      <c r="GD420" s="115"/>
      <c r="GE420" s="115"/>
      <c r="GF420" s="115"/>
      <c r="GG420" s="115"/>
      <c r="GH420" s="115"/>
      <c r="GI420" s="115"/>
      <c r="GJ420" s="115"/>
      <c r="GK420" s="115"/>
      <c r="GL420" s="115"/>
      <c r="GM420" s="115"/>
      <c r="GN420" s="115"/>
      <c r="GO420" s="115"/>
      <c r="GP420" s="115"/>
      <c r="GQ420" s="115"/>
      <c r="GR420" s="115"/>
      <c r="GS420" s="115"/>
      <c r="GT420" s="115"/>
      <c r="GU420" s="115"/>
      <c r="GV420" s="115"/>
      <c r="GW420" s="115"/>
      <c r="GX420" s="115"/>
      <c r="GY420" s="115"/>
      <c r="GZ420" s="115"/>
      <c r="HA420" s="115"/>
      <c r="HB420" s="115"/>
      <c r="HC420" s="115"/>
      <c r="HD420" s="115"/>
      <c r="HE420" s="115"/>
      <c r="HF420" s="115"/>
      <c r="HG420" s="115"/>
      <c r="HH420" s="115"/>
      <c r="HI420" s="115"/>
      <c r="HJ420" s="115"/>
      <c r="HK420" s="115"/>
      <c r="HL420" s="115"/>
      <c r="HM420" s="115"/>
      <c r="HN420" s="115"/>
      <c r="HO420" s="115"/>
      <c r="HP420" s="115"/>
      <c r="HQ420" s="115"/>
      <c r="HR420" s="115"/>
      <c r="HS420" s="115"/>
      <c r="HT420" s="115"/>
      <c r="HU420" s="115"/>
      <c r="HV420" s="115"/>
      <c r="HW420" s="115"/>
      <c r="HX420" s="115"/>
      <c r="HY420" s="115"/>
      <c r="HZ420" s="115"/>
      <c r="IA420" s="115"/>
      <c r="IB420" s="115"/>
      <c r="IC420" s="115"/>
      <c r="ID420" s="115"/>
      <c r="IE420" s="115"/>
      <c r="IF420" s="115"/>
      <c r="IG420" s="115"/>
      <c r="IH420" s="115"/>
      <c r="II420" s="115"/>
      <c r="IJ420" s="115"/>
      <c r="IK420" s="115"/>
      <c r="IL420" s="115"/>
      <c r="IM420" s="115"/>
      <c r="IN420" s="115"/>
      <c r="IO420" s="115"/>
      <c r="IP420" s="115"/>
      <c r="IQ420" s="115"/>
      <c r="IR420" s="115"/>
      <c r="IS420" s="115"/>
      <c r="IT420" s="115"/>
      <c r="IU420" s="115"/>
      <c r="IV420" s="115"/>
      <c r="IW420" s="115"/>
      <c r="IX420" s="115"/>
      <c r="IY420" s="115"/>
      <c r="IZ420" s="115"/>
      <c r="JA420" s="115"/>
      <c r="JB420" s="115"/>
      <c r="JC420" s="115"/>
      <c r="JD420" s="115"/>
      <c r="JE420" s="115"/>
      <c r="JF420" s="115"/>
      <c r="JG420" s="115"/>
      <c r="JH420" s="115"/>
      <c r="JI420" s="115"/>
      <c r="JJ420" s="115"/>
      <c r="JK420" s="115"/>
      <c r="JL420" s="115"/>
      <c r="JM420" s="115"/>
      <c r="JN420" s="115"/>
      <c r="JO420" s="115"/>
      <c r="JP420" s="115"/>
      <c r="JQ420" s="115"/>
      <c r="JR420" s="115"/>
      <c r="JS420" s="115"/>
      <c r="JT420" s="115"/>
      <c r="JU420" s="115"/>
      <c r="JV420" s="115"/>
      <c r="JW420" s="115"/>
      <c r="JX420" s="115"/>
      <c r="JY420" s="115"/>
      <c r="JZ420" s="115"/>
      <c r="KA420" s="115"/>
      <c r="KB420" s="115"/>
      <c r="KC420" s="115"/>
      <c r="KD420" s="115"/>
      <c r="KE420" s="115"/>
      <c r="KF420" s="115"/>
      <c r="KG420" s="115"/>
      <c r="KH420" s="115"/>
      <c r="KI420" s="115"/>
      <c r="KJ420" s="115"/>
      <c r="KK420" s="115"/>
      <c r="KL420" s="115"/>
      <c r="KM420" s="115"/>
      <c r="KN420" s="115"/>
      <c r="KO420" s="115"/>
      <c r="KP420" s="115"/>
      <c r="KQ420" s="115"/>
      <c r="KR420" s="115"/>
      <c r="KS420" s="115"/>
      <c r="KT420" s="115"/>
      <c r="KU420" s="115"/>
      <c r="KV420" s="115"/>
      <c r="KW420" s="115"/>
      <c r="KX420" s="115"/>
      <c r="KY420" s="115"/>
      <c r="KZ420" s="115"/>
      <c r="LA420" s="115"/>
      <c r="LB420" s="115"/>
      <c r="LC420" s="115"/>
      <c r="LD420" s="115"/>
      <c r="LE420" s="115"/>
      <c r="LF420" s="115"/>
      <c r="LG420" s="115"/>
      <c r="LH420" s="115"/>
      <c r="LI420" s="115"/>
      <c r="LJ420" s="115"/>
      <c r="LK420" s="115"/>
      <c r="LL420" s="115"/>
      <c r="LM420" s="115"/>
      <c r="LN420" s="115"/>
      <c r="LO420" s="115"/>
      <c r="LP420" s="115"/>
      <c r="LQ420" s="115"/>
      <c r="LR420" s="115"/>
      <c r="LS420" s="115"/>
      <c r="LT420" s="115"/>
      <c r="LU420" s="115"/>
      <c r="LV420" s="115"/>
      <c r="LW420" s="115"/>
      <c r="LX420" s="115"/>
      <c r="LY420" s="115"/>
      <c r="LZ420" s="115"/>
      <c r="MA420" s="115"/>
      <c r="MB420" s="115"/>
      <c r="MC420" s="115"/>
      <c r="MD420" s="115"/>
      <c r="ME420" s="115"/>
      <c r="MF420" s="115"/>
      <c r="MG420" s="115"/>
      <c r="MH420" s="115"/>
      <c r="MI420" s="115"/>
      <c r="MJ420" s="115"/>
      <c r="MK420" s="115"/>
      <c r="ML420" s="115"/>
      <c r="MM420" s="115"/>
      <c r="MN420" s="115"/>
      <c r="MO420" s="115"/>
      <c r="MP420" s="115"/>
      <c r="MQ420" s="115"/>
      <c r="MR420" s="115"/>
      <c r="MS420" s="115"/>
      <c r="MT420" s="115"/>
      <c r="MU420" s="115"/>
      <c r="MV420" s="115"/>
      <c r="MW420" s="115"/>
      <c r="MX420" s="115"/>
      <c r="MY420" s="115"/>
      <c r="MZ420" s="115"/>
      <c r="NA420" s="115"/>
      <c r="NB420" s="115"/>
      <c r="NC420" s="115"/>
      <c r="ND420" s="115"/>
      <c r="NE420" s="115"/>
      <c r="NF420" s="115"/>
      <c r="NG420" s="115"/>
      <c r="NH420" s="115"/>
      <c r="NI420" s="115"/>
      <c r="NJ420" s="115"/>
      <c r="NK420" s="115"/>
      <c r="NL420" s="115"/>
      <c r="NM420" s="115"/>
      <c r="NN420" s="115"/>
      <c r="NO420" s="115"/>
      <c r="NP420" s="115"/>
      <c r="NQ420" s="115"/>
      <c r="NR420" s="115"/>
      <c r="NS420" s="115"/>
      <c r="NT420" s="115"/>
      <c r="NU420" s="115"/>
      <c r="NV420" s="115"/>
      <c r="NW420" s="115"/>
      <c r="NX420" s="115"/>
      <c r="NY420" s="115"/>
      <c r="NZ420" s="115"/>
      <c r="OA420" s="115"/>
      <c r="OB420" s="115"/>
      <c r="OC420" s="115"/>
      <c r="OD420" s="115"/>
      <c r="OE420" s="115"/>
      <c r="OF420" s="115"/>
      <c r="OG420" s="115"/>
      <c r="OH420" s="115"/>
      <c r="OI420" s="115"/>
      <c r="OJ420" s="115"/>
      <c r="OK420" s="115"/>
      <c r="OL420" s="115"/>
      <c r="OM420" s="115"/>
      <c r="ON420" s="115"/>
      <c r="OO420" s="115"/>
      <c r="OP420" s="115"/>
      <c r="OQ420" s="115"/>
      <c r="OR420" s="115"/>
      <c r="OS420" s="115"/>
      <c r="OT420" s="115"/>
      <c r="OU420" s="115"/>
      <c r="OV420" s="115"/>
      <c r="OW420" s="115"/>
      <c r="OX420" s="115"/>
      <c r="OY420" s="115"/>
      <c r="OZ420" s="115"/>
      <c r="PA420" s="115"/>
      <c r="PB420" s="115"/>
      <c r="PC420" s="115"/>
      <c r="PD420" s="115"/>
      <c r="PE420" s="115"/>
      <c r="PF420" s="115"/>
      <c r="PG420" s="115"/>
      <c r="PH420" s="115"/>
      <c r="PI420" s="115"/>
      <c r="PJ420" s="115"/>
      <c r="PK420" s="115"/>
      <c r="PL420" s="115"/>
      <c r="PM420" s="115"/>
      <c r="PN420" s="115"/>
      <c r="PO420" s="115"/>
      <c r="PP420" s="115"/>
      <c r="PQ420" s="115"/>
      <c r="PR420" s="115"/>
      <c r="PS420" s="115"/>
      <c r="PT420" s="115"/>
      <c r="PU420" s="115"/>
      <c r="PV420" s="115"/>
      <c r="PW420" s="115"/>
      <c r="PX420" s="115"/>
      <c r="PY420" s="115"/>
      <c r="PZ420" s="115"/>
      <c r="QA420" s="115"/>
      <c r="QB420" s="115"/>
      <c r="QC420" s="115"/>
      <c r="QD420" s="115"/>
      <c r="QE420" s="115"/>
      <c r="QF420" s="115"/>
      <c r="QG420" s="115"/>
      <c r="QH420" s="115"/>
      <c r="QI420" s="115"/>
      <c r="QJ420" s="115"/>
      <c r="QK420" s="115"/>
      <c r="QL420" s="115"/>
      <c r="QM420" s="115"/>
      <c r="QN420" s="115"/>
      <c r="QO420" s="115"/>
      <c r="QP420" s="115"/>
      <c r="QQ420" s="115"/>
      <c r="QR420" s="115"/>
      <c r="QS420" s="115"/>
      <c r="QT420" s="115"/>
      <c r="QU420" s="115"/>
      <c r="QV420" s="115"/>
      <c r="QW420" s="115"/>
      <c r="QX420" s="115"/>
      <c r="QY420" s="115"/>
      <c r="QZ420" s="115"/>
      <c r="RA420" s="115"/>
      <c r="RB420" s="115"/>
      <c r="RC420" s="115"/>
      <c r="RD420" s="115"/>
      <c r="RE420" s="115"/>
      <c r="RF420" s="115"/>
      <c r="RG420" s="115"/>
      <c r="RH420" s="115"/>
      <c r="RI420" s="115"/>
      <c r="RJ420" s="115"/>
      <c r="RK420" s="115"/>
      <c r="RL420" s="115"/>
      <c r="RM420" s="115"/>
      <c r="RN420" s="115"/>
      <c r="RO420" s="115"/>
      <c r="RP420" s="115"/>
      <c r="RQ420" s="115"/>
      <c r="RR420" s="115"/>
      <c r="RS420" s="115"/>
      <c r="RT420" s="115"/>
      <c r="RU420" s="115"/>
      <c r="RV420" s="115"/>
      <c r="RW420" s="115"/>
      <c r="RX420" s="115"/>
      <c r="RY420" s="115"/>
      <c r="RZ420" s="115"/>
      <c r="SA420" s="115"/>
      <c r="SB420" s="115"/>
      <c r="SC420" s="115"/>
      <c r="SD420" s="115"/>
      <c r="SE420" s="115"/>
      <c r="SF420" s="115"/>
      <c r="SG420" s="115"/>
      <c r="SH420" s="115"/>
      <c r="SI420" s="115"/>
      <c r="SJ420" s="115"/>
      <c r="SK420" s="115"/>
      <c r="SL420" s="115"/>
      <c r="SM420" s="115"/>
      <c r="SN420" s="115"/>
      <c r="SO420" s="115"/>
      <c r="SP420" s="115"/>
      <c r="SQ420" s="115"/>
      <c r="SR420" s="115"/>
      <c r="SS420" s="115"/>
      <c r="ST420" s="115"/>
      <c r="SU420" s="115"/>
      <c r="SV420" s="115"/>
      <c r="SW420" s="115"/>
      <c r="SX420" s="115"/>
      <c r="SY420" s="115"/>
      <c r="SZ420" s="115"/>
      <c r="TA420" s="115"/>
      <c r="TB420" s="115"/>
      <c r="TC420" s="115"/>
      <c r="TD420" s="115"/>
      <c r="TE420" s="115"/>
    </row>
    <row r="421" spans="1:525" s="116" customFormat="1" ht="24" hidden="1" customHeight="1" x14ac:dyDescent="0.25">
      <c r="A421" s="112"/>
      <c r="B421" s="141"/>
      <c r="C421" s="141"/>
      <c r="D421" s="149" t="s">
        <v>637</v>
      </c>
      <c r="E421" s="80">
        <f>E415-E416-E417-E419</f>
        <v>2489841772.5999999</v>
      </c>
      <c r="F421" s="80"/>
      <c r="G421" s="80"/>
      <c r="H421" s="80"/>
      <c r="I421" s="80"/>
      <c r="J421" s="80">
        <f>J415-J416-J417-J419-J434-J435-J436-J437-J439</f>
        <v>871972025.18999982</v>
      </c>
      <c r="K421" s="80">
        <f>K415-K416-K417-K419-K434-K435-K436-K437-K439</f>
        <v>871212432.00999999</v>
      </c>
      <c r="L421" s="80"/>
      <c r="M421" s="80"/>
      <c r="N421" s="80"/>
      <c r="O421" s="80"/>
      <c r="P421" s="80">
        <f t="shared" ref="P421" si="229">P415-P416-P417-P419</f>
        <v>3469249954.7900004</v>
      </c>
      <c r="Q421" s="259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/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/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/>
      <c r="FV421" s="115"/>
      <c r="FW421" s="115"/>
      <c r="FX421" s="115"/>
      <c r="FY421" s="115"/>
      <c r="FZ421" s="115"/>
      <c r="GA421" s="115"/>
      <c r="GB421" s="115"/>
      <c r="GC421" s="115"/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  <c r="HE421" s="115"/>
      <c r="HF421" s="115"/>
      <c r="HG421" s="115"/>
      <c r="HH421" s="115"/>
      <c r="HI421" s="115"/>
      <c r="HJ421" s="115"/>
      <c r="HK421" s="115"/>
      <c r="HL421" s="115"/>
      <c r="HM421" s="115"/>
      <c r="HN421" s="115"/>
      <c r="HO421" s="115"/>
      <c r="HP421" s="115"/>
      <c r="HQ421" s="115"/>
      <c r="HR421" s="115"/>
      <c r="HS421" s="115"/>
      <c r="HT421" s="115"/>
      <c r="HU421" s="115"/>
      <c r="HV421" s="115"/>
      <c r="HW421" s="115"/>
      <c r="HX421" s="115"/>
      <c r="HY421" s="115"/>
      <c r="HZ421" s="115"/>
      <c r="IA421" s="115"/>
      <c r="IB421" s="115"/>
      <c r="IC421" s="115"/>
      <c r="ID421" s="115"/>
      <c r="IE421" s="115"/>
      <c r="IF421" s="115"/>
      <c r="IG421" s="115"/>
      <c r="IH421" s="115"/>
      <c r="II421" s="115"/>
      <c r="IJ421" s="115"/>
      <c r="IK421" s="115"/>
      <c r="IL421" s="115"/>
      <c r="IM421" s="115"/>
      <c r="IN421" s="115"/>
      <c r="IO421" s="115"/>
      <c r="IP421" s="115"/>
      <c r="IQ421" s="115"/>
      <c r="IR421" s="115"/>
      <c r="IS421" s="115"/>
      <c r="IT421" s="115"/>
      <c r="IU421" s="115"/>
      <c r="IV421" s="115"/>
      <c r="IW421" s="115"/>
      <c r="IX421" s="115"/>
      <c r="IY421" s="115"/>
      <c r="IZ421" s="115"/>
      <c r="JA421" s="115"/>
      <c r="JB421" s="115"/>
      <c r="JC421" s="115"/>
      <c r="JD421" s="115"/>
      <c r="JE421" s="115"/>
      <c r="JF421" s="115"/>
      <c r="JG421" s="115"/>
      <c r="JH421" s="115"/>
      <c r="JI421" s="115"/>
      <c r="JJ421" s="115"/>
      <c r="JK421" s="115"/>
      <c r="JL421" s="115"/>
      <c r="JM421" s="115"/>
      <c r="JN421" s="115"/>
      <c r="JO421" s="115"/>
      <c r="JP421" s="115"/>
      <c r="JQ421" s="115"/>
      <c r="JR421" s="115"/>
      <c r="JS421" s="115"/>
      <c r="JT421" s="115"/>
      <c r="JU421" s="115"/>
      <c r="JV421" s="115"/>
      <c r="JW421" s="115"/>
      <c r="JX421" s="115"/>
      <c r="JY421" s="115"/>
      <c r="JZ421" s="115"/>
      <c r="KA421" s="115"/>
      <c r="KB421" s="115"/>
      <c r="KC421" s="115"/>
      <c r="KD421" s="115"/>
      <c r="KE421" s="115"/>
      <c r="KF421" s="115"/>
      <c r="KG421" s="115"/>
      <c r="KH421" s="115"/>
      <c r="KI421" s="115"/>
      <c r="KJ421" s="115"/>
      <c r="KK421" s="115"/>
      <c r="KL421" s="115"/>
      <c r="KM421" s="115"/>
      <c r="KN421" s="115"/>
      <c r="KO421" s="115"/>
      <c r="KP421" s="115"/>
      <c r="KQ421" s="115"/>
      <c r="KR421" s="115"/>
      <c r="KS421" s="115"/>
      <c r="KT421" s="115"/>
      <c r="KU421" s="115"/>
      <c r="KV421" s="115"/>
      <c r="KW421" s="115"/>
      <c r="KX421" s="115"/>
      <c r="KY421" s="115"/>
      <c r="KZ421" s="115"/>
      <c r="LA421" s="115"/>
      <c r="LB421" s="115"/>
      <c r="LC421" s="115"/>
      <c r="LD421" s="115"/>
      <c r="LE421" s="115"/>
      <c r="LF421" s="115"/>
      <c r="LG421" s="115"/>
      <c r="LH421" s="115"/>
      <c r="LI421" s="115"/>
      <c r="LJ421" s="115"/>
      <c r="LK421" s="115"/>
      <c r="LL421" s="115"/>
      <c r="LM421" s="115"/>
      <c r="LN421" s="115"/>
      <c r="LO421" s="115"/>
      <c r="LP421" s="115"/>
      <c r="LQ421" s="115"/>
      <c r="LR421" s="115"/>
      <c r="LS421" s="115"/>
      <c r="LT421" s="115"/>
      <c r="LU421" s="115"/>
      <c r="LV421" s="115"/>
      <c r="LW421" s="115"/>
      <c r="LX421" s="115"/>
      <c r="LY421" s="115"/>
      <c r="LZ421" s="115"/>
      <c r="MA421" s="115"/>
      <c r="MB421" s="115"/>
      <c r="MC421" s="115"/>
      <c r="MD421" s="115"/>
      <c r="ME421" s="115"/>
      <c r="MF421" s="115"/>
      <c r="MG421" s="115"/>
      <c r="MH421" s="115"/>
      <c r="MI421" s="115"/>
      <c r="MJ421" s="115"/>
      <c r="MK421" s="115"/>
      <c r="ML421" s="115"/>
      <c r="MM421" s="115"/>
      <c r="MN421" s="115"/>
      <c r="MO421" s="115"/>
      <c r="MP421" s="115"/>
      <c r="MQ421" s="115"/>
      <c r="MR421" s="115"/>
      <c r="MS421" s="115"/>
      <c r="MT421" s="115"/>
      <c r="MU421" s="115"/>
      <c r="MV421" s="115"/>
      <c r="MW421" s="115"/>
      <c r="MX421" s="115"/>
      <c r="MY421" s="115"/>
      <c r="MZ421" s="115"/>
      <c r="NA421" s="115"/>
      <c r="NB421" s="115"/>
      <c r="NC421" s="115"/>
      <c r="ND421" s="115"/>
      <c r="NE421" s="115"/>
      <c r="NF421" s="115"/>
      <c r="NG421" s="115"/>
      <c r="NH421" s="115"/>
      <c r="NI421" s="115"/>
      <c r="NJ421" s="115"/>
      <c r="NK421" s="115"/>
      <c r="NL421" s="115"/>
      <c r="NM421" s="115"/>
      <c r="NN421" s="115"/>
      <c r="NO421" s="115"/>
      <c r="NP421" s="115"/>
      <c r="NQ421" s="115"/>
      <c r="NR421" s="115"/>
      <c r="NS421" s="115"/>
      <c r="NT421" s="115"/>
      <c r="NU421" s="115"/>
      <c r="NV421" s="115"/>
      <c r="NW421" s="115"/>
      <c r="NX421" s="115"/>
      <c r="NY421" s="115"/>
      <c r="NZ421" s="115"/>
      <c r="OA421" s="115"/>
      <c r="OB421" s="115"/>
      <c r="OC421" s="115"/>
      <c r="OD421" s="115"/>
      <c r="OE421" s="115"/>
      <c r="OF421" s="115"/>
      <c r="OG421" s="115"/>
      <c r="OH421" s="115"/>
      <c r="OI421" s="115"/>
      <c r="OJ421" s="115"/>
      <c r="OK421" s="115"/>
      <c r="OL421" s="115"/>
      <c r="OM421" s="115"/>
      <c r="ON421" s="115"/>
      <c r="OO421" s="115"/>
      <c r="OP421" s="115"/>
      <c r="OQ421" s="115"/>
      <c r="OR421" s="115"/>
      <c r="OS421" s="115"/>
      <c r="OT421" s="115"/>
      <c r="OU421" s="115"/>
      <c r="OV421" s="115"/>
      <c r="OW421" s="115"/>
      <c r="OX421" s="115"/>
      <c r="OY421" s="115"/>
      <c r="OZ421" s="115"/>
      <c r="PA421" s="115"/>
      <c r="PB421" s="115"/>
      <c r="PC421" s="115"/>
      <c r="PD421" s="115"/>
      <c r="PE421" s="115"/>
      <c r="PF421" s="115"/>
      <c r="PG421" s="115"/>
      <c r="PH421" s="115"/>
      <c r="PI421" s="115"/>
      <c r="PJ421" s="115"/>
      <c r="PK421" s="115"/>
      <c r="PL421" s="115"/>
      <c r="PM421" s="115"/>
      <c r="PN421" s="115"/>
      <c r="PO421" s="115"/>
      <c r="PP421" s="115"/>
      <c r="PQ421" s="115"/>
      <c r="PR421" s="115"/>
      <c r="PS421" s="115"/>
      <c r="PT421" s="115"/>
      <c r="PU421" s="115"/>
      <c r="PV421" s="115"/>
      <c r="PW421" s="115"/>
      <c r="PX421" s="115"/>
      <c r="PY421" s="115"/>
      <c r="PZ421" s="115"/>
      <c r="QA421" s="115"/>
      <c r="QB421" s="115"/>
      <c r="QC421" s="115"/>
      <c r="QD421" s="115"/>
      <c r="QE421" s="115"/>
      <c r="QF421" s="115"/>
      <c r="QG421" s="115"/>
      <c r="QH421" s="115"/>
      <c r="QI421" s="115"/>
      <c r="QJ421" s="115"/>
      <c r="QK421" s="115"/>
      <c r="QL421" s="115"/>
      <c r="QM421" s="115"/>
      <c r="QN421" s="115"/>
      <c r="QO421" s="115"/>
      <c r="QP421" s="115"/>
      <c r="QQ421" s="115"/>
      <c r="QR421" s="115"/>
      <c r="QS421" s="115"/>
      <c r="QT421" s="115"/>
      <c r="QU421" s="115"/>
      <c r="QV421" s="115"/>
      <c r="QW421" s="115"/>
      <c r="QX421" s="115"/>
      <c r="QY421" s="115"/>
      <c r="QZ421" s="115"/>
      <c r="RA421" s="115"/>
      <c r="RB421" s="115"/>
      <c r="RC421" s="115"/>
      <c r="RD421" s="115"/>
      <c r="RE421" s="115"/>
      <c r="RF421" s="115"/>
      <c r="RG421" s="115"/>
      <c r="RH421" s="115"/>
      <c r="RI421" s="115"/>
      <c r="RJ421" s="115"/>
      <c r="RK421" s="115"/>
      <c r="RL421" s="115"/>
      <c r="RM421" s="115"/>
      <c r="RN421" s="115"/>
      <c r="RO421" s="115"/>
      <c r="RP421" s="115"/>
      <c r="RQ421" s="115"/>
      <c r="RR421" s="115"/>
      <c r="RS421" s="115"/>
      <c r="RT421" s="115"/>
      <c r="RU421" s="115"/>
      <c r="RV421" s="115"/>
      <c r="RW421" s="115"/>
      <c r="RX421" s="115"/>
      <c r="RY421" s="115"/>
      <c r="RZ421" s="115"/>
      <c r="SA421" s="115"/>
      <c r="SB421" s="115"/>
      <c r="SC421" s="115"/>
      <c r="SD421" s="115"/>
      <c r="SE421" s="115"/>
      <c r="SF421" s="115"/>
      <c r="SG421" s="115"/>
      <c r="SH421" s="115"/>
      <c r="SI421" s="115"/>
      <c r="SJ421" s="115"/>
      <c r="SK421" s="115"/>
      <c r="SL421" s="115"/>
      <c r="SM421" s="115"/>
      <c r="SN421" s="115"/>
      <c r="SO421" s="115"/>
      <c r="SP421" s="115"/>
      <c r="SQ421" s="115"/>
      <c r="SR421" s="115"/>
      <c r="SS421" s="115"/>
      <c r="ST421" s="115"/>
      <c r="SU421" s="115"/>
      <c r="SV421" s="115"/>
      <c r="SW421" s="115"/>
      <c r="SX421" s="115"/>
      <c r="SY421" s="115"/>
      <c r="SZ421" s="115"/>
      <c r="TA421" s="115"/>
      <c r="TB421" s="115"/>
      <c r="TC421" s="115"/>
      <c r="TD421" s="115"/>
      <c r="TE421" s="115"/>
    </row>
    <row r="422" spans="1:525" s="116" customFormat="1" ht="26.25" hidden="1" customHeight="1" x14ac:dyDescent="0.25">
      <c r="A422" s="161"/>
      <c r="B422" s="162"/>
      <c r="C422" s="162"/>
      <c r="D422" s="163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259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5"/>
      <c r="CT422" s="115"/>
      <c r="CU422" s="115"/>
      <c r="CV422" s="115"/>
      <c r="CW422" s="115"/>
      <c r="CX422" s="115"/>
      <c r="CY422" s="115"/>
      <c r="CZ422" s="115"/>
      <c r="DA422" s="115"/>
      <c r="DB422" s="115"/>
      <c r="DC422" s="115"/>
      <c r="DD422" s="115"/>
      <c r="DE422" s="115"/>
      <c r="DF422" s="115"/>
      <c r="DG422" s="115"/>
      <c r="DH422" s="115"/>
      <c r="DI422" s="115"/>
      <c r="DJ422" s="115"/>
      <c r="DK422" s="115"/>
      <c r="DL422" s="115"/>
      <c r="DM422" s="115"/>
      <c r="DN422" s="115"/>
      <c r="DO422" s="115"/>
      <c r="DP422" s="115"/>
      <c r="DQ422" s="115"/>
      <c r="DR422" s="115"/>
      <c r="DS422" s="115"/>
      <c r="DT422" s="115"/>
      <c r="DU422" s="115"/>
      <c r="DV422" s="115"/>
      <c r="DW422" s="115"/>
      <c r="DX422" s="115"/>
      <c r="DY422" s="115"/>
      <c r="DZ422" s="115"/>
      <c r="EA422" s="115"/>
      <c r="EB422" s="115"/>
      <c r="EC422" s="115"/>
      <c r="ED422" s="115"/>
      <c r="EE422" s="115"/>
      <c r="EF422" s="115"/>
      <c r="EG422" s="115"/>
      <c r="EH422" s="115"/>
      <c r="EI422" s="115"/>
      <c r="EJ422" s="115"/>
      <c r="EK422" s="115"/>
      <c r="EL422" s="115"/>
      <c r="EM422" s="115"/>
      <c r="EN422" s="115"/>
      <c r="EO422" s="115"/>
      <c r="EP422" s="115"/>
      <c r="EQ422" s="115"/>
      <c r="ER422" s="115"/>
      <c r="ES422" s="115"/>
      <c r="ET422" s="115"/>
      <c r="EU422" s="115"/>
      <c r="EV422" s="115"/>
      <c r="EW422" s="115"/>
      <c r="EX422" s="115"/>
      <c r="EY422" s="115"/>
      <c r="EZ422" s="115"/>
      <c r="FA422" s="115"/>
      <c r="FB422" s="115"/>
      <c r="FC422" s="115"/>
      <c r="FD422" s="115"/>
      <c r="FE422" s="115"/>
      <c r="FF422" s="115"/>
      <c r="FG422" s="115"/>
      <c r="FH422" s="115"/>
      <c r="FI422" s="115"/>
      <c r="FJ422" s="115"/>
      <c r="FK422" s="115"/>
      <c r="FL422" s="115"/>
      <c r="FM422" s="115"/>
      <c r="FN422" s="115"/>
      <c r="FO422" s="115"/>
      <c r="FP422" s="115"/>
      <c r="FQ422" s="115"/>
      <c r="FR422" s="115"/>
      <c r="FS422" s="115"/>
      <c r="FT422" s="115"/>
      <c r="FU422" s="115"/>
      <c r="FV422" s="115"/>
      <c r="FW422" s="115"/>
      <c r="FX422" s="115"/>
      <c r="FY422" s="115"/>
      <c r="FZ422" s="115"/>
      <c r="GA422" s="115"/>
      <c r="GB422" s="115"/>
      <c r="GC422" s="115"/>
      <c r="GD422" s="115"/>
      <c r="GE422" s="115"/>
      <c r="GF422" s="115"/>
      <c r="GG422" s="115"/>
      <c r="GH422" s="115"/>
      <c r="GI422" s="115"/>
      <c r="GJ422" s="115"/>
      <c r="GK422" s="115"/>
      <c r="GL422" s="115"/>
      <c r="GM422" s="115"/>
      <c r="GN422" s="115"/>
      <c r="GO422" s="115"/>
      <c r="GP422" s="115"/>
      <c r="GQ422" s="115"/>
      <c r="GR422" s="115"/>
      <c r="GS422" s="115"/>
      <c r="GT422" s="115"/>
      <c r="GU422" s="115"/>
      <c r="GV422" s="115"/>
      <c r="GW422" s="115"/>
      <c r="GX422" s="115"/>
      <c r="GY422" s="115"/>
      <c r="GZ422" s="115"/>
      <c r="HA422" s="115"/>
      <c r="HB422" s="115"/>
      <c r="HC422" s="115"/>
      <c r="HD422" s="115"/>
      <c r="HE422" s="115"/>
      <c r="HF422" s="115"/>
      <c r="HG422" s="115"/>
      <c r="HH422" s="115"/>
      <c r="HI422" s="115"/>
      <c r="HJ422" s="115"/>
      <c r="HK422" s="115"/>
      <c r="HL422" s="115"/>
      <c r="HM422" s="115"/>
      <c r="HN422" s="115"/>
      <c r="HO422" s="115"/>
      <c r="HP422" s="115"/>
      <c r="HQ422" s="115"/>
      <c r="HR422" s="115"/>
      <c r="HS422" s="115"/>
      <c r="HT422" s="115"/>
      <c r="HU422" s="115"/>
      <c r="HV422" s="115"/>
      <c r="HW422" s="115"/>
      <c r="HX422" s="115"/>
      <c r="HY422" s="115"/>
      <c r="HZ422" s="115"/>
      <c r="IA422" s="115"/>
      <c r="IB422" s="115"/>
      <c r="IC422" s="115"/>
      <c r="ID422" s="115"/>
      <c r="IE422" s="115"/>
      <c r="IF422" s="115"/>
      <c r="IG422" s="115"/>
      <c r="IH422" s="115"/>
      <c r="II422" s="115"/>
      <c r="IJ422" s="115"/>
      <c r="IK422" s="115"/>
      <c r="IL422" s="115"/>
      <c r="IM422" s="115"/>
      <c r="IN422" s="115"/>
      <c r="IO422" s="115"/>
      <c r="IP422" s="115"/>
      <c r="IQ422" s="115"/>
      <c r="IR422" s="115"/>
      <c r="IS422" s="115"/>
      <c r="IT422" s="115"/>
      <c r="IU422" s="115"/>
      <c r="IV422" s="115"/>
      <c r="IW422" s="115"/>
      <c r="IX422" s="115"/>
      <c r="IY422" s="115"/>
      <c r="IZ422" s="115"/>
      <c r="JA422" s="115"/>
      <c r="JB422" s="115"/>
      <c r="JC422" s="115"/>
      <c r="JD422" s="115"/>
      <c r="JE422" s="115"/>
      <c r="JF422" s="115"/>
      <c r="JG422" s="115"/>
      <c r="JH422" s="115"/>
      <c r="JI422" s="115"/>
      <c r="JJ422" s="115"/>
      <c r="JK422" s="115"/>
      <c r="JL422" s="115"/>
      <c r="JM422" s="115"/>
      <c r="JN422" s="115"/>
      <c r="JO422" s="115"/>
      <c r="JP422" s="115"/>
      <c r="JQ422" s="115"/>
      <c r="JR422" s="115"/>
      <c r="JS422" s="115"/>
      <c r="JT422" s="115"/>
      <c r="JU422" s="115"/>
      <c r="JV422" s="115"/>
      <c r="JW422" s="115"/>
      <c r="JX422" s="115"/>
      <c r="JY422" s="115"/>
      <c r="JZ422" s="115"/>
      <c r="KA422" s="115"/>
      <c r="KB422" s="115"/>
      <c r="KC422" s="115"/>
      <c r="KD422" s="115"/>
      <c r="KE422" s="115"/>
      <c r="KF422" s="115"/>
      <c r="KG422" s="115"/>
      <c r="KH422" s="115"/>
      <c r="KI422" s="115"/>
      <c r="KJ422" s="115"/>
      <c r="KK422" s="115"/>
      <c r="KL422" s="115"/>
      <c r="KM422" s="115"/>
      <c r="KN422" s="115"/>
      <c r="KO422" s="115"/>
      <c r="KP422" s="115"/>
      <c r="KQ422" s="115"/>
      <c r="KR422" s="115"/>
      <c r="KS422" s="115"/>
      <c r="KT422" s="115"/>
      <c r="KU422" s="115"/>
      <c r="KV422" s="115"/>
      <c r="KW422" s="115"/>
      <c r="KX422" s="115"/>
      <c r="KY422" s="115"/>
      <c r="KZ422" s="115"/>
      <c r="LA422" s="115"/>
      <c r="LB422" s="115"/>
      <c r="LC422" s="115"/>
      <c r="LD422" s="115"/>
      <c r="LE422" s="115"/>
      <c r="LF422" s="115"/>
      <c r="LG422" s="115"/>
      <c r="LH422" s="115"/>
      <c r="LI422" s="115"/>
      <c r="LJ422" s="115"/>
      <c r="LK422" s="115"/>
      <c r="LL422" s="115"/>
      <c r="LM422" s="115"/>
      <c r="LN422" s="115"/>
      <c r="LO422" s="115"/>
      <c r="LP422" s="115"/>
      <c r="LQ422" s="115"/>
      <c r="LR422" s="115"/>
      <c r="LS422" s="115"/>
      <c r="LT422" s="115"/>
      <c r="LU422" s="115"/>
      <c r="LV422" s="115"/>
      <c r="LW422" s="115"/>
      <c r="LX422" s="115"/>
      <c r="LY422" s="115"/>
      <c r="LZ422" s="115"/>
      <c r="MA422" s="115"/>
      <c r="MB422" s="115"/>
      <c r="MC422" s="115"/>
      <c r="MD422" s="115"/>
      <c r="ME422" s="115"/>
      <c r="MF422" s="115"/>
      <c r="MG422" s="115"/>
      <c r="MH422" s="115"/>
      <c r="MI422" s="115"/>
      <c r="MJ422" s="115"/>
      <c r="MK422" s="115"/>
      <c r="ML422" s="115"/>
      <c r="MM422" s="115"/>
      <c r="MN422" s="115"/>
      <c r="MO422" s="115"/>
      <c r="MP422" s="115"/>
      <c r="MQ422" s="115"/>
      <c r="MR422" s="115"/>
      <c r="MS422" s="115"/>
      <c r="MT422" s="115"/>
      <c r="MU422" s="115"/>
      <c r="MV422" s="115"/>
      <c r="MW422" s="115"/>
      <c r="MX422" s="115"/>
      <c r="MY422" s="115"/>
      <c r="MZ422" s="115"/>
      <c r="NA422" s="115"/>
      <c r="NB422" s="115"/>
      <c r="NC422" s="115"/>
      <c r="ND422" s="115"/>
      <c r="NE422" s="115"/>
      <c r="NF422" s="115"/>
      <c r="NG422" s="115"/>
      <c r="NH422" s="115"/>
      <c r="NI422" s="115"/>
      <c r="NJ422" s="115"/>
      <c r="NK422" s="115"/>
      <c r="NL422" s="115"/>
      <c r="NM422" s="115"/>
      <c r="NN422" s="115"/>
      <c r="NO422" s="115"/>
      <c r="NP422" s="115"/>
      <c r="NQ422" s="115"/>
      <c r="NR422" s="115"/>
      <c r="NS422" s="115"/>
      <c r="NT422" s="115"/>
      <c r="NU422" s="115"/>
      <c r="NV422" s="115"/>
      <c r="NW422" s="115"/>
      <c r="NX422" s="115"/>
      <c r="NY422" s="115"/>
      <c r="NZ422" s="115"/>
      <c r="OA422" s="115"/>
      <c r="OB422" s="115"/>
      <c r="OC422" s="115"/>
      <c r="OD422" s="115"/>
      <c r="OE422" s="115"/>
      <c r="OF422" s="115"/>
      <c r="OG422" s="115"/>
      <c r="OH422" s="115"/>
      <c r="OI422" s="115"/>
      <c r="OJ422" s="115"/>
      <c r="OK422" s="115"/>
      <c r="OL422" s="115"/>
      <c r="OM422" s="115"/>
      <c r="ON422" s="115"/>
      <c r="OO422" s="115"/>
      <c r="OP422" s="115"/>
      <c r="OQ422" s="115"/>
      <c r="OR422" s="115"/>
      <c r="OS422" s="115"/>
      <c r="OT422" s="115"/>
      <c r="OU422" s="115"/>
      <c r="OV422" s="115"/>
      <c r="OW422" s="115"/>
      <c r="OX422" s="115"/>
      <c r="OY422" s="115"/>
      <c r="OZ422" s="115"/>
      <c r="PA422" s="115"/>
      <c r="PB422" s="115"/>
      <c r="PC422" s="115"/>
      <c r="PD422" s="115"/>
      <c r="PE422" s="115"/>
      <c r="PF422" s="115"/>
      <c r="PG422" s="115"/>
      <c r="PH422" s="115"/>
      <c r="PI422" s="115"/>
      <c r="PJ422" s="115"/>
      <c r="PK422" s="115"/>
      <c r="PL422" s="115"/>
      <c r="PM422" s="115"/>
      <c r="PN422" s="115"/>
      <c r="PO422" s="115"/>
      <c r="PP422" s="115"/>
      <c r="PQ422" s="115"/>
      <c r="PR422" s="115"/>
      <c r="PS422" s="115"/>
      <c r="PT422" s="115"/>
      <c r="PU422" s="115"/>
      <c r="PV422" s="115"/>
      <c r="PW422" s="115"/>
      <c r="PX422" s="115"/>
      <c r="PY422" s="115"/>
      <c r="PZ422" s="115"/>
      <c r="QA422" s="115"/>
      <c r="QB422" s="115"/>
      <c r="QC422" s="115"/>
      <c r="QD422" s="115"/>
      <c r="QE422" s="115"/>
      <c r="QF422" s="115"/>
      <c r="QG422" s="115"/>
      <c r="QH422" s="115"/>
      <c r="QI422" s="115"/>
      <c r="QJ422" s="115"/>
      <c r="QK422" s="115"/>
      <c r="QL422" s="115"/>
      <c r="QM422" s="115"/>
      <c r="QN422" s="115"/>
      <c r="QO422" s="115"/>
      <c r="QP422" s="115"/>
      <c r="QQ422" s="115"/>
      <c r="QR422" s="115"/>
      <c r="QS422" s="115"/>
      <c r="QT422" s="115"/>
      <c r="QU422" s="115"/>
      <c r="QV422" s="115"/>
      <c r="QW422" s="115"/>
      <c r="QX422" s="115"/>
      <c r="QY422" s="115"/>
      <c r="QZ422" s="115"/>
      <c r="RA422" s="115"/>
      <c r="RB422" s="115"/>
      <c r="RC422" s="115"/>
      <c r="RD422" s="115"/>
      <c r="RE422" s="115"/>
      <c r="RF422" s="115"/>
      <c r="RG422" s="115"/>
      <c r="RH422" s="115"/>
      <c r="RI422" s="115"/>
      <c r="RJ422" s="115"/>
      <c r="RK422" s="115"/>
      <c r="RL422" s="115"/>
      <c r="RM422" s="115"/>
      <c r="RN422" s="115"/>
      <c r="RO422" s="115"/>
      <c r="RP422" s="115"/>
      <c r="RQ422" s="115"/>
      <c r="RR422" s="115"/>
      <c r="RS422" s="115"/>
      <c r="RT422" s="115"/>
      <c r="RU422" s="115"/>
      <c r="RV422" s="115"/>
      <c r="RW422" s="115"/>
      <c r="RX422" s="115"/>
      <c r="RY422" s="115"/>
      <c r="RZ422" s="115"/>
      <c r="SA422" s="115"/>
      <c r="SB422" s="115"/>
      <c r="SC422" s="115"/>
      <c r="SD422" s="115"/>
      <c r="SE422" s="115"/>
      <c r="SF422" s="115"/>
      <c r="SG422" s="115"/>
      <c r="SH422" s="115"/>
      <c r="SI422" s="115"/>
      <c r="SJ422" s="115"/>
      <c r="SK422" s="115"/>
      <c r="SL422" s="115"/>
      <c r="SM422" s="115"/>
      <c r="SN422" s="115"/>
      <c r="SO422" s="115"/>
      <c r="SP422" s="115"/>
      <c r="SQ422" s="115"/>
      <c r="SR422" s="115"/>
      <c r="SS422" s="115"/>
      <c r="ST422" s="115"/>
      <c r="SU422" s="115"/>
      <c r="SV422" s="115"/>
      <c r="SW422" s="115"/>
      <c r="SX422" s="115"/>
      <c r="SY422" s="115"/>
      <c r="SZ422" s="115"/>
      <c r="TA422" s="115"/>
      <c r="TB422" s="115"/>
      <c r="TC422" s="115"/>
      <c r="TD422" s="115"/>
      <c r="TE422" s="115"/>
    </row>
    <row r="423" spans="1:525" s="116" customFormat="1" ht="18.75" hidden="1" customHeight="1" x14ac:dyDescent="0.25">
      <c r="A423" s="161"/>
      <c r="B423" s="162"/>
      <c r="C423" s="162"/>
      <c r="D423" s="163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259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/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/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/>
      <c r="FV423" s="115"/>
      <c r="FW423" s="115"/>
      <c r="FX423" s="115"/>
      <c r="FY423" s="115"/>
      <c r="FZ423" s="115"/>
      <c r="GA423" s="115"/>
      <c r="GB423" s="115"/>
      <c r="GC423" s="115"/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  <c r="HE423" s="115"/>
      <c r="HF423" s="115"/>
      <c r="HG423" s="115"/>
      <c r="HH423" s="115"/>
      <c r="HI423" s="115"/>
      <c r="HJ423" s="115"/>
      <c r="HK423" s="115"/>
      <c r="HL423" s="115"/>
      <c r="HM423" s="115"/>
      <c r="HN423" s="115"/>
      <c r="HO423" s="115"/>
      <c r="HP423" s="115"/>
      <c r="HQ423" s="115"/>
      <c r="HR423" s="115"/>
      <c r="HS423" s="115"/>
      <c r="HT423" s="115"/>
      <c r="HU423" s="115"/>
      <c r="HV423" s="115"/>
      <c r="HW423" s="115"/>
      <c r="HX423" s="115"/>
      <c r="HY423" s="115"/>
      <c r="HZ423" s="115"/>
      <c r="IA423" s="115"/>
      <c r="IB423" s="115"/>
      <c r="IC423" s="115"/>
      <c r="ID423" s="115"/>
      <c r="IE423" s="115"/>
      <c r="IF423" s="115"/>
      <c r="IG423" s="115"/>
      <c r="IH423" s="115"/>
      <c r="II423" s="115"/>
      <c r="IJ423" s="115"/>
      <c r="IK423" s="115"/>
      <c r="IL423" s="115"/>
      <c r="IM423" s="115"/>
      <c r="IN423" s="115"/>
      <c r="IO423" s="115"/>
      <c r="IP423" s="115"/>
      <c r="IQ423" s="115"/>
      <c r="IR423" s="115"/>
      <c r="IS423" s="115"/>
      <c r="IT423" s="115"/>
      <c r="IU423" s="115"/>
      <c r="IV423" s="115"/>
      <c r="IW423" s="115"/>
      <c r="IX423" s="115"/>
      <c r="IY423" s="115"/>
      <c r="IZ423" s="115"/>
      <c r="JA423" s="115"/>
      <c r="JB423" s="115"/>
      <c r="JC423" s="115"/>
      <c r="JD423" s="115"/>
      <c r="JE423" s="115"/>
      <c r="JF423" s="115"/>
      <c r="JG423" s="115"/>
      <c r="JH423" s="115"/>
      <c r="JI423" s="115"/>
      <c r="JJ423" s="115"/>
      <c r="JK423" s="115"/>
      <c r="JL423" s="115"/>
      <c r="JM423" s="115"/>
      <c r="JN423" s="115"/>
      <c r="JO423" s="115"/>
      <c r="JP423" s="115"/>
      <c r="JQ423" s="115"/>
      <c r="JR423" s="115"/>
      <c r="JS423" s="115"/>
      <c r="JT423" s="115"/>
      <c r="JU423" s="115"/>
      <c r="JV423" s="115"/>
      <c r="JW423" s="115"/>
      <c r="JX423" s="115"/>
      <c r="JY423" s="115"/>
      <c r="JZ423" s="115"/>
      <c r="KA423" s="115"/>
      <c r="KB423" s="115"/>
      <c r="KC423" s="115"/>
      <c r="KD423" s="115"/>
      <c r="KE423" s="115"/>
      <c r="KF423" s="115"/>
      <c r="KG423" s="115"/>
      <c r="KH423" s="115"/>
      <c r="KI423" s="115"/>
      <c r="KJ423" s="115"/>
      <c r="KK423" s="115"/>
      <c r="KL423" s="115"/>
      <c r="KM423" s="115"/>
      <c r="KN423" s="115"/>
      <c r="KO423" s="115"/>
      <c r="KP423" s="115"/>
      <c r="KQ423" s="115"/>
      <c r="KR423" s="115"/>
      <c r="KS423" s="115"/>
      <c r="KT423" s="115"/>
      <c r="KU423" s="115"/>
      <c r="KV423" s="115"/>
      <c r="KW423" s="115"/>
      <c r="KX423" s="115"/>
      <c r="KY423" s="115"/>
      <c r="KZ423" s="115"/>
      <c r="LA423" s="115"/>
      <c r="LB423" s="115"/>
      <c r="LC423" s="115"/>
      <c r="LD423" s="115"/>
      <c r="LE423" s="115"/>
      <c r="LF423" s="115"/>
      <c r="LG423" s="115"/>
      <c r="LH423" s="115"/>
      <c r="LI423" s="115"/>
      <c r="LJ423" s="115"/>
      <c r="LK423" s="115"/>
      <c r="LL423" s="115"/>
      <c r="LM423" s="115"/>
      <c r="LN423" s="115"/>
      <c r="LO423" s="115"/>
      <c r="LP423" s="115"/>
      <c r="LQ423" s="115"/>
      <c r="LR423" s="115"/>
      <c r="LS423" s="115"/>
      <c r="LT423" s="115"/>
      <c r="LU423" s="115"/>
      <c r="LV423" s="115"/>
      <c r="LW423" s="115"/>
      <c r="LX423" s="115"/>
      <c r="LY423" s="115"/>
      <c r="LZ423" s="115"/>
      <c r="MA423" s="115"/>
      <c r="MB423" s="115"/>
      <c r="MC423" s="115"/>
      <c r="MD423" s="115"/>
      <c r="ME423" s="115"/>
      <c r="MF423" s="115"/>
      <c r="MG423" s="115"/>
      <c r="MH423" s="115"/>
      <c r="MI423" s="115"/>
      <c r="MJ423" s="115"/>
      <c r="MK423" s="115"/>
      <c r="ML423" s="115"/>
      <c r="MM423" s="115"/>
      <c r="MN423" s="115"/>
      <c r="MO423" s="115"/>
      <c r="MP423" s="115"/>
      <c r="MQ423" s="115"/>
      <c r="MR423" s="115"/>
      <c r="MS423" s="115"/>
      <c r="MT423" s="115"/>
      <c r="MU423" s="115"/>
      <c r="MV423" s="115"/>
      <c r="MW423" s="115"/>
      <c r="MX423" s="115"/>
      <c r="MY423" s="115"/>
      <c r="MZ423" s="115"/>
      <c r="NA423" s="115"/>
      <c r="NB423" s="115"/>
      <c r="NC423" s="115"/>
      <c r="ND423" s="115"/>
      <c r="NE423" s="115"/>
      <c r="NF423" s="115"/>
      <c r="NG423" s="115"/>
      <c r="NH423" s="115"/>
      <c r="NI423" s="115"/>
      <c r="NJ423" s="115"/>
      <c r="NK423" s="115"/>
      <c r="NL423" s="115"/>
      <c r="NM423" s="115"/>
      <c r="NN423" s="115"/>
      <c r="NO423" s="115"/>
      <c r="NP423" s="115"/>
      <c r="NQ423" s="115"/>
      <c r="NR423" s="115"/>
      <c r="NS423" s="115"/>
      <c r="NT423" s="115"/>
      <c r="NU423" s="115"/>
      <c r="NV423" s="115"/>
      <c r="NW423" s="115"/>
      <c r="NX423" s="115"/>
      <c r="NY423" s="115"/>
      <c r="NZ423" s="115"/>
      <c r="OA423" s="115"/>
      <c r="OB423" s="115"/>
      <c r="OC423" s="115"/>
      <c r="OD423" s="115"/>
      <c r="OE423" s="115"/>
      <c r="OF423" s="115"/>
      <c r="OG423" s="115"/>
      <c r="OH423" s="115"/>
      <c r="OI423" s="115"/>
      <c r="OJ423" s="115"/>
      <c r="OK423" s="115"/>
      <c r="OL423" s="115"/>
      <c r="OM423" s="115"/>
      <c r="ON423" s="115"/>
      <c r="OO423" s="115"/>
      <c r="OP423" s="115"/>
      <c r="OQ423" s="115"/>
      <c r="OR423" s="115"/>
      <c r="OS423" s="115"/>
      <c r="OT423" s="115"/>
      <c r="OU423" s="115"/>
      <c r="OV423" s="115"/>
      <c r="OW423" s="115"/>
      <c r="OX423" s="115"/>
      <c r="OY423" s="115"/>
      <c r="OZ423" s="115"/>
      <c r="PA423" s="115"/>
      <c r="PB423" s="115"/>
      <c r="PC423" s="115"/>
      <c r="PD423" s="115"/>
      <c r="PE423" s="115"/>
      <c r="PF423" s="115"/>
      <c r="PG423" s="115"/>
      <c r="PH423" s="115"/>
      <c r="PI423" s="115"/>
      <c r="PJ423" s="115"/>
      <c r="PK423" s="115"/>
      <c r="PL423" s="115"/>
      <c r="PM423" s="115"/>
      <c r="PN423" s="115"/>
      <c r="PO423" s="115"/>
      <c r="PP423" s="115"/>
      <c r="PQ423" s="115"/>
      <c r="PR423" s="115"/>
      <c r="PS423" s="115"/>
      <c r="PT423" s="115"/>
      <c r="PU423" s="115"/>
      <c r="PV423" s="115"/>
      <c r="PW423" s="115"/>
      <c r="PX423" s="115"/>
      <c r="PY423" s="115"/>
      <c r="PZ423" s="115"/>
      <c r="QA423" s="115"/>
      <c r="QB423" s="115"/>
      <c r="QC423" s="115"/>
      <c r="QD423" s="115"/>
      <c r="QE423" s="115"/>
      <c r="QF423" s="115"/>
      <c r="QG423" s="115"/>
      <c r="QH423" s="115"/>
      <c r="QI423" s="115"/>
      <c r="QJ423" s="115"/>
      <c r="QK423" s="115"/>
      <c r="QL423" s="115"/>
      <c r="QM423" s="115"/>
      <c r="QN423" s="115"/>
      <c r="QO423" s="115"/>
      <c r="QP423" s="115"/>
      <c r="QQ423" s="115"/>
      <c r="QR423" s="115"/>
      <c r="QS423" s="115"/>
      <c r="QT423" s="115"/>
      <c r="QU423" s="115"/>
      <c r="QV423" s="115"/>
      <c r="QW423" s="115"/>
      <c r="QX423" s="115"/>
      <c r="QY423" s="115"/>
      <c r="QZ423" s="115"/>
      <c r="RA423" s="115"/>
      <c r="RB423" s="115"/>
      <c r="RC423" s="115"/>
      <c r="RD423" s="115"/>
      <c r="RE423" s="115"/>
      <c r="RF423" s="115"/>
      <c r="RG423" s="115"/>
      <c r="RH423" s="115"/>
      <c r="RI423" s="115"/>
      <c r="RJ423" s="115"/>
      <c r="RK423" s="115"/>
      <c r="RL423" s="115"/>
      <c r="RM423" s="115"/>
      <c r="RN423" s="115"/>
      <c r="RO423" s="115"/>
      <c r="RP423" s="115"/>
      <c r="RQ423" s="115"/>
      <c r="RR423" s="115"/>
      <c r="RS423" s="115"/>
      <c r="RT423" s="115"/>
      <c r="RU423" s="115"/>
      <c r="RV423" s="115"/>
      <c r="RW423" s="115"/>
      <c r="RX423" s="115"/>
      <c r="RY423" s="115"/>
      <c r="RZ423" s="115"/>
      <c r="SA423" s="115"/>
      <c r="SB423" s="115"/>
      <c r="SC423" s="115"/>
      <c r="SD423" s="115"/>
      <c r="SE423" s="115"/>
      <c r="SF423" s="115"/>
      <c r="SG423" s="115"/>
      <c r="SH423" s="115"/>
      <c r="SI423" s="115"/>
      <c r="SJ423" s="115"/>
      <c r="SK423" s="115"/>
      <c r="SL423" s="115"/>
      <c r="SM423" s="115"/>
      <c r="SN423" s="115"/>
      <c r="SO423" s="115"/>
      <c r="SP423" s="115"/>
      <c r="SQ423" s="115"/>
      <c r="SR423" s="115"/>
      <c r="SS423" s="115"/>
      <c r="ST423" s="115"/>
      <c r="SU423" s="115"/>
      <c r="SV423" s="115"/>
      <c r="SW423" s="115"/>
      <c r="SX423" s="115"/>
      <c r="SY423" s="115"/>
      <c r="SZ423" s="115"/>
      <c r="TA423" s="115"/>
      <c r="TB423" s="115"/>
      <c r="TC423" s="115"/>
      <c r="TD423" s="115"/>
      <c r="TE423" s="115"/>
    </row>
    <row r="424" spans="1:525" s="111" customFormat="1" ht="30" hidden="1" customHeight="1" x14ac:dyDescent="0.25">
      <c r="A424" s="210"/>
      <c r="B424" s="164"/>
      <c r="C424" s="165"/>
      <c r="D424" s="166"/>
      <c r="E424" s="88"/>
      <c r="F424" s="87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259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/>
      <c r="FV424" s="110"/>
      <c r="FW424" s="110"/>
      <c r="FX424" s="110"/>
      <c r="FY424" s="110"/>
      <c r="FZ424" s="110"/>
      <c r="GA424" s="110"/>
      <c r="GB424" s="110"/>
      <c r="GC424" s="110"/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/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/>
      <c r="IE424" s="110"/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/>
      <c r="IV424" s="110"/>
      <c r="IW424" s="110"/>
      <c r="IX424" s="110"/>
      <c r="IY424" s="110"/>
      <c r="IZ424" s="110"/>
      <c r="JA424" s="110"/>
      <c r="JB424" s="110"/>
      <c r="JC424" s="110"/>
      <c r="JD424" s="110"/>
      <c r="JE424" s="110"/>
      <c r="JF424" s="110"/>
      <c r="JG424" s="110"/>
      <c r="JH424" s="110"/>
      <c r="JI424" s="110"/>
      <c r="JJ424" s="110"/>
      <c r="JK424" s="110"/>
      <c r="JL424" s="110"/>
      <c r="JM424" s="110"/>
      <c r="JN424" s="110"/>
      <c r="JO424" s="110"/>
      <c r="JP424" s="110"/>
      <c r="JQ424" s="110"/>
      <c r="JR424" s="110"/>
      <c r="JS424" s="110"/>
      <c r="JT424" s="110"/>
      <c r="JU424" s="110"/>
      <c r="JV424" s="110"/>
      <c r="JW424" s="110"/>
      <c r="JX424" s="110"/>
      <c r="JY424" s="110"/>
      <c r="JZ424" s="110"/>
      <c r="KA424" s="110"/>
      <c r="KB424" s="110"/>
      <c r="KC424" s="110"/>
      <c r="KD424" s="110"/>
      <c r="KE424" s="110"/>
      <c r="KF424" s="110"/>
      <c r="KG424" s="110"/>
      <c r="KH424" s="110"/>
      <c r="KI424" s="110"/>
      <c r="KJ424" s="110"/>
      <c r="KK424" s="110"/>
      <c r="KL424" s="110"/>
      <c r="KM424" s="110"/>
      <c r="KN424" s="110"/>
      <c r="KO424" s="110"/>
      <c r="KP424" s="110"/>
      <c r="KQ424" s="110"/>
      <c r="KR424" s="110"/>
      <c r="KS424" s="110"/>
      <c r="KT424" s="110"/>
      <c r="KU424" s="110"/>
      <c r="KV424" s="110"/>
      <c r="KW424" s="110"/>
      <c r="KX424" s="110"/>
      <c r="KY424" s="110"/>
      <c r="KZ424" s="110"/>
      <c r="LA424" s="110"/>
      <c r="LB424" s="110"/>
      <c r="LC424" s="110"/>
      <c r="LD424" s="110"/>
      <c r="LE424" s="110"/>
      <c r="LF424" s="110"/>
      <c r="LG424" s="110"/>
      <c r="LH424" s="110"/>
      <c r="LI424" s="110"/>
      <c r="LJ424" s="110"/>
      <c r="LK424" s="110"/>
      <c r="LL424" s="110"/>
      <c r="LM424" s="110"/>
      <c r="LN424" s="110"/>
      <c r="LO424" s="110"/>
      <c r="LP424" s="110"/>
      <c r="LQ424" s="110"/>
      <c r="LR424" s="110"/>
      <c r="LS424" s="110"/>
      <c r="LT424" s="110"/>
      <c r="LU424" s="110"/>
      <c r="LV424" s="110"/>
      <c r="LW424" s="110"/>
      <c r="LX424" s="110"/>
      <c r="LY424" s="110"/>
      <c r="LZ424" s="110"/>
      <c r="MA424" s="110"/>
      <c r="MB424" s="110"/>
      <c r="MC424" s="110"/>
      <c r="MD424" s="110"/>
      <c r="ME424" s="110"/>
      <c r="MF424" s="110"/>
      <c r="MG424" s="110"/>
      <c r="MH424" s="110"/>
      <c r="MI424" s="110"/>
      <c r="MJ424" s="110"/>
      <c r="MK424" s="110"/>
      <c r="ML424" s="110"/>
      <c r="MM424" s="110"/>
      <c r="MN424" s="110"/>
      <c r="MO424" s="110"/>
      <c r="MP424" s="110"/>
      <c r="MQ424" s="110"/>
      <c r="MR424" s="110"/>
      <c r="MS424" s="110"/>
      <c r="MT424" s="110"/>
      <c r="MU424" s="110"/>
      <c r="MV424" s="110"/>
      <c r="MW424" s="110"/>
      <c r="MX424" s="110"/>
      <c r="MY424" s="110"/>
      <c r="MZ424" s="110"/>
      <c r="NA424" s="110"/>
      <c r="NB424" s="110"/>
      <c r="NC424" s="110"/>
      <c r="ND424" s="110"/>
      <c r="NE424" s="110"/>
      <c r="NF424" s="110"/>
      <c r="NG424" s="110"/>
      <c r="NH424" s="110"/>
      <c r="NI424" s="110"/>
      <c r="NJ424" s="110"/>
      <c r="NK424" s="110"/>
      <c r="NL424" s="110"/>
      <c r="NM424" s="110"/>
      <c r="NN424" s="110"/>
      <c r="NO424" s="110"/>
      <c r="NP424" s="110"/>
      <c r="NQ424" s="110"/>
      <c r="NR424" s="110"/>
      <c r="NS424" s="110"/>
      <c r="NT424" s="110"/>
      <c r="NU424" s="110"/>
      <c r="NV424" s="110"/>
      <c r="NW424" s="110"/>
      <c r="NX424" s="110"/>
      <c r="NY424" s="110"/>
      <c r="NZ424" s="110"/>
      <c r="OA424" s="110"/>
      <c r="OB424" s="110"/>
      <c r="OC424" s="110"/>
      <c r="OD424" s="110"/>
      <c r="OE424" s="110"/>
      <c r="OF424" s="110"/>
      <c r="OG424" s="110"/>
      <c r="OH424" s="110"/>
      <c r="OI424" s="110"/>
      <c r="OJ424" s="110"/>
      <c r="OK424" s="110"/>
      <c r="OL424" s="110"/>
      <c r="OM424" s="110"/>
      <c r="ON424" s="110"/>
      <c r="OO424" s="110"/>
      <c r="OP424" s="110"/>
      <c r="OQ424" s="110"/>
      <c r="OR424" s="110"/>
      <c r="OS424" s="110"/>
      <c r="OT424" s="110"/>
      <c r="OU424" s="110"/>
      <c r="OV424" s="110"/>
      <c r="OW424" s="110"/>
      <c r="OX424" s="110"/>
      <c r="OY424" s="110"/>
      <c r="OZ424" s="110"/>
      <c r="PA424" s="110"/>
      <c r="PB424" s="110"/>
      <c r="PC424" s="110"/>
      <c r="PD424" s="110"/>
      <c r="PE424" s="110"/>
      <c r="PF424" s="110"/>
      <c r="PG424" s="110"/>
      <c r="PH424" s="110"/>
      <c r="PI424" s="110"/>
      <c r="PJ424" s="110"/>
      <c r="PK424" s="110"/>
      <c r="PL424" s="110"/>
      <c r="PM424" s="110"/>
      <c r="PN424" s="110"/>
      <c r="PO424" s="110"/>
      <c r="PP424" s="110"/>
      <c r="PQ424" s="110"/>
      <c r="PR424" s="110"/>
      <c r="PS424" s="110"/>
      <c r="PT424" s="110"/>
      <c r="PU424" s="110"/>
      <c r="PV424" s="110"/>
      <c r="PW424" s="110"/>
      <c r="PX424" s="110"/>
      <c r="PY424" s="110"/>
      <c r="PZ424" s="110"/>
      <c r="QA424" s="110"/>
      <c r="QB424" s="110"/>
      <c r="QC424" s="110"/>
      <c r="QD424" s="110"/>
      <c r="QE424" s="110"/>
      <c r="QF424" s="110"/>
      <c r="QG424" s="110"/>
      <c r="QH424" s="110"/>
      <c r="QI424" s="110"/>
      <c r="QJ424" s="110"/>
      <c r="QK424" s="110"/>
      <c r="QL424" s="110"/>
      <c r="QM424" s="110"/>
      <c r="QN424" s="110"/>
      <c r="QO424" s="110"/>
      <c r="QP424" s="110"/>
      <c r="QQ424" s="110"/>
      <c r="QR424" s="110"/>
      <c r="QS424" s="110"/>
      <c r="QT424" s="110"/>
      <c r="QU424" s="110"/>
      <c r="QV424" s="110"/>
      <c r="QW424" s="110"/>
      <c r="QX424" s="110"/>
      <c r="QY424" s="110"/>
      <c r="QZ424" s="110"/>
      <c r="RA424" s="110"/>
      <c r="RB424" s="110"/>
      <c r="RC424" s="110"/>
      <c r="RD424" s="110"/>
      <c r="RE424" s="110"/>
      <c r="RF424" s="110"/>
      <c r="RG424" s="110"/>
      <c r="RH424" s="110"/>
      <c r="RI424" s="110"/>
      <c r="RJ424" s="110"/>
      <c r="RK424" s="110"/>
      <c r="RL424" s="110"/>
      <c r="RM424" s="110"/>
      <c r="RN424" s="110"/>
      <c r="RO424" s="110"/>
      <c r="RP424" s="110"/>
      <c r="RQ424" s="110"/>
      <c r="RR424" s="110"/>
      <c r="RS424" s="110"/>
      <c r="RT424" s="110"/>
      <c r="RU424" s="110"/>
      <c r="RV424" s="110"/>
      <c r="RW424" s="110"/>
      <c r="RX424" s="110"/>
      <c r="RY424" s="110"/>
      <c r="RZ424" s="110"/>
      <c r="SA424" s="110"/>
      <c r="SB424" s="110"/>
      <c r="SC424" s="110"/>
      <c r="SD424" s="110"/>
      <c r="SE424" s="110"/>
      <c r="SF424" s="110"/>
      <c r="SG424" s="110"/>
      <c r="SH424" s="110"/>
      <c r="SI424" s="110"/>
      <c r="SJ424" s="110"/>
      <c r="SK424" s="110"/>
      <c r="SL424" s="110"/>
      <c r="SM424" s="110"/>
      <c r="SN424" s="110"/>
      <c r="SO424" s="110"/>
      <c r="SP424" s="110"/>
      <c r="SQ424" s="110"/>
      <c r="SR424" s="110"/>
      <c r="SS424" s="110"/>
      <c r="ST424" s="110"/>
      <c r="SU424" s="110"/>
      <c r="SV424" s="110"/>
      <c r="SW424" s="110"/>
      <c r="SX424" s="110"/>
      <c r="SY424" s="110"/>
      <c r="SZ424" s="110"/>
      <c r="TA424" s="110"/>
      <c r="TB424" s="110"/>
      <c r="TC424" s="110"/>
      <c r="TD424" s="110"/>
      <c r="TE424" s="110"/>
    </row>
    <row r="425" spans="1:525" s="111" customFormat="1" ht="32.25" hidden="1" customHeight="1" x14ac:dyDescent="0.25">
      <c r="A425" s="210"/>
      <c r="B425" s="164"/>
      <c r="C425" s="165"/>
      <c r="D425" s="166"/>
      <c r="E425" s="88">
        <f>E419-'дод 6'!D292</f>
        <v>0</v>
      </c>
      <c r="F425" s="88">
        <f>F419-'дод 6'!E292</f>
        <v>0</v>
      </c>
      <c r="G425" s="88">
        <f>G419-'дод 6'!F292</f>
        <v>0</v>
      </c>
      <c r="H425" s="88">
        <f>H419-'дод 6'!G292</f>
        <v>0</v>
      </c>
      <c r="I425" s="88">
        <f>I419-'дод 6'!H292</f>
        <v>0</v>
      </c>
      <c r="J425" s="88">
        <f>J419-'дод 6'!I292</f>
        <v>0</v>
      </c>
      <c r="K425" s="88">
        <f>K419-'дод 6'!J292</f>
        <v>0</v>
      </c>
      <c r="L425" s="88">
        <f>L419-'дод 6'!K292</f>
        <v>0</v>
      </c>
      <c r="M425" s="88">
        <f>M419-'дод 6'!L292</f>
        <v>0</v>
      </c>
      <c r="N425" s="88">
        <f>N419-'дод 6'!M292</f>
        <v>0</v>
      </c>
      <c r="O425" s="88">
        <f>O419-'дод 6'!N292</f>
        <v>0</v>
      </c>
      <c r="P425" s="88">
        <f>P419-'дод 6'!O292</f>
        <v>0</v>
      </c>
      <c r="Q425" s="259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  <c r="CX425" s="110"/>
      <c r="CY425" s="110"/>
      <c r="CZ425" s="110"/>
      <c r="DA425" s="110"/>
      <c r="DB425" s="110"/>
      <c r="DC425" s="110"/>
      <c r="DD425" s="110"/>
      <c r="DE425" s="110"/>
      <c r="DF425" s="110"/>
      <c r="DG425" s="110"/>
      <c r="DH425" s="110"/>
      <c r="DI425" s="110"/>
      <c r="DJ425" s="110"/>
      <c r="DK425" s="110"/>
      <c r="DL425" s="110"/>
      <c r="DM425" s="110"/>
      <c r="DN425" s="110"/>
      <c r="DO425" s="110"/>
      <c r="DP425" s="110"/>
      <c r="DQ425" s="110"/>
      <c r="DR425" s="110"/>
      <c r="DS425" s="110"/>
      <c r="DT425" s="110"/>
      <c r="DU425" s="110"/>
      <c r="DV425" s="110"/>
      <c r="DW425" s="110"/>
      <c r="DX425" s="110"/>
      <c r="DY425" s="110"/>
      <c r="DZ425" s="110"/>
      <c r="EA425" s="110"/>
      <c r="EB425" s="110"/>
      <c r="EC425" s="110"/>
      <c r="ED425" s="110"/>
      <c r="EE425" s="110"/>
      <c r="EF425" s="110"/>
      <c r="EG425" s="110"/>
      <c r="EH425" s="110"/>
      <c r="EI425" s="110"/>
      <c r="EJ425" s="110"/>
      <c r="EK425" s="110"/>
      <c r="EL425" s="110"/>
      <c r="EM425" s="110"/>
      <c r="EN425" s="110"/>
      <c r="EO425" s="110"/>
      <c r="EP425" s="110"/>
      <c r="EQ425" s="110"/>
      <c r="ER425" s="110"/>
      <c r="ES425" s="110"/>
      <c r="ET425" s="110"/>
      <c r="EU425" s="110"/>
      <c r="EV425" s="110"/>
      <c r="EW425" s="110"/>
      <c r="EX425" s="110"/>
      <c r="EY425" s="110"/>
      <c r="EZ425" s="110"/>
      <c r="FA425" s="110"/>
      <c r="FB425" s="110"/>
      <c r="FC425" s="110"/>
      <c r="FD425" s="110"/>
      <c r="FE425" s="110"/>
      <c r="FF425" s="110"/>
      <c r="FG425" s="110"/>
      <c r="FH425" s="110"/>
      <c r="FI425" s="110"/>
      <c r="FJ425" s="110"/>
      <c r="FK425" s="110"/>
      <c r="FL425" s="110"/>
      <c r="FM425" s="110"/>
      <c r="FN425" s="110"/>
      <c r="FO425" s="110"/>
      <c r="FP425" s="110"/>
      <c r="FQ425" s="110"/>
      <c r="FR425" s="110"/>
      <c r="FS425" s="110"/>
      <c r="FT425" s="110"/>
      <c r="FU425" s="110"/>
      <c r="FV425" s="110"/>
      <c r="FW425" s="110"/>
      <c r="FX425" s="110"/>
      <c r="FY425" s="110"/>
      <c r="FZ425" s="110"/>
      <c r="GA425" s="110"/>
      <c r="GB425" s="110"/>
      <c r="GC425" s="110"/>
      <c r="GD425" s="110"/>
      <c r="GE425" s="110"/>
      <c r="GF425" s="110"/>
      <c r="GG425" s="110"/>
      <c r="GH425" s="110"/>
      <c r="GI425" s="110"/>
      <c r="GJ425" s="110"/>
      <c r="GK425" s="110"/>
      <c r="GL425" s="110"/>
      <c r="GM425" s="110"/>
      <c r="GN425" s="110"/>
      <c r="GO425" s="110"/>
      <c r="GP425" s="110"/>
      <c r="GQ425" s="110"/>
      <c r="GR425" s="110"/>
      <c r="GS425" s="110"/>
      <c r="GT425" s="110"/>
      <c r="GU425" s="110"/>
      <c r="GV425" s="110"/>
      <c r="GW425" s="110"/>
      <c r="GX425" s="110"/>
      <c r="GY425" s="110"/>
      <c r="GZ425" s="110"/>
      <c r="HA425" s="110"/>
      <c r="HB425" s="110"/>
      <c r="HC425" s="110"/>
      <c r="HD425" s="110"/>
      <c r="HE425" s="110"/>
      <c r="HF425" s="110"/>
      <c r="HG425" s="110"/>
      <c r="HH425" s="110"/>
      <c r="HI425" s="110"/>
      <c r="HJ425" s="110"/>
      <c r="HK425" s="110"/>
      <c r="HL425" s="110"/>
      <c r="HM425" s="110"/>
      <c r="HN425" s="110"/>
      <c r="HO425" s="110"/>
      <c r="HP425" s="110"/>
      <c r="HQ425" s="110"/>
      <c r="HR425" s="110"/>
      <c r="HS425" s="110"/>
      <c r="HT425" s="110"/>
      <c r="HU425" s="110"/>
      <c r="HV425" s="110"/>
      <c r="HW425" s="110"/>
      <c r="HX425" s="110"/>
      <c r="HY425" s="110"/>
      <c r="HZ425" s="110"/>
      <c r="IA425" s="110"/>
      <c r="IB425" s="110"/>
      <c r="IC425" s="110"/>
      <c r="ID425" s="110"/>
      <c r="IE425" s="110"/>
      <c r="IF425" s="110"/>
      <c r="IG425" s="110"/>
      <c r="IH425" s="110"/>
      <c r="II425" s="110"/>
      <c r="IJ425" s="110"/>
      <c r="IK425" s="110"/>
      <c r="IL425" s="110"/>
      <c r="IM425" s="110"/>
      <c r="IN425" s="110"/>
      <c r="IO425" s="110"/>
      <c r="IP425" s="110"/>
      <c r="IQ425" s="110"/>
      <c r="IR425" s="110"/>
      <c r="IS425" s="110"/>
      <c r="IT425" s="110"/>
      <c r="IU425" s="110"/>
      <c r="IV425" s="110"/>
      <c r="IW425" s="110"/>
      <c r="IX425" s="110"/>
      <c r="IY425" s="110"/>
      <c r="IZ425" s="110"/>
      <c r="JA425" s="110"/>
      <c r="JB425" s="110"/>
      <c r="JC425" s="110"/>
      <c r="JD425" s="110"/>
      <c r="JE425" s="110"/>
      <c r="JF425" s="110"/>
      <c r="JG425" s="110"/>
      <c r="JH425" s="110"/>
      <c r="JI425" s="110"/>
      <c r="JJ425" s="110"/>
      <c r="JK425" s="110"/>
      <c r="JL425" s="110"/>
      <c r="JM425" s="110"/>
      <c r="JN425" s="110"/>
      <c r="JO425" s="110"/>
      <c r="JP425" s="110"/>
      <c r="JQ425" s="110"/>
      <c r="JR425" s="110"/>
      <c r="JS425" s="110"/>
      <c r="JT425" s="110"/>
      <c r="JU425" s="110"/>
      <c r="JV425" s="110"/>
      <c r="JW425" s="110"/>
      <c r="JX425" s="110"/>
      <c r="JY425" s="110"/>
      <c r="JZ425" s="110"/>
      <c r="KA425" s="110"/>
      <c r="KB425" s="110"/>
      <c r="KC425" s="110"/>
      <c r="KD425" s="110"/>
      <c r="KE425" s="110"/>
      <c r="KF425" s="110"/>
      <c r="KG425" s="110"/>
      <c r="KH425" s="110"/>
      <c r="KI425" s="110"/>
      <c r="KJ425" s="110"/>
      <c r="KK425" s="110"/>
      <c r="KL425" s="110"/>
      <c r="KM425" s="110"/>
      <c r="KN425" s="110"/>
      <c r="KO425" s="110"/>
      <c r="KP425" s="110"/>
      <c r="KQ425" s="110"/>
      <c r="KR425" s="110"/>
      <c r="KS425" s="110"/>
      <c r="KT425" s="110"/>
      <c r="KU425" s="110"/>
      <c r="KV425" s="110"/>
      <c r="KW425" s="110"/>
      <c r="KX425" s="110"/>
      <c r="KY425" s="110"/>
      <c r="KZ425" s="110"/>
      <c r="LA425" s="110"/>
      <c r="LB425" s="110"/>
      <c r="LC425" s="110"/>
      <c r="LD425" s="110"/>
      <c r="LE425" s="110"/>
      <c r="LF425" s="110"/>
      <c r="LG425" s="110"/>
      <c r="LH425" s="110"/>
      <c r="LI425" s="110"/>
      <c r="LJ425" s="110"/>
      <c r="LK425" s="110"/>
      <c r="LL425" s="110"/>
      <c r="LM425" s="110"/>
      <c r="LN425" s="110"/>
      <c r="LO425" s="110"/>
      <c r="LP425" s="110"/>
      <c r="LQ425" s="110"/>
      <c r="LR425" s="110"/>
      <c r="LS425" s="110"/>
      <c r="LT425" s="110"/>
      <c r="LU425" s="110"/>
      <c r="LV425" s="110"/>
      <c r="LW425" s="110"/>
      <c r="LX425" s="110"/>
      <c r="LY425" s="110"/>
      <c r="LZ425" s="110"/>
      <c r="MA425" s="110"/>
      <c r="MB425" s="110"/>
      <c r="MC425" s="110"/>
      <c r="MD425" s="110"/>
      <c r="ME425" s="110"/>
      <c r="MF425" s="110"/>
      <c r="MG425" s="110"/>
      <c r="MH425" s="110"/>
      <c r="MI425" s="110"/>
      <c r="MJ425" s="110"/>
      <c r="MK425" s="110"/>
      <c r="ML425" s="110"/>
      <c r="MM425" s="110"/>
      <c r="MN425" s="110"/>
      <c r="MO425" s="110"/>
      <c r="MP425" s="110"/>
      <c r="MQ425" s="110"/>
      <c r="MR425" s="110"/>
      <c r="MS425" s="110"/>
      <c r="MT425" s="110"/>
      <c r="MU425" s="110"/>
      <c r="MV425" s="110"/>
      <c r="MW425" s="110"/>
      <c r="MX425" s="110"/>
      <c r="MY425" s="110"/>
      <c r="MZ425" s="110"/>
      <c r="NA425" s="110"/>
      <c r="NB425" s="110"/>
      <c r="NC425" s="110"/>
      <c r="ND425" s="110"/>
      <c r="NE425" s="110"/>
      <c r="NF425" s="110"/>
      <c r="NG425" s="110"/>
      <c r="NH425" s="110"/>
      <c r="NI425" s="110"/>
      <c r="NJ425" s="110"/>
      <c r="NK425" s="110"/>
      <c r="NL425" s="110"/>
      <c r="NM425" s="110"/>
      <c r="NN425" s="110"/>
      <c r="NO425" s="110"/>
      <c r="NP425" s="110"/>
      <c r="NQ425" s="110"/>
      <c r="NR425" s="110"/>
      <c r="NS425" s="110"/>
      <c r="NT425" s="110"/>
      <c r="NU425" s="110"/>
      <c r="NV425" s="110"/>
      <c r="NW425" s="110"/>
      <c r="NX425" s="110"/>
      <c r="NY425" s="110"/>
      <c r="NZ425" s="110"/>
      <c r="OA425" s="110"/>
      <c r="OB425" s="110"/>
      <c r="OC425" s="110"/>
      <c r="OD425" s="110"/>
      <c r="OE425" s="110"/>
      <c r="OF425" s="110"/>
      <c r="OG425" s="110"/>
      <c r="OH425" s="110"/>
      <c r="OI425" s="110"/>
      <c r="OJ425" s="110"/>
      <c r="OK425" s="110"/>
      <c r="OL425" s="110"/>
      <c r="OM425" s="110"/>
      <c r="ON425" s="110"/>
      <c r="OO425" s="110"/>
      <c r="OP425" s="110"/>
      <c r="OQ425" s="110"/>
      <c r="OR425" s="110"/>
      <c r="OS425" s="110"/>
      <c r="OT425" s="110"/>
      <c r="OU425" s="110"/>
      <c r="OV425" s="110"/>
      <c r="OW425" s="110"/>
      <c r="OX425" s="110"/>
      <c r="OY425" s="110"/>
      <c r="OZ425" s="110"/>
      <c r="PA425" s="110"/>
      <c r="PB425" s="110"/>
      <c r="PC425" s="110"/>
      <c r="PD425" s="110"/>
      <c r="PE425" s="110"/>
      <c r="PF425" s="110"/>
      <c r="PG425" s="110"/>
      <c r="PH425" s="110"/>
      <c r="PI425" s="110"/>
      <c r="PJ425" s="110"/>
      <c r="PK425" s="110"/>
      <c r="PL425" s="110"/>
      <c r="PM425" s="110"/>
      <c r="PN425" s="110"/>
      <c r="PO425" s="110"/>
      <c r="PP425" s="110"/>
      <c r="PQ425" s="110"/>
      <c r="PR425" s="110"/>
      <c r="PS425" s="110"/>
      <c r="PT425" s="110"/>
      <c r="PU425" s="110"/>
      <c r="PV425" s="110"/>
      <c r="PW425" s="110"/>
      <c r="PX425" s="110"/>
      <c r="PY425" s="110"/>
      <c r="PZ425" s="110"/>
      <c r="QA425" s="110"/>
      <c r="QB425" s="110"/>
      <c r="QC425" s="110"/>
      <c r="QD425" s="110"/>
      <c r="QE425" s="110"/>
      <c r="QF425" s="110"/>
      <c r="QG425" s="110"/>
      <c r="QH425" s="110"/>
      <c r="QI425" s="110"/>
      <c r="QJ425" s="110"/>
      <c r="QK425" s="110"/>
      <c r="QL425" s="110"/>
      <c r="QM425" s="110"/>
      <c r="QN425" s="110"/>
      <c r="QO425" s="110"/>
      <c r="QP425" s="110"/>
      <c r="QQ425" s="110"/>
      <c r="QR425" s="110"/>
      <c r="QS425" s="110"/>
      <c r="QT425" s="110"/>
      <c r="QU425" s="110"/>
      <c r="QV425" s="110"/>
      <c r="QW425" s="110"/>
      <c r="QX425" s="110"/>
      <c r="QY425" s="110"/>
      <c r="QZ425" s="110"/>
      <c r="RA425" s="110"/>
      <c r="RB425" s="110"/>
      <c r="RC425" s="110"/>
      <c r="RD425" s="110"/>
      <c r="RE425" s="110"/>
      <c r="RF425" s="110"/>
      <c r="RG425" s="110"/>
      <c r="RH425" s="110"/>
      <c r="RI425" s="110"/>
      <c r="RJ425" s="110"/>
      <c r="RK425" s="110"/>
      <c r="RL425" s="110"/>
      <c r="RM425" s="110"/>
      <c r="RN425" s="110"/>
      <c r="RO425" s="110"/>
      <c r="RP425" s="110"/>
      <c r="RQ425" s="110"/>
      <c r="RR425" s="110"/>
      <c r="RS425" s="110"/>
      <c r="RT425" s="110"/>
      <c r="RU425" s="110"/>
      <c r="RV425" s="110"/>
      <c r="RW425" s="110"/>
      <c r="RX425" s="110"/>
      <c r="RY425" s="110"/>
      <c r="RZ425" s="110"/>
      <c r="SA425" s="110"/>
      <c r="SB425" s="110"/>
      <c r="SC425" s="110"/>
      <c r="SD425" s="110"/>
      <c r="SE425" s="110"/>
      <c r="SF425" s="110"/>
      <c r="SG425" s="110"/>
      <c r="SH425" s="110"/>
      <c r="SI425" s="110"/>
      <c r="SJ425" s="110"/>
      <c r="SK425" s="110"/>
      <c r="SL425" s="110"/>
      <c r="SM425" s="110"/>
      <c r="SN425" s="110"/>
      <c r="SO425" s="110"/>
      <c r="SP425" s="110"/>
      <c r="SQ425" s="110"/>
      <c r="SR425" s="110"/>
      <c r="SS425" s="110"/>
      <c r="ST425" s="110"/>
      <c r="SU425" s="110"/>
      <c r="SV425" s="110"/>
      <c r="SW425" s="110"/>
      <c r="SX425" s="110"/>
      <c r="SY425" s="110"/>
      <c r="SZ425" s="110"/>
      <c r="TA425" s="110"/>
      <c r="TB425" s="110"/>
      <c r="TC425" s="110"/>
      <c r="TD425" s="110"/>
      <c r="TE425" s="110"/>
    </row>
    <row r="426" spans="1:525" s="111" customFormat="1" ht="30" hidden="1" customHeight="1" x14ac:dyDescent="0.25">
      <c r="A426" s="210"/>
      <c r="B426" s="164"/>
      <c r="C426" s="165"/>
      <c r="D426" s="166"/>
      <c r="E426" s="88"/>
      <c r="F426" s="87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259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/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/>
      <c r="FV426" s="110"/>
      <c r="FW426" s="110"/>
      <c r="FX426" s="110"/>
      <c r="FY426" s="110"/>
      <c r="FZ426" s="110"/>
      <c r="GA426" s="110"/>
      <c r="GB426" s="110"/>
      <c r="GC426" s="110"/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/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/>
      <c r="IE426" s="110"/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/>
      <c r="IV426" s="110"/>
      <c r="IW426" s="110"/>
      <c r="IX426" s="110"/>
      <c r="IY426" s="110"/>
      <c r="IZ426" s="110"/>
      <c r="JA426" s="110"/>
      <c r="JB426" s="110"/>
      <c r="JC426" s="110"/>
      <c r="JD426" s="110"/>
      <c r="JE426" s="110"/>
      <c r="JF426" s="110"/>
      <c r="JG426" s="110"/>
      <c r="JH426" s="110"/>
      <c r="JI426" s="110"/>
      <c r="JJ426" s="110"/>
      <c r="JK426" s="110"/>
      <c r="JL426" s="110"/>
      <c r="JM426" s="110"/>
      <c r="JN426" s="110"/>
      <c r="JO426" s="110"/>
      <c r="JP426" s="110"/>
      <c r="JQ426" s="110"/>
      <c r="JR426" s="110"/>
      <c r="JS426" s="110"/>
      <c r="JT426" s="110"/>
      <c r="JU426" s="110"/>
      <c r="JV426" s="110"/>
      <c r="JW426" s="110"/>
      <c r="JX426" s="110"/>
      <c r="JY426" s="110"/>
      <c r="JZ426" s="110"/>
      <c r="KA426" s="110"/>
      <c r="KB426" s="110"/>
      <c r="KC426" s="110"/>
      <c r="KD426" s="110"/>
      <c r="KE426" s="110"/>
      <c r="KF426" s="110"/>
      <c r="KG426" s="110"/>
      <c r="KH426" s="110"/>
      <c r="KI426" s="110"/>
      <c r="KJ426" s="110"/>
      <c r="KK426" s="110"/>
      <c r="KL426" s="110"/>
      <c r="KM426" s="110"/>
      <c r="KN426" s="110"/>
      <c r="KO426" s="110"/>
      <c r="KP426" s="110"/>
      <c r="KQ426" s="110"/>
      <c r="KR426" s="110"/>
      <c r="KS426" s="110"/>
      <c r="KT426" s="110"/>
      <c r="KU426" s="110"/>
      <c r="KV426" s="110"/>
      <c r="KW426" s="110"/>
      <c r="KX426" s="110"/>
      <c r="KY426" s="110"/>
      <c r="KZ426" s="110"/>
      <c r="LA426" s="110"/>
      <c r="LB426" s="110"/>
      <c r="LC426" s="110"/>
      <c r="LD426" s="110"/>
      <c r="LE426" s="110"/>
      <c r="LF426" s="110"/>
      <c r="LG426" s="110"/>
      <c r="LH426" s="110"/>
      <c r="LI426" s="110"/>
      <c r="LJ426" s="110"/>
      <c r="LK426" s="110"/>
      <c r="LL426" s="110"/>
      <c r="LM426" s="110"/>
      <c r="LN426" s="110"/>
      <c r="LO426" s="110"/>
      <c r="LP426" s="110"/>
      <c r="LQ426" s="110"/>
      <c r="LR426" s="110"/>
      <c r="LS426" s="110"/>
      <c r="LT426" s="110"/>
      <c r="LU426" s="110"/>
      <c r="LV426" s="110"/>
      <c r="LW426" s="110"/>
      <c r="LX426" s="110"/>
      <c r="LY426" s="110"/>
      <c r="LZ426" s="110"/>
      <c r="MA426" s="110"/>
      <c r="MB426" s="110"/>
      <c r="MC426" s="110"/>
      <c r="MD426" s="110"/>
      <c r="ME426" s="110"/>
      <c r="MF426" s="110"/>
      <c r="MG426" s="110"/>
      <c r="MH426" s="110"/>
      <c r="MI426" s="110"/>
      <c r="MJ426" s="110"/>
      <c r="MK426" s="110"/>
      <c r="ML426" s="110"/>
      <c r="MM426" s="110"/>
      <c r="MN426" s="110"/>
      <c r="MO426" s="110"/>
      <c r="MP426" s="110"/>
      <c r="MQ426" s="110"/>
      <c r="MR426" s="110"/>
      <c r="MS426" s="110"/>
      <c r="MT426" s="110"/>
      <c r="MU426" s="110"/>
      <c r="MV426" s="110"/>
      <c r="MW426" s="110"/>
      <c r="MX426" s="110"/>
      <c r="MY426" s="110"/>
      <c r="MZ426" s="110"/>
      <c r="NA426" s="110"/>
      <c r="NB426" s="110"/>
      <c r="NC426" s="110"/>
      <c r="ND426" s="110"/>
      <c r="NE426" s="110"/>
      <c r="NF426" s="110"/>
      <c r="NG426" s="110"/>
      <c r="NH426" s="110"/>
      <c r="NI426" s="110"/>
      <c r="NJ426" s="110"/>
      <c r="NK426" s="110"/>
      <c r="NL426" s="110"/>
      <c r="NM426" s="110"/>
      <c r="NN426" s="110"/>
      <c r="NO426" s="110"/>
      <c r="NP426" s="110"/>
      <c r="NQ426" s="110"/>
      <c r="NR426" s="110"/>
      <c r="NS426" s="110"/>
      <c r="NT426" s="110"/>
      <c r="NU426" s="110"/>
      <c r="NV426" s="110"/>
      <c r="NW426" s="110"/>
      <c r="NX426" s="110"/>
      <c r="NY426" s="110"/>
      <c r="NZ426" s="110"/>
      <c r="OA426" s="110"/>
      <c r="OB426" s="110"/>
      <c r="OC426" s="110"/>
      <c r="OD426" s="110"/>
      <c r="OE426" s="110"/>
      <c r="OF426" s="110"/>
      <c r="OG426" s="110"/>
      <c r="OH426" s="110"/>
      <c r="OI426" s="110"/>
      <c r="OJ426" s="110"/>
      <c r="OK426" s="110"/>
      <c r="OL426" s="110"/>
      <c r="OM426" s="110"/>
      <c r="ON426" s="110"/>
      <c r="OO426" s="110"/>
      <c r="OP426" s="110"/>
      <c r="OQ426" s="110"/>
      <c r="OR426" s="110"/>
      <c r="OS426" s="110"/>
      <c r="OT426" s="110"/>
      <c r="OU426" s="110"/>
      <c r="OV426" s="110"/>
      <c r="OW426" s="110"/>
      <c r="OX426" s="110"/>
      <c r="OY426" s="110"/>
      <c r="OZ426" s="110"/>
      <c r="PA426" s="110"/>
      <c r="PB426" s="110"/>
      <c r="PC426" s="110"/>
      <c r="PD426" s="110"/>
      <c r="PE426" s="110"/>
      <c r="PF426" s="110"/>
      <c r="PG426" s="110"/>
      <c r="PH426" s="110"/>
      <c r="PI426" s="110"/>
      <c r="PJ426" s="110"/>
      <c r="PK426" s="110"/>
      <c r="PL426" s="110"/>
      <c r="PM426" s="110"/>
      <c r="PN426" s="110"/>
      <c r="PO426" s="110"/>
      <c r="PP426" s="110"/>
      <c r="PQ426" s="110"/>
      <c r="PR426" s="110"/>
      <c r="PS426" s="110"/>
      <c r="PT426" s="110"/>
      <c r="PU426" s="110"/>
      <c r="PV426" s="110"/>
      <c r="PW426" s="110"/>
      <c r="PX426" s="110"/>
      <c r="PY426" s="110"/>
      <c r="PZ426" s="110"/>
      <c r="QA426" s="110"/>
      <c r="QB426" s="110"/>
      <c r="QC426" s="110"/>
      <c r="QD426" s="110"/>
      <c r="QE426" s="110"/>
      <c r="QF426" s="110"/>
      <c r="QG426" s="110"/>
      <c r="QH426" s="110"/>
      <c r="QI426" s="110"/>
      <c r="QJ426" s="110"/>
      <c r="QK426" s="110"/>
      <c r="QL426" s="110"/>
      <c r="QM426" s="110"/>
      <c r="QN426" s="110"/>
      <c r="QO426" s="110"/>
      <c r="QP426" s="110"/>
      <c r="QQ426" s="110"/>
      <c r="QR426" s="110"/>
      <c r="QS426" s="110"/>
      <c r="QT426" s="110"/>
      <c r="QU426" s="110"/>
      <c r="QV426" s="110"/>
      <c r="QW426" s="110"/>
      <c r="QX426" s="110"/>
      <c r="QY426" s="110"/>
      <c r="QZ426" s="110"/>
      <c r="RA426" s="110"/>
      <c r="RB426" s="110"/>
      <c r="RC426" s="110"/>
      <c r="RD426" s="110"/>
      <c r="RE426" s="110"/>
      <c r="RF426" s="110"/>
      <c r="RG426" s="110"/>
      <c r="RH426" s="110"/>
      <c r="RI426" s="110"/>
      <c r="RJ426" s="110"/>
      <c r="RK426" s="110"/>
      <c r="RL426" s="110"/>
      <c r="RM426" s="110"/>
      <c r="RN426" s="110"/>
      <c r="RO426" s="110"/>
      <c r="RP426" s="110"/>
      <c r="RQ426" s="110"/>
      <c r="RR426" s="110"/>
      <c r="RS426" s="110"/>
      <c r="RT426" s="110"/>
      <c r="RU426" s="110"/>
      <c r="RV426" s="110"/>
      <c r="RW426" s="110"/>
      <c r="RX426" s="110"/>
      <c r="RY426" s="110"/>
      <c r="RZ426" s="110"/>
      <c r="SA426" s="110"/>
      <c r="SB426" s="110"/>
      <c r="SC426" s="110"/>
      <c r="SD426" s="110"/>
      <c r="SE426" s="110"/>
      <c r="SF426" s="110"/>
      <c r="SG426" s="110"/>
      <c r="SH426" s="110"/>
      <c r="SI426" s="110"/>
      <c r="SJ426" s="110"/>
      <c r="SK426" s="110"/>
      <c r="SL426" s="110"/>
      <c r="SM426" s="110"/>
      <c r="SN426" s="110"/>
      <c r="SO426" s="110"/>
      <c r="SP426" s="110"/>
      <c r="SQ426" s="110"/>
      <c r="SR426" s="110"/>
      <c r="SS426" s="110"/>
      <c r="ST426" s="110"/>
      <c r="SU426" s="110"/>
      <c r="SV426" s="110"/>
      <c r="SW426" s="110"/>
      <c r="SX426" s="110"/>
      <c r="SY426" s="110"/>
      <c r="SZ426" s="110"/>
      <c r="TA426" s="110"/>
      <c r="TB426" s="110"/>
      <c r="TC426" s="110"/>
      <c r="TD426" s="110"/>
      <c r="TE426" s="110"/>
    </row>
    <row r="427" spans="1:525" s="174" customFormat="1" ht="40.5" hidden="1" customHeight="1" x14ac:dyDescent="0.55000000000000004">
      <c r="A427" s="167" t="s">
        <v>609</v>
      </c>
      <c r="B427" s="168"/>
      <c r="C427" s="169"/>
      <c r="D427" s="170"/>
      <c r="E427" s="88"/>
      <c r="F427" s="87"/>
      <c r="G427" s="170"/>
      <c r="H427" s="170"/>
      <c r="I427" s="170"/>
      <c r="J427" s="170"/>
      <c r="K427" s="171"/>
      <c r="L427" s="171"/>
      <c r="M427" s="170"/>
      <c r="N427" s="170" t="s">
        <v>610</v>
      </c>
      <c r="O427" s="172"/>
      <c r="P427" s="172"/>
      <c r="Q427" s="259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  <c r="BJ427" s="173"/>
      <c r="BK427" s="173"/>
      <c r="BL427" s="173"/>
      <c r="BM427" s="173"/>
      <c r="BN427" s="173"/>
      <c r="BO427" s="173"/>
      <c r="BP427" s="173"/>
      <c r="BQ427" s="173"/>
      <c r="BR427" s="173"/>
      <c r="BS427" s="173"/>
      <c r="BT427" s="173"/>
      <c r="BU427" s="173"/>
      <c r="BV427" s="173"/>
      <c r="BW427" s="173"/>
      <c r="BX427" s="173"/>
      <c r="BY427" s="173"/>
      <c r="BZ427" s="173"/>
      <c r="CA427" s="173"/>
      <c r="CB427" s="173"/>
      <c r="CC427" s="173"/>
      <c r="CD427" s="173"/>
      <c r="CE427" s="173"/>
      <c r="CF427" s="173"/>
      <c r="CG427" s="173"/>
      <c r="CH427" s="173"/>
      <c r="CI427" s="173"/>
      <c r="CJ427" s="173"/>
      <c r="CK427" s="173"/>
      <c r="CL427" s="173"/>
      <c r="CM427" s="173"/>
      <c r="CN427" s="173"/>
      <c r="CO427" s="173"/>
      <c r="CP427" s="173"/>
      <c r="CQ427" s="173"/>
      <c r="CR427" s="173"/>
      <c r="CS427" s="173"/>
      <c r="CT427" s="173"/>
      <c r="CU427" s="173"/>
      <c r="CV427" s="173"/>
      <c r="CW427" s="173"/>
      <c r="CX427" s="173"/>
      <c r="CY427" s="173"/>
      <c r="CZ427" s="173"/>
      <c r="DA427" s="173"/>
      <c r="DB427" s="173"/>
      <c r="DC427" s="173"/>
      <c r="DD427" s="173"/>
      <c r="DE427" s="173"/>
      <c r="DF427" s="173"/>
      <c r="DG427" s="173"/>
      <c r="DH427" s="173"/>
      <c r="DI427" s="173"/>
      <c r="DJ427" s="173"/>
      <c r="DK427" s="173"/>
      <c r="DL427" s="173"/>
      <c r="DM427" s="173"/>
      <c r="DN427" s="173"/>
      <c r="DO427" s="173"/>
      <c r="DP427" s="173"/>
      <c r="DQ427" s="173"/>
      <c r="DR427" s="173"/>
      <c r="DS427" s="173"/>
      <c r="DT427" s="173"/>
      <c r="DU427" s="173"/>
      <c r="DV427" s="173"/>
      <c r="DW427" s="173"/>
      <c r="DX427" s="173"/>
      <c r="DY427" s="173"/>
      <c r="DZ427" s="173"/>
      <c r="EA427" s="173"/>
      <c r="EB427" s="173"/>
      <c r="EC427" s="173"/>
      <c r="ED427" s="173"/>
      <c r="EE427" s="173"/>
      <c r="EF427" s="173"/>
      <c r="EG427" s="173"/>
      <c r="EH427" s="173"/>
      <c r="EI427" s="173"/>
      <c r="EJ427" s="173"/>
      <c r="EK427" s="173"/>
      <c r="EL427" s="173"/>
      <c r="EM427" s="173"/>
      <c r="EN427" s="173"/>
      <c r="EO427" s="173"/>
      <c r="EP427" s="173"/>
      <c r="EQ427" s="173"/>
      <c r="ER427" s="173"/>
      <c r="ES427" s="173"/>
      <c r="ET427" s="173"/>
      <c r="EU427" s="173"/>
      <c r="EV427" s="173"/>
      <c r="EW427" s="173"/>
      <c r="EX427" s="173"/>
      <c r="EY427" s="173"/>
      <c r="EZ427" s="173"/>
      <c r="FA427" s="173"/>
      <c r="FB427" s="173"/>
      <c r="FC427" s="173"/>
      <c r="FD427" s="173"/>
      <c r="FE427" s="173"/>
      <c r="FF427" s="173"/>
      <c r="FG427" s="173"/>
      <c r="FH427" s="173"/>
      <c r="FI427" s="173"/>
      <c r="FJ427" s="173"/>
      <c r="FK427" s="173"/>
      <c r="FL427" s="173"/>
      <c r="FM427" s="173"/>
      <c r="FN427" s="173"/>
      <c r="FO427" s="173"/>
      <c r="FP427" s="173"/>
      <c r="FQ427" s="173"/>
      <c r="FR427" s="173"/>
      <c r="FS427" s="173"/>
      <c r="FT427" s="173"/>
      <c r="FU427" s="173"/>
      <c r="FV427" s="173"/>
      <c r="FW427" s="173"/>
      <c r="FX427" s="173"/>
      <c r="FY427" s="173"/>
      <c r="FZ427" s="173"/>
      <c r="GA427" s="173"/>
      <c r="GB427" s="173"/>
      <c r="GC427" s="173"/>
      <c r="GD427" s="173"/>
      <c r="GE427" s="173"/>
      <c r="GF427" s="173"/>
      <c r="GG427" s="173"/>
      <c r="GH427" s="173"/>
      <c r="GI427" s="173"/>
      <c r="GJ427" s="173"/>
      <c r="GK427" s="173"/>
      <c r="GL427" s="173"/>
      <c r="GM427" s="173"/>
      <c r="GN427" s="173"/>
      <c r="GO427" s="173"/>
      <c r="GP427" s="173"/>
      <c r="GQ427" s="173"/>
      <c r="GR427" s="173"/>
      <c r="GS427" s="173"/>
      <c r="GT427" s="173"/>
      <c r="GU427" s="173"/>
      <c r="GV427" s="173"/>
      <c r="GW427" s="173"/>
      <c r="GX427" s="173"/>
      <c r="GY427" s="173"/>
      <c r="GZ427" s="173"/>
      <c r="HA427" s="173"/>
      <c r="HB427" s="173"/>
      <c r="HC427" s="173"/>
      <c r="HD427" s="173"/>
      <c r="HE427" s="173"/>
      <c r="HF427" s="173"/>
      <c r="HG427" s="173"/>
      <c r="HH427" s="173"/>
      <c r="HI427" s="173"/>
      <c r="HJ427" s="173"/>
      <c r="HK427" s="173"/>
      <c r="HL427" s="173"/>
      <c r="HM427" s="173"/>
      <c r="HN427" s="173"/>
      <c r="HO427" s="173"/>
      <c r="HP427" s="173"/>
      <c r="HQ427" s="173"/>
      <c r="HR427" s="173"/>
      <c r="HS427" s="173"/>
      <c r="HT427" s="173"/>
      <c r="HU427" s="173"/>
      <c r="HV427" s="173"/>
      <c r="HW427" s="173"/>
      <c r="HX427" s="173"/>
      <c r="HY427" s="173"/>
      <c r="HZ427" s="173"/>
      <c r="IA427" s="173"/>
      <c r="IB427" s="173"/>
      <c r="IC427" s="173"/>
      <c r="ID427" s="173"/>
      <c r="IE427" s="173"/>
      <c r="IF427" s="173"/>
      <c r="IG427" s="173"/>
      <c r="IH427" s="173"/>
      <c r="II427" s="173"/>
      <c r="IJ427" s="173"/>
      <c r="IK427" s="173"/>
      <c r="IL427" s="173"/>
      <c r="IM427" s="173"/>
      <c r="IN427" s="173"/>
      <c r="IO427" s="173"/>
      <c r="IP427" s="173"/>
      <c r="IQ427" s="173"/>
      <c r="IR427" s="173"/>
      <c r="IS427" s="173"/>
      <c r="IT427" s="173"/>
      <c r="IU427" s="173"/>
      <c r="IV427" s="173"/>
      <c r="IW427" s="173"/>
      <c r="IX427" s="173"/>
      <c r="IY427" s="173"/>
      <c r="IZ427" s="173"/>
      <c r="JA427" s="173"/>
      <c r="JB427" s="173"/>
      <c r="JC427" s="173"/>
      <c r="JD427" s="173"/>
      <c r="JE427" s="173"/>
      <c r="JF427" s="173"/>
      <c r="JG427" s="173"/>
      <c r="JH427" s="173"/>
      <c r="JI427" s="173"/>
      <c r="JJ427" s="173"/>
      <c r="JK427" s="173"/>
      <c r="JL427" s="173"/>
      <c r="JM427" s="173"/>
      <c r="JN427" s="173"/>
      <c r="JO427" s="173"/>
      <c r="JP427" s="173"/>
      <c r="JQ427" s="173"/>
      <c r="JR427" s="173"/>
      <c r="JS427" s="173"/>
      <c r="JT427" s="173"/>
      <c r="JU427" s="173"/>
      <c r="JV427" s="173"/>
      <c r="JW427" s="173"/>
      <c r="JX427" s="173"/>
      <c r="JY427" s="173"/>
      <c r="JZ427" s="173"/>
      <c r="KA427" s="173"/>
      <c r="KB427" s="173"/>
      <c r="KC427" s="173"/>
      <c r="KD427" s="173"/>
      <c r="KE427" s="173"/>
      <c r="KF427" s="173"/>
      <c r="KG427" s="173"/>
      <c r="KH427" s="173"/>
      <c r="KI427" s="173"/>
      <c r="KJ427" s="173"/>
      <c r="KK427" s="173"/>
      <c r="KL427" s="173"/>
      <c r="KM427" s="173"/>
      <c r="KN427" s="173"/>
      <c r="KO427" s="173"/>
      <c r="KP427" s="173"/>
      <c r="KQ427" s="173"/>
      <c r="KR427" s="173"/>
      <c r="KS427" s="173"/>
      <c r="KT427" s="173"/>
      <c r="KU427" s="173"/>
      <c r="KV427" s="173"/>
      <c r="KW427" s="173"/>
      <c r="KX427" s="173"/>
      <c r="KY427" s="173"/>
      <c r="KZ427" s="173"/>
      <c r="LA427" s="173"/>
      <c r="LB427" s="173"/>
      <c r="LC427" s="173"/>
      <c r="LD427" s="173"/>
      <c r="LE427" s="173"/>
      <c r="LF427" s="173"/>
      <c r="LG427" s="173"/>
      <c r="LH427" s="173"/>
      <c r="LI427" s="173"/>
      <c r="LJ427" s="173"/>
      <c r="LK427" s="173"/>
      <c r="LL427" s="173"/>
      <c r="LM427" s="173"/>
      <c r="LN427" s="173"/>
      <c r="LO427" s="173"/>
      <c r="LP427" s="173"/>
      <c r="LQ427" s="173"/>
      <c r="LR427" s="173"/>
      <c r="LS427" s="173"/>
      <c r="LT427" s="173"/>
      <c r="LU427" s="173"/>
      <c r="LV427" s="173"/>
      <c r="LW427" s="173"/>
      <c r="LX427" s="173"/>
      <c r="LY427" s="173"/>
      <c r="LZ427" s="173"/>
      <c r="MA427" s="173"/>
      <c r="MB427" s="173"/>
      <c r="MC427" s="173"/>
      <c r="MD427" s="173"/>
      <c r="ME427" s="173"/>
      <c r="MF427" s="173"/>
      <c r="MG427" s="173"/>
      <c r="MH427" s="173"/>
      <c r="MI427" s="173"/>
      <c r="MJ427" s="173"/>
      <c r="MK427" s="173"/>
      <c r="ML427" s="173"/>
      <c r="MM427" s="173"/>
      <c r="MN427" s="173"/>
      <c r="MO427" s="173"/>
      <c r="MP427" s="173"/>
      <c r="MQ427" s="173"/>
      <c r="MR427" s="173"/>
      <c r="MS427" s="173"/>
      <c r="MT427" s="173"/>
      <c r="MU427" s="173"/>
      <c r="MV427" s="173"/>
      <c r="MW427" s="173"/>
      <c r="MX427" s="173"/>
      <c r="MY427" s="173"/>
      <c r="MZ427" s="173"/>
      <c r="NA427" s="173"/>
      <c r="NB427" s="173"/>
      <c r="NC427" s="173"/>
      <c r="ND427" s="173"/>
      <c r="NE427" s="173"/>
      <c r="NF427" s="173"/>
      <c r="NG427" s="173"/>
      <c r="NH427" s="173"/>
      <c r="NI427" s="173"/>
      <c r="NJ427" s="173"/>
      <c r="NK427" s="173"/>
      <c r="NL427" s="173"/>
      <c r="NM427" s="173"/>
      <c r="NN427" s="173"/>
      <c r="NO427" s="173"/>
      <c r="NP427" s="173"/>
      <c r="NQ427" s="173"/>
      <c r="NR427" s="173"/>
      <c r="NS427" s="173"/>
      <c r="NT427" s="173"/>
      <c r="NU427" s="173"/>
      <c r="NV427" s="173"/>
      <c r="NW427" s="173"/>
      <c r="NX427" s="173"/>
      <c r="NY427" s="173"/>
      <c r="NZ427" s="173"/>
      <c r="OA427" s="173"/>
      <c r="OB427" s="173"/>
      <c r="OC427" s="173"/>
      <c r="OD427" s="173"/>
      <c r="OE427" s="173"/>
      <c r="OF427" s="173"/>
      <c r="OG427" s="173"/>
      <c r="OH427" s="173"/>
      <c r="OI427" s="173"/>
      <c r="OJ427" s="173"/>
      <c r="OK427" s="173"/>
      <c r="OL427" s="173"/>
      <c r="OM427" s="173"/>
      <c r="ON427" s="173"/>
      <c r="OO427" s="173"/>
      <c r="OP427" s="173"/>
      <c r="OQ427" s="173"/>
      <c r="OR427" s="173"/>
      <c r="OS427" s="173"/>
      <c r="OT427" s="173"/>
      <c r="OU427" s="173"/>
      <c r="OV427" s="173"/>
      <c r="OW427" s="173"/>
      <c r="OX427" s="173"/>
      <c r="OY427" s="173"/>
      <c r="OZ427" s="173"/>
      <c r="PA427" s="173"/>
      <c r="PB427" s="173"/>
      <c r="PC427" s="173"/>
      <c r="PD427" s="173"/>
      <c r="PE427" s="173"/>
      <c r="PF427" s="173"/>
      <c r="PG427" s="173"/>
      <c r="PH427" s="173"/>
      <c r="PI427" s="173"/>
      <c r="PJ427" s="173"/>
      <c r="PK427" s="173"/>
      <c r="PL427" s="173"/>
      <c r="PM427" s="173"/>
      <c r="PN427" s="173"/>
      <c r="PO427" s="173"/>
      <c r="PP427" s="173"/>
      <c r="PQ427" s="173"/>
      <c r="PR427" s="173"/>
      <c r="PS427" s="173"/>
      <c r="PT427" s="173"/>
      <c r="PU427" s="173"/>
      <c r="PV427" s="173"/>
      <c r="PW427" s="173"/>
      <c r="PX427" s="173"/>
      <c r="PY427" s="173"/>
      <c r="PZ427" s="173"/>
      <c r="QA427" s="173"/>
      <c r="QB427" s="173"/>
      <c r="QC427" s="173"/>
      <c r="QD427" s="173"/>
      <c r="QE427" s="173"/>
      <c r="QF427" s="173"/>
      <c r="QG427" s="173"/>
      <c r="QH427" s="173"/>
      <c r="QI427" s="173"/>
      <c r="QJ427" s="173"/>
      <c r="QK427" s="173"/>
      <c r="QL427" s="173"/>
      <c r="QM427" s="173"/>
      <c r="QN427" s="173"/>
      <c r="QO427" s="173"/>
      <c r="QP427" s="173"/>
      <c r="QQ427" s="173"/>
      <c r="QR427" s="173"/>
      <c r="QS427" s="173"/>
      <c r="QT427" s="173"/>
      <c r="QU427" s="173"/>
      <c r="QV427" s="173"/>
      <c r="QW427" s="173"/>
      <c r="QX427" s="173"/>
      <c r="QY427" s="173"/>
      <c r="QZ427" s="173"/>
      <c r="RA427" s="173"/>
      <c r="RB427" s="173"/>
      <c r="RC427" s="173"/>
      <c r="RD427" s="173"/>
      <c r="RE427" s="173"/>
      <c r="RF427" s="173"/>
      <c r="RG427" s="173"/>
      <c r="RH427" s="173"/>
      <c r="RI427" s="173"/>
      <c r="RJ427" s="173"/>
      <c r="RK427" s="173"/>
      <c r="RL427" s="173"/>
      <c r="RM427" s="173"/>
      <c r="RN427" s="173"/>
      <c r="RO427" s="173"/>
      <c r="RP427" s="173"/>
      <c r="RQ427" s="173"/>
      <c r="RR427" s="173"/>
      <c r="RS427" s="173"/>
      <c r="RT427" s="173"/>
      <c r="RU427" s="173"/>
      <c r="RV427" s="173"/>
      <c r="RW427" s="173"/>
      <c r="RX427" s="173"/>
      <c r="RY427" s="173"/>
      <c r="RZ427" s="173"/>
      <c r="SA427" s="173"/>
      <c r="SB427" s="173"/>
      <c r="SC427" s="173"/>
      <c r="SD427" s="173"/>
      <c r="SE427" s="173"/>
      <c r="SF427" s="173"/>
      <c r="SG427" s="173"/>
      <c r="SH427" s="173"/>
      <c r="SI427" s="173"/>
      <c r="SJ427" s="173"/>
      <c r="SK427" s="173"/>
      <c r="SL427" s="173"/>
      <c r="SM427" s="173"/>
      <c r="SN427" s="173"/>
      <c r="SO427" s="173"/>
      <c r="SP427" s="173"/>
      <c r="SQ427" s="173"/>
      <c r="SR427" s="173"/>
      <c r="SS427" s="173"/>
      <c r="ST427" s="173"/>
      <c r="SU427" s="173"/>
      <c r="SV427" s="173"/>
      <c r="SW427" s="173"/>
      <c r="SX427" s="173"/>
      <c r="SY427" s="173"/>
      <c r="SZ427" s="173"/>
      <c r="TA427" s="173"/>
      <c r="TB427" s="173"/>
      <c r="TC427" s="173"/>
      <c r="TD427" s="173"/>
      <c r="TE427" s="173"/>
    </row>
    <row r="428" spans="1:525" s="95" customFormat="1" ht="18.75" hidden="1" customHeight="1" thickBot="1" x14ac:dyDescent="0.3">
      <c r="A428" s="175"/>
      <c r="B428" s="176"/>
      <c r="C428" s="176"/>
      <c r="D428" s="177"/>
      <c r="E428" s="88"/>
      <c r="F428" s="8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259"/>
    </row>
    <row r="429" spans="1:525" s="213" customFormat="1" ht="15.75" hidden="1" customHeight="1" x14ac:dyDescent="0.25">
      <c r="A429" s="178"/>
      <c r="B429" s="178"/>
      <c r="C429" s="178"/>
      <c r="D429" s="282" t="s">
        <v>608</v>
      </c>
      <c r="E429" s="211">
        <f>E415-'дод 6'!D288</f>
        <v>0</v>
      </c>
      <c r="F429" s="212">
        <f>F415-'дод 6'!E288</f>
        <v>0</v>
      </c>
      <c r="G429" s="212">
        <f>G415-'дод 6'!F288</f>
        <v>0</v>
      </c>
      <c r="H429" s="212">
        <f>H415-'дод 6'!G288</f>
        <v>0</v>
      </c>
      <c r="I429" s="212">
        <f>I415-'дод 6'!H288</f>
        <v>0</v>
      </c>
      <c r="J429" s="212">
        <f>J415-'дод 6'!I288</f>
        <v>0</v>
      </c>
      <c r="K429" s="212">
        <f>K415-'дод 6'!J288</f>
        <v>0</v>
      </c>
      <c r="L429" s="212">
        <f>L415-'дод 6'!K288</f>
        <v>0</v>
      </c>
      <c r="M429" s="212">
        <f>M415-'дод 6'!L288</f>
        <v>0</v>
      </c>
      <c r="N429" s="212">
        <f>N415-'дод 6'!M288</f>
        <v>0</v>
      </c>
      <c r="O429" s="212">
        <f>O415-'дод 6'!N288</f>
        <v>0</v>
      </c>
      <c r="P429" s="212">
        <f>P415-'дод 6'!O288</f>
        <v>0</v>
      </c>
      <c r="Q429" s="259"/>
    </row>
    <row r="430" spans="1:525" s="213" customFormat="1" ht="15.75" hidden="1" customHeight="1" x14ac:dyDescent="0.25">
      <c r="A430" s="178"/>
      <c r="B430" s="178"/>
      <c r="C430" s="178"/>
      <c r="D430" s="283"/>
      <c r="E430" s="252">
        <f>E416-'дод 6'!D289</f>
        <v>0</v>
      </c>
      <c r="F430" s="253">
        <f>F416-'дод 6'!E289</f>
        <v>0</v>
      </c>
      <c r="G430" s="253">
        <f>G416-'дод 6'!F289</f>
        <v>0</v>
      </c>
      <c r="H430" s="253">
        <f>H416-'дод 6'!G289</f>
        <v>0</v>
      </c>
      <c r="I430" s="253">
        <f>I416-'дод 6'!H289</f>
        <v>0</v>
      </c>
      <c r="J430" s="253">
        <f>J416-'дод 6'!I289</f>
        <v>0</v>
      </c>
      <c r="K430" s="253">
        <f>K416-'дод 6'!J289</f>
        <v>0</v>
      </c>
      <c r="L430" s="253">
        <f>L416-'дод 6'!K289</f>
        <v>0</v>
      </c>
      <c r="M430" s="253">
        <f>M416-'дод 6'!L289</f>
        <v>0</v>
      </c>
      <c r="N430" s="253">
        <f>N416-'дод 6'!M289</f>
        <v>0</v>
      </c>
      <c r="O430" s="253">
        <f>O416-'дод 6'!N289</f>
        <v>0</v>
      </c>
      <c r="P430" s="184">
        <f>P416-'дод 6'!O289</f>
        <v>0</v>
      </c>
      <c r="Q430" s="259"/>
    </row>
    <row r="431" spans="1:525" s="213" customFormat="1" ht="15.75" hidden="1" customHeight="1" x14ac:dyDescent="0.25">
      <c r="A431" s="178"/>
      <c r="B431" s="178"/>
      <c r="C431" s="178"/>
      <c r="D431" s="283"/>
      <c r="E431" s="252">
        <f>E417-'дод 6'!D290</f>
        <v>0</v>
      </c>
      <c r="F431" s="253">
        <f>F417-'дод 6'!E290</f>
        <v>0</v>
      </c>
      <c r="G431" s="253">
        <f>G417-'дод 6'!F290</f>
        <v>0</v>
      </c>
      <c r="H431" s="253">
        <f>H417-'дод 6'!G290</f>
        <v>0</v>
      </c>
      <c r="I431" s="253">
        <f>I417-'дод 6'!H290</f>
        <v>0</v>
      </c>
      <c r="J431" s="253">
        <f>J417-'дод 6'!I290</f>
        <v>0</v>
      </c>
      <c r="K431" s="253">
        <f>K417-'дод 6'!J290</f>
        <v>0</v>
      </c>
      <c r="L431" s="253">
        <f>L417-'дод 6'!K290</f>
        <v>0</v>
      </c>
      <c r="M431" s="253">
        <f>M417-'дод 6'!L290</f>
        <v>0</v>
      </c>
      <c r="N431" s="253">
        <f>N417-'дод 6'!M290</f>
        <v>0</v>
      </c>
      <c r="O431" s="253">
        <f>O417-'дод 6'!N290</f>
        <v>0</v>
      </c>
      <c r="P431" s="184">
        <f>P417-'дод 6'!O290</f>
        <v>0</v>
      </c>
      <c r="Q431" s="259"/>
    </row>
    <row r="432" spans="1:525" s="213" customFormat="1" ht="15.75" hidden="1" customHeight="1" x14ac:dyDescent="0.25">
      <c r="A432" s="178"/>
      <c r="B432" s="178"/>
      <c r="C432" s="178"/>
      <c r="D432" s="283"/>
      <c r="E432" s="214">
        <f>E419-'дод 6'!D292</f>
        <v>0</v>
      </c>
      <c r="F432" s="215">
        <f>F419-'дод 6'!E292</f>
        <v>0</v>
      </c>
      <c r="G432" s="215">
        <f>G419-'дод 6'!F292</f>
        <v>0</v>
      </c>
      <c r="H432" s="215">
        <f>H419-'дод 6'!G292</f>
        <v>0</v>
      </c>
      <c r="I432" s="215">
        <f>I419-'дод 6'!H292</f>
        <v>0</v>
      </c>
      <c r="J432" s="215">
        <f>J419-'дод 6'!I292</f>
        <v>0</v>
      </c>
      <c r="K432" s="215">
        <f>K419-'дод 6'!J292</f>
        <v>0</v>
      </c>
      <c r="L432" s="215">
        <f>L419-'дод 6'!K292</f>
        <v>0</v>
      </c>
      <c r="M432" s="215">
        <f>M419-'дод 6'!L292</f>
        <v>0</v>
      </c>
      <c r="N432" s="215">
        <f>N419-'дод 6'!M292</f>
        <v>0</v>
      </c>
      <c r="O432" s="215">
        <f>O419-'дод 6'!N292</f>
        <v>0</v>
      </c>
      <c r="P432" s="216">
        <f>P419-'дод 6'!O292</f>
        <v>0</v>
      </c>
      <c r="Q432" s="259"/>
    </row>
    <row r="433" spans="1:17" s="213" customFormat="1" ht="15.75" hidden="1" customHeight="1" thickBot="1" x14ac:dyDescent="0.3">
      <c r="A433" s="178"/>
      <c r="B433" s="178"/>
      <c r="C433" s="178"/>
      <c r="D433" s="217"/>
      <c r="E433" s="253">
        <f>E420-'дод 6'!D293</f>
        <v>0</v>
      </c>
      <c r="F433" s="253">
        <f>F420-'дод 6'!E293</f>
        <v>0</v>
      </c>
      <c r="G433" s="253">
        <f>G420-'дод 6'!F293</f>
        <v>0</v>
      </c>
      <c r="H433" s="253">
        <f>H420-'дод 6'!G293</f>
        <v>0</v>
      </c>
      <c r="I433" s="253">
        <f>I420-'дод 6'!H293</f>
        <v>0</v>
      </c>
      <c r="J433" s="253">
        <f>J420-'дод 6'!I293</f>
        <v>0</v>
      </c>
      <c r="K433" s="253">
        <f>K420-'дод 6'!J293</f>
        <v>0</v>
      </c>
      <c r="L433" s="253">
        <f>L420-'дод 6'!K293</f>
        <v>0</v>
      </c>
      <c r="M433" s="253">
        <f>M420-'дод 6'!L293</f>
        <v>0</v>
      </c>
      <c r="N433" s="253">
        <f>N420-'дод 6'!M293</f>
        <v>0</v>
      </c>
      <c r="O433" s="253">
        <f>O420-'дод 6'!N293</f>
        <v>0</v>
      </c>
      <c r="P433" s="253">
        <f>P420-'дод 6'!O293</f>
        <v>0</v>
      </c>
      <c r="Q433" s="259"/>
    </row>
    <row r="434" spans="1:17" s="182" customFormat="1" ht="14.25" hidden="1" customHeight="1" x14ac:dyDescent="0.25">
      <c r="A434" s="178"/>
      <c r="B434" s="178"/>
      <c r="C434" s="178"/>
      <c r="D434" s="179" t="s">
        <v>612</v>
      </c>
      <c r="E434" s="180">
        <f>2640157271+2140000</f>
        <v>2642297271</v>
      </c>
      <c r="F434" s="89"/>
      <c r="G434" s="77"/>
      <c r="H434" s="261" t="s">
        <v>618</v>
      </c>
      <c r="I434" s="262"/>
      <c r="J434" s="251">
        <f>99571757+152500</f>
        <v>99724257</v>
      </c>
      <c r="K434" s="181"/>
      <c r="L434" s="218">
        <f>J434-L26-L37-L55-L84-L85-L102-L210-L248-L249-L250-O281-O248-O102-L333-L281</f>
        <v>-7376900</v>
      </c>
      <c r="M434" s="77"/>
      <c r="N434" s="77"/>
      <c r="O434" s="77"/>
      <c r="P434" s="77"/>
      <c r="Q434" s="259"/>
    </row>
    <row r="435" spans="1:17" s="95" customFormat="1" ht="14.25" hidden="1" customHeight="1" x14ac:dyDescent="0.25">
      <c r="A435" s="175"/>
      <c r="B435" s="176"/>
      <c r="C435" s="176"/>
      <c r="D435" s="183" t="s">
        <v>613</v>
      </c>
      <c r="E435" s="184"/>
      <c r="F435" s="89">
        <f>E435-E416</f>
        <v>-473819800</v>
      </c>
      <c r="G435" s="77"/>
      <c r="H435" s="261" t="s">
        <v>619</v>
      </c>
      <c r="I435" s="262"/>
      <c r="J435" s="253">
        <v>3145100</v>
      </c>
      <c r="K435" s="184"/>
      <c r="L435" s="89">
        <f>J435-L408-L313-L59-L146-O408-O313-O146</f>
        <v>-191000</v>
      </c>
      <c r="M435" s="77"/>
      <c r="N435" s="77"/>
      <c r="O435" s="77"/>
      <c r="P435" s="77"/>
      <c r="Q435" s="259"/>
    </row>
    <row r="436" spans="1:17" s="95" customFormat="1" ht="14.25" hidden="1" customHeight="1" x14ac:dyDescent="0.25">
      <c r="A436" s="175"/>
      <c r="B436" s="176"/>
      <c r="C436" s="176"/>
      <c r="D436" s="183" t="s">
        <v>614</v>
      </c>
      <c r="E436" s="184"/>
      <c r="F436" s="269">
        <f>E436+E437-E417</f>
        <v>-8489921.8299999982</v>
      </c>
      <c r="G436" s="77"/>
      <c r="H436" s="261" t="s">
        <v>620</v>
      </c>
      <c r="I436" s="262"/>
      <c r="J436" s="253">
        <v>225000</v>
      </c>
      <c r="K436" s="184"/>
      <c r="L436" s="89">
        <f>J436-L308-L52</f>
        <v>-45080.630000000005</v>
      </c>
      <c r="M436" s="77"/>
      <c r="N436" s="77"/>
      <c r="O436" s="77"/>
      <c r="P436" s="77"/>
      <c r="Q436" s="259"/>
    </row>
    <row r="437" spans="1:17" s="95" customFormat="1" ht="14.25" hidden="1" customHeight="1" x14ac:dyDescent="0.25">
      <c r="A437" s="175"/>
      <c r="B437" s="176"/>
      <c r="C437" s="176"/>
      <c r="D437" s="183" t="s">
        <v>615</v>
      </c>
      <c r="E437" s="184">
        <v>1506343</v>
      </c>
      <c r="F437" s="269"/>
      <c r="G437" s="77"/>
      <c r="H437" s="261" t="s">
        <v>621</v>
      </c>
      <c r="I437" s="262"/>
      <c r="J437" s="253">
        <v>141800</v>
      </c>
      <c r="K437" s="184"/>
      <c r="L437" s="89">
        <f>O342-J437+J451</f>
        <v>26322.550000000003</v>
      </c>
      <c r="M437" s="77"/>
      <c r="N437" s="77"/>
      <c r="O437" s="77"/>
      <c r="P437" s="77"/>
      <c r="Q437" s="259"/>
    </row>
    <row r="438" spans="1:17" s="95" customFormat="1" ht="14.25" hidden="1" customHeight="1" x14ac:dyDescent="0.25">
      <c r="A438" s="175"/>
      <c r="B438" s="176"/>
      <c r="C438" s="176"/>
      <c r="D438" s="183" t="s">
        <v>616</v>
      </c>
      <c r="E438" s="184"/>
      <c r="F438" s="89"/>
      <c r="G438" s="77"/>
      <c r="H438" s="261" t="s">
        <v>622</v>
      </c>
      <c r="I438" s="262"/>
      <c r="J438" s="253">
        <v>2659373</v>
      </c>
      <c r="K438" s="184">
        <v>2659373</v>
      </c>
      <c r="L438" s="89"/>
      <c r="M438" s="77"/>
      <c r="N438" s="77"/>
      <c r="O438" s="77"/>
      <c r="P438" s="77"/>
      <c r="Q438" s="259"/>
    </row>
    <row r="439" spans="1:17" s="95" customFormat="1" ht="14.25" hidden="1" customHeight="1" x14ac:dyDescent="0.25">
      <c r="A439" s="175"/>
      <c r="B439" s="176"/>
      <c r="C439" s="176"/>
      <c r="D439" s="183"/>
      <c r="E439" s="184"/>
      <c r="F439" s="77"/>
      <c r="G439" s="77"/>
      <c r="H439" s="261" t="s">
        <v>634</v>
      </c>
      <c r="I439" s="262"/>
      <c r="J439" s="253">
        <v>4200000</v>
      </c>
      <c r="K439" s="184"/>
      <c r="L439" s="89"/>
      <c r="M439" s="77"/>
      <c r="N439" s="77"/>
      <c r="O439" s="77"/>
      <c r="P439" s="77"/>
      <c r="Q439" s="259"/>
    </row>
    <row r="440" spans="1:17" s="190" customFormat="1" ht="14.25" hidden="1" customHeight="1" x14ac:dyDescent="0.2">
      <c r="A440" s="185"/>
      <c r="B440" s="186"/>
      <c r="C440" s="186"/>
      <c r="D440" s="187" t="s">
        <v>623</v>
      </c>
      <c r="E440" s="188">
        <f>E434+E435+E436+E437+E438+E439</f>
        <v>2643803614</v>
      </c>
      <c r="F440" s="90"/>
      <c r="G440" s="90"/>
      <c r="H440" s="263" t="s">
        <v>626</v>
      </c>
      <c r="I440" s="264"/>
      <c r="J440" s="256">
        <f>J434+J435+J436+J437+J438+J439</f>
        <v>110095530</v>
      </c>
      <c r="K440" s="188">
        <f>K434+K435+K436+K437+K438+K439</f>
        <v>2659373</v>
      </c>
      <c r="L440" s="189"/>
      <c r="M440" s="90"/>
      <c r="N440" s="90"/>
      <c r="O440" s="90"/>
      <c r="P440" s="90"/>
      <c r="Q440" s="259"/>
    </row>
    <row r="441" spans="1:17" s="95" customFormat="1" ht="18" hidden="1" customHeight="1" x14ac:dyDescent="0.25">
      <c r="A441" s="175"/>
      <c r="B441" s="176"/>
      <c r="C441" s="176"/>
      <c r="D441" s="187" t="s">
        <v>624</v>
      </c>
      <c r="E441" s="184">
        <f>E421</f>
        <v>2489841772.5999999</v>
      </c>
      <c r="F441" s="89">
        <f>E415-E416-E417-E419</f>
        <v>2489841772.5999999</v>
      </c>
      <c r="G441" s="77">
        <f>F441-E441</f>
        <v>0</v>
      </c>
      <c r="H441" s="263" t="s">
        <v>617</v>
      </c>
      <c r="I441" s="264"/>
      <c r="J441" s="256">
        <f>E445</f>
        <v>152455498.4000001</v>
      </c>
      <c r="K441" s="188">
        <f>E445</f>
        <v>152455498.4000001</v>
      </c>
      <c r="L441" s="89"/>
      <c r="M441" s="77"/>
      <c r="N441" s="77"/>
      <c r="O441" s="77"/>
      <c r="P441" s="77"/>
      <c r="Q441" s="259"/>
    </row>
    <row r="442" spans="1:17" s="95" customFormat="1" ht="18" hidden="1" customHeight="1" x14ac:dyDescent="0.25">
      <c r="A442" s="175"/>
      <c r="B442" s="176"/>
      <c r="C442" s="176"/>
      <c r="D442" s="187" t="s">
        <v>659</v>
      </c>
      <c r="E442" s="184">
        <f>E417</f>
        <v>9996264.8299999982</v>
      </c>
      <c r="F442" s="89"/>
      <c r="G442" s="77"/>
      <c r="H442" s="255"/>
      <c r="I442" s="256"/>
      <c r="J442" s="256"/>
      <c r="K442" s="219"/>
      <c r="L442" s="89"/>
      <c r="M442" s="77"/>
      <c r="N442" s="77"/>
      <c r="O442" s="77"/>
      <c r="P442" s="77"/>
      <c r="Q442" s="259"/>
    </row>
    <row r="443" spans="1:17" s="95" customFormat="1" ht="18" hidden="1" customHeight="1" x14ac:dyDescent="0.25">
      <c r="A443" s="175"/>
      <c r="B443" s="176"/>
      <c r="C443" s="176"/>
      <c r="D443" s="187" t="s">
        <v>660</v>
      </c>
      <c r="E443" s="184">
        <f>E441+E442</f>
        <v>2499838037.4299998</v>
      </c>
      <c r="F443" s="89">
        <f>E443-E415</f>
        <v>-473819800</v>
      </c>
      <c r="G443" s="77"/>
      <c r="H443" s="255"/>
      <c r="I443" s="256"/>
      <c r="J443" s="256"/>
      <c r="K443" s="219"/>
      <c r="L443" s="89"/>
      <c r="M443" s="77"/>
      <c r="N443" s="77"/>
      <c r="O443" s="77"/>
      <c r="P443" s="77"/>
      <c r="Q443" s="259"/>
    </row>
    <row r="444" spans="1:17" s="95" customFormat="1" ht="15" hidden="1" customHeight="1" x14ac:dyDescent="0.25">
      <c r="A444" s="175"/>
      <c r="B444" s="176"/>
      <c r="C444" s="176"/>
      <c r="D444" s="187" t="s">
        <v>625</v>
      </c>
      <c r="E444" s="184"/>
      <c r="F444" s="77"/>
      <c r="G444" s="77"/>
      <c r="H444" s="263" t="s">
        <v>631</v>
      </c>
      <c r="I444" s="264"/>
      <c r="J444" s="253">
        <f>5600000+2054092+300000</f>
        <v>7954092</v>
      </c>
      <c r="K444" s="253">
        <f>5600000+2054092+300000</f>
        <v>7954092</v>
      </c>
      <c r="L444" s="89">
        <f>K444</f>
        <v>7954092</v>
      </c>
      <c r="M444" s="77"/>
      <c r="N444" s="77"/>
      <c r="O444" s="77"/>
      <c r="P444" s="77"/>
      <c r="Q444" s="259"/>
    </row>
    <row r="445" spans="1:17" s="95" customFormat="1" ht="15.75" hidden="1" customHeight="1" thickBot="1" x14ac:dyDescent="0.3">
      <c r="A445" s="175"/>
      <c r="B445" s="176"/>
      <c r="C445" s="176"/>
      <c r="D445" s="220" t="s">
        <v>617</v>
      </c>
      <c r="E445" s="221">
        <f>E434-E441-E444</f>
        <v>152455498.4000001</v>
      </c>
      <c r="F445" s="77"/>
      <c r="G445" s="77"/>
      <c r="H445" s="261" t="s">
        <v>629</v>
      </c>
      <c r="I445" s="262"/>
      <c r="J445" s="253">
        <v>2322989</v>
      </c>
      <c r="K445" s="253">
        <v>2322989</v>
      </c>
      <c r="L445" s="89"/>
      <c r="M445" s="77"/>
      <c r="N445" s="77"/>
      <c r="O445" s="77"/>
      <c r="P445" s="77"/>
      <c r="Q445" s="259"/>
    </row>
    <row r="446" spans="1:17" s="95" customFormat="1" ht="15" hidden="1" customHeight="1" x14ac:dyDescent="0.25">
      <c r="A446" s="175"/>
      <c r="B446" s="176"/>
      <c r="C446" s="176"/>
      <c r="D446" s="177"/>
      <c r="E446" s="77"/>
      <c r="F446" s="77"/>
      <c r="G446" s="77"/>
      <c r="H446" s="263" t="s">
        <v>632</v>
      </c>
      <c r="I446" s="264"/>
      <c r="J446" s="253">
        <v>92214546</v>
      </c>
      <c r="K446" s="184">
        <v>92214546</v>
      </c>
      <c r="L446" s="89">
        <f>J446-J419</f>
        <v>0</v>
      </c>
      <c r="M446" s="77"/>
      <c r="N446" s="77"/>
      <c r="O446" s="77"/>
      <c r="P446" s="77"/>
      <c r="Q446" s="259"/>
    </row>
    <row r="447" spans="1:17" s="95" customFormat="1" ht="15" hidden="1" customHeight="1" x14ac:dyDescent="0.25">
      <c r="A447" s="175"/>
      <c r="B447" s="176"/>
      <c r="C447" s="176"/>
      <c r="D447" s="177"/>
      <c r="E447" s="77"/>
      <c r="F447" s="77"/>
      <c r="G447" s="77"/>
      <c r="H447" s="267" t="s">
        <v>627</v>
      </c>
      <c r="I447" s="268"/>
      <c r="J447" s="257">
        <f>J440+J441+J444+J445+J446</f>
        <v>365042655.4000001</v>
      </c>
      <c r="K447" s="191">
        <f>K440+K441+K444+K445+K446</f>
        <v>257606498.4000001</v>
      </c>
      <c r="L447" s="89">
        <f>J447-K447-J434-J435-J436-J437-J439-J445</f>
        <v>-2322989</v>
      </c>
      <c r="M447" s="77"/>
      <c r="N447" s="77"/>
      <c r="O447" s="77"/>
      <c r="P447" s="77"/>
      <c r="Q447" s="259"/>
    </row>
    <row r="448" spans="1:17" s="95" customFormat="1" ht="15" hidden="1" customHeight="1" x14ac:dyDescent="0.25">
      <c r="A448" s="175"/>
      <c r="B448" s="176"/>
      <c r="C448" s="176"/>
      <c r="D448" s="177"/>
      <c r="E448" s="77"/>
      <c r="F448" s="77"/>
      <c r="G448" s="77"/>
      <c r="H448" s="261" t="s">
        <v>628</v>
      </c>
      <c r="I448" s="262"/>
      <c r="J448" s="253">
        <v>2322989</v>
      </c>
      <c r="K448" s="253">
        <v>2322989</v>
      </c>
      <c r="L448" s="222"/>
      <c r="M448" s="77"/>
      <c r="N448" s="77"/>
      <c r="O448" s="77"/>
      <c r="P448" s="77"/>
      <c r="Q448" s="259"/>
    </row>
    <row r="449" spans="1:18" s="95" customFormat="1" ht="15" hidden="1" customHeight="1" x14ac:dyDescent="0.25">
      <c r="A449" s="175"/>
      <c r="B449" s="176"/>
      <c r="C449" s="176"/>
      <c r="D449" s="177"/>
      <c r="E449" s="77"/>
      <c r="F449" s="77"/>
      <c r="G449" s="77"/>
      <c r="H449" s="261" t="s">
        <v>630</v>
      </c>
      <c r="I449" s="262"/>
      <c r="J449" s="253">
        <v>3763568</v>
      </c>
      <c r="K449" s="184">
        <v>3763568</v>
      </c>
      <c r="L449" s="89"/>
      <c r="M449" s="77"/>
      <c r="N449" s="77"/>
      <c r="O449" s="77"/>
      <c r="P449" s="77"/>
      <c r="Q449" s="259"/>
    </row>
    <row r="450" spans="1:18" s="95" customFormat="1" ht="15" hidden="1" customHeight="1" x14ac:dyDescent="0.25">
      <c r="A450" s="175"/>
      <c r="B450" s="176"/>
      <c r="C450" s="176"/>
      <c r="D450" s="177"/>
      <c r="E450" s="77"/>
      <c r="F450" s="77"/>
      <c r="G450" s="77"/>
      <c r="H450" s="263" t="s">
        <v>633</v>
      </c>
      <c r="I450" s="264"/>
      <c r="J450" s="253">
        <f>J415</f>
        <v>1623849573.9999998</v>
      </c>
      <c r="K450" s="184">
        <f>K415</f>
        <v>1027711655.8199999</v>
      </c>
      <c r="L450" s="89"/>
      <c r="M450" s="77"/>
      <c r="N450" s="77"/>
      <c r="O450" s="77"/>
      <c r="P450" s="77"/>
      <c r="Q450" s="259"/>
    </row>
    <row r="451" spans="1:18" s="95" customFormat="1" ht="15" hidden="1" customHeight="1" x14ac:dyDescent="0.25">
      <c r="A451" s="175"/>
      <c r="B451" s="176"/>
      <c r="C451" s="176"/>
      <c r="D451" s="177"/>
      <c r="E451" s="77"/>
      <c r="F451" s="77"/>
      <c r="G451" s="77"/>
      <c r="H451" s="263" t="s">
        <v>654</v>
      </c>
      <c r="I451" s="264"/>
      <c r="J451" s="253">
        <v>37410</v>
      </c>
      <c r="K451" s="184"/>
      <c r="L451" s="89"/>
      <c r="M451" s="77"/>
      <c r="N451" s="77"/>
      <c r="O451" s="77"/>
      <c r="P451" s="77"/>
      <c r="Q451" s="259"/>
    </row>
    <row r="452" spans="1:18" s="95" customFormat="1" ht="15" hidden="1" customHeight="1" x14ac:dyDescent="0.25">
      <c r="A452" s="175"/>
      <c r="B452" s="176"/>
      <c r="C452" s="176"/>
      <c r="D452" s="177"/>
      <c r="E452" s="77"/>
      <c r="F452" s="77"/>
      <c r="G452" s="77"/>
      <c r="H452" s="267" t="s">
        <v>655</v>
      </c>
      <c r="I452" s="268"/>
      <c r="J452" s="192">
        <f>J448+J449+J450+J451</f>
        <v>1629973540.9999998</v>
      </c>
      <c r="K452" s="192">
        <f>K448+K449+K450+K451</f>
        <v>1033798212.8199999</v>
      </c>
      <c r="L452" s="89"/>
      <c r="M452" s="77"/>
      <c r="N452" s="77"/>
      <c r="O452" s="77"/>
      <c r="P452" s="77"/>
      <c r="Q452" s="259"/>
    </row>
    <row r="453" spans="1:18" s="95" customFormat="1" ht="15.75" hidden="1" customHeight="1" thickBot="1" x14ac:dyDescent="0.3">
      <c r="A453" s="175"/>
      <c r="B453" s="176"/>
      <c r="C453" s="176"/>
      <c r="D453" s="177"/>
      <c r="E453" s="77"/>
      <c r="F453" s="77"/>
      <c r="G453" s="77"/>
      <c r="H453" s="265" t="s">
        <v>611</v>
      </c>
      <c r="I453" s="266"/>
      <c r="J453" s="254">
        <f>J447-J452</f>
        <v>-1264930885.5999997</v>
      </c>
      <c r="K453" s="254">
        <f>K447-K452</f>
        <v>-776191714.41999984</v>
      </c>
      <c r="L453" s="89">
        <f>J453-K453</f>
        <v>-488739171.17999983</v>
      </c>
      <c r="M453" s="77"/>
      <c r="N453" s="77"/>
      <c r="O453" s="77"/>
      <c r="P453" s="77"/>
      <c r="Q453" s="259"/>
    </row>
    <row r="454" spans="1:18" s="95" customFormat="1" ht="15" hidden="1" customHeight="1" x14ac:dyDescent="0.25">
      <c r="A454" s="175"/>
      <c r="B454" s="176"/>
      <c r="C454" s="176"/>
      <c r="D454" s="177"/>
      <c r="E454" s="77"/>
      <c r="F454" s="77"/>
      <c r="G454" s="77"/>
      <c r="H454" s="77"/>
      <c r="I454" s="77"/>
      <c r="J454" s="77">
        <f>J434+J435+J436+J437+J438+J439+J441+J444+J445+J446-J448-J449-J415-J453-J451</f>
        <v>0</v>
      </c>
      <c r="K454" s="77">
        <f>K438+K441+K444+K446+K445-K448-K449-K415-K453</f>
        <v>0</v>
      </c>
      <c r="L454" s="77"/>
      <c r="M454" s="77"/>
      <c r="N454" s="77"/>
      <c r="O454" s="77"/>
      <c r="P454" s="77"/>
      <c r="Q454" s="259"/>
    </row>
    <row r="455" spans="1:18" s="95" customFormat="1" ht="9.75" customHeight="1" x14ac:dyDescent="0.25">
      <c r="A455" s="175"/>
      <c r="B455" s="176"/>
      <c r="C455" s="176"/>
      <c r="D455" s="1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259"/>
    </row>
    <row r="456" spans="1:18" s="95" customFormat="1" ht="9.75" customHeight="1" x14ac:dyDescent="0.25">
      <c r="A456" s="175"/>
      <c r="B456" s="176"/>
      <c r="C456" s="176"/>
      <c r="D456" s="1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259"/>
    </row>
    <row r="457" spans="1:18" s="95" customFormat="1" ht="9.75" customHeight="1" x14ac:dyDescent="0.25">
      <c r="A457" s="175"/>
      <c r="B457" s="176"/>
      <c r="C457" s="176"/>
      <c r="D457" s="1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259"/>
    </row>
    <row r="458" spans="1:18" s="95" customFormat="1" ht="38.25" x14ac:dyDescent="0.55000000000000004">
      <c r="A458" s="167" t="s">
        <v>742</v>
      </c>
      <c r="B458" s="168"/>
      <c r="C458" s="169"/>
      <c r="D458" s="170"/>
      <c r="E458" s="88"/>
      <c r="F458" s="87"/>
      <c r="G458" s="170"/>
      <c r="H458" s="170"/>
      <c r="I458" s="170"/>
      <c r="J458" s="170"/>
      <c r="K458" s="171"/>
      <c r="L458" s="258"/>
      <c r="M458" s="170"/>
      <c r="N458" s="170" t="s">
        <v>741</v>
      </c>
      <c r="O458" s="172"/>
      <c r="P458" s="77"/>
      <c r="Q458" s="259"/>
    </row>
    <row r="459" spans="1:18" s="95" customFormat="1" ht="35.25" customHeight="1" x14ac:dyDescent="0.55000000000000004">
      <c r="A459" s="167" t="s">
        <v>740</v>
      </c>
      <c r="B459" s="176"/>
      <c r="C459" s="176"/>
      <c r="D459" s="177"/>
      <c r="E459" s="88"/>
      <c r="F459" s="87"/>
      <c r="G459" s="77"/>
      <c r="H459" s="77"/>
      <c r="I459" s="77"/>
      <c r="J459" s="77"/>
      <c r="K459" s="77"/>
      <c r="L459" s="77"/>
      <c r="M459" s="77"/>
      <c r="N459" s="77"/>
      <c r="O459" s="77"/>
      <c r="P459" s="172"/>
      <c r="Q459" s="259"/>
    </row>
    <row r="460" spans="1:18" s="95" customFormat="1" ht="31.5" customHeight="1" x14ac:dyDescent="0.45">
      <c r="A460" s="239"/>
      <c r="B460" s="239"/>
      <c r="C460" s="239"/>
      <c r="D460" s="239"/>
      <c r="E460" s="88"/>
      <c r="F460" s="87"/>
      <c r="G460" s="195"/>
      <c r="H460" s="195"/>
      <c r="I460" s="195"/>
      <c r="J460" s="195"/>
      <c r="K460" s="88"/>
      <c r="L460" s="195"/>
      <c r="M460" s="195"/>
      <c r="N460" s="195"/>
      <c r="O460" s="195"/>
      <c r="P460" s="77"/>
      <c r="Q460" s="259"/>
    </row>
    <row r="461" spans="1:18" s="194" customFormat="1" ht="36.75" customHeight="1" x14ac:dyDescent="0.55000000000000004">
      <c r="A461" s="279"/>
      <c r="B461" s="279"/>
      <c r="C461" s="279"/>
      <c r="D461" s="279"/>
      <c r="E461" s="88"/>
      <c r="F461" s="87"/>
      <c r="G461" s="77"/>
      <c r="H461" s="77"/>
      <c r="I461" s="77"/>
      <c r="J461" s="77"/>
      <c r="K461" s="77"/>
      <c r="L461" s="77"/>
      <c r="M461" s="77"/>
      <c r="N461" s="77"/>
      <c r="O461" s="77"/>
      <c r="P461" s="172"/>
      <c r="Q461" s="259"/>
      <c r="R461" s="227"/>
    </row>
    <row r="462" spans="1:18" s="194" customFormat="1" ht="31.5" x14ac:dyDescent="0.45">
      <c r="P462" s="195"/>
      <c r="Q462" s="193"/>
      <c r="R462" s="227"/>
    </row>
    <row r="463" spans="1:18" s="95" customFormat="1" x14ac:dyDescent="0.25">
      <c r="A463" s="175"/>
      <c r="B463" s="176"/>
      <c r="C463" s="176"/>
      <c r="D463" s="177"/>
      <c r="E463" s="224">
        <f>E415-'дод 6'!D288</f>
        <v>0</v>
      </c>
      <c r="F463" s="253">
        <f>F415-'дод 6'!E288</f>
        <v>0</v>
      </c>
      <c r="G463" s="253">
        <f>G415-'дод 6'!F288</f>
        <v>0</v>
      </c>
      <c r="H463" s="253">
        <f>H415-'дод 6'!G288</f>
        <v>0</v>
      </c>
      <c r="I463" s="253">
        <f>I415-'дод 6'!H288</f>
        <v>0</v>
      </c>
      <c r="J463" s="253">
        <f>J415-'дод 6'!I288</f>
        <v>0</v>
      </c>
      <c r="K463" s="253">
        <f>K415-'дод 6'!J288</f>
        <v>0</v>
      </c>
      <c r="L463" s="253">
        <f>L415-'дод 6'!K288</f>
        <v>0</v>
      </c>
      <c r="M463" s="253">
        <f>M415-'дод 6'!L288</f>
        <v>0</v>
      </c>
      <c r="N463" s="253">
        <f>N415-'дод 6'!M288</f>
        <v>0</v>
      </c>
      <c r="O463" s="253">
        <f>O415-'дод 6'!N288</f>
        <v>0</v>
      </c>
      <c r="P463" s="253">
        <f>P415-'дод 6'!O288</f>
        <v>0</v>
      </c>
      <c r="Q463" s="157"/>
    </row>
    <row r="464" spans="1:18" s="95" customFormat="1" x14ac:dyDescent="0.25">
      <c r="A464" s="175"/>
      <c r="B464" s="176"/>
      <c r="C464" s="176"/>
      <c r="D464" s="177"/>
      <c r="E464" s="253">
        <f>E416-'дод 6'!D289</f>
        <v>0</v>
      </c>
      <c r="F464" s="253">
        <f>F416-'дод 6'!E289</f>
        <v>0</v>
      </c>
      <c r="G464" s="253">
        <f>G416-'дод 6'!F289</f>
        <v>0</v>
      </c>
      <c r="H464" s="253">
        <f>H416-'дод 6'!G289</f>
        <v>0</v>
      </c>
      <c r="I464" s="253">
        <f>I416-'дод 6'!H289</f>
        <v>0</v>
      </c>
      <c r="J464" s="253">
        <f>J416-'дод 6'!I289</f>
        <v>0</v>
      </c>
      <c r="K464" s="253">
        <f>K416-'дод 6'!J289</f>
        <v>0</v>
      </c>
      <c r="L464" s="253">
        <f>L416-'дод 6'!K289</f>
        <v>0</v>
      </c>
      <c r="M464" s="253">
        <f>M416-'дод 6'!L289</f>
        <v>0</v>
      </c>
      <c r="N464" s="253">
        <f>N416-'дод 6'!M289</f>
        <v>0</v>
      </c>
      <c r="O464" s="253">
        <f>O416-'дод 6'!N289</f>
        <v>0</v>
      </c>
      <c r="P464" s="253">
        <f>P416-'дод 6'!O289</f>
        <v>0</v>
      </c>
      <c r="Q464" s="157"/>
    </row>
    <row r="465" spans="1:17" s="95" customFormat="1" x14ac:dyDescent="0.25">
      <c r="A465" s="175"/>
      <c r="B465" s="176"/>
      <c r="C465" s="176"/>
      <c r="D465" s="177"/>
      <c r="E465" s="253">
        <f>E417-'дод 6'!D290</f>
        <v>0</v>
      </c>
      <c r="F465" s="253">
        <f>F417-'дод 6'!E290</f>
        <v>0</v>
      </c>
      <c r="G465" s="253">
        <f>G417-'дод 6'!F290</f>
        <v>0</v>
      </c>
      <c r="H465" s="253">
        <f>H417-'дод 6'!G290</f>
        <v>0</v>
      </c>
      <c r="I465" s="253">
        <f>I417-'дод 6'!H290</f>
        <v>0</v>
      </c>
      <c r="J465" s="253">
        <f>J417-'дод 6'!I290</f>
        <v>0</v>
      </c>
      <c r="K465" s="253">
        <f>K417-'дод 6'!J290</f>
        <v>0</v>
      </c>
      <c r="L465" s="253">
        <f>L417-'дод 6'!K290</f>
        <v>0</v>
      </c>
      <c r="M465" s="253">
        <f>M417-'дод 6'!L290</f>
        <v>0</v>
      </c>
      <c r="N465" s="253">
        <f>N417-'дод 6'!M290</f>
        <v>0</v>
      </c>
      <c r="O465" s="253">
        <f>O417-'дод 6'!N290</f>
        <v>0</v>
      </c>
      <c r="P465" s="253">
        <f>P417-'дод 6'!O290</f>
        <v>0</v>
      </c>
      <c r="Q465" s="157"/>
    </row>
    <row r="466" spans="1:17" s="95" customFormat="1" x14ac:dyDescent="0.25">
      <c r="A466" s="175"/>
      <c r="B466" s="176"/>
      <c r="C466" s="176"/>
      <c r="D466" s="177"/>
      <c r="E466" s="253">
        <f>E418-'дод 6'!D291</f>
        <v>0</v>
      </c>
      <c r="F466" s="253">
        <f>F418-'дод 6'!E291</f>
        <v>0</v>
      </c>
      <c r="G466" s="253">
        <f>G418-'дод 6'!F291</f>
        <v>0</v>
      </c>
      <c r="H466" s="253">
        <f>H418-'дод 6'!G291</f>
        <v>0</v>
      </c>
      <c r="I466" s="253">
        <f>I418-'дод 6'!H291</f>
        <v>0</v>
      </c>
      <c r="J466" s="253">
        <f>J418-'дод 6'!I291</f>
        <v>0</v>
      </c>
      <c r="K466" s="253">
        <f>K418-'дод 6'!J291</f>
        <v>0</v>
      </c>
      <c r="L466" s="253">
        <f>L418-'дод 6'!K291</f>
        <v>0</v>
      </c>
      <c r="M466" s="253">
        <f>M418-'дод 6'!L291</f>
        <v>0</v>
      </c>
      <c r="N466" s="253">
        <f>N418-'дод 6'!M291</f>
        <v>0</v>
      </c>
      <c r="O466" s="253">
        <f>O418-'дод 6'!N291</f>
        <v>0</v>
      </c>
      <c r="P466" s="253">
        <f>P418-'дод 6'!O291</f>
        <v>0</v>
      </c>
      <c r="Q466" s="157"/>
    </row>
    <row r="467" spans="1:17" s="95" customFormat="1" x14ac:dyDescent="0.25">
      <c r="A467" s="175"/>
      <c r="B467" s="176"/>
      <c r="C467" s="176"/>
      <c r="D467" s="177"/>
      <c r="E467" s="253">
        <f>E419-'дод 6'!D292</f>
        <v>0</v>
      </c>
      <c r="F467" s="253">
        <f>F419-'дод 6'!E292</f>
        <v>0</v>
      </c>
      <c r="G467" s="253">
        <f>G419-'дод 6'!F292</f>
        <v>0</v>
      </c>
      <c r="H467" s="253">
        <f>H419-'дод 6'!G292</f>
        <v>0</v>
      </c>
      <c r="I467" s="253">
        <f>I419-'дод 6'!H292</f>
        <v>0</v>
      </c>
      <c r="J467" s="253">
        <f>J419-'дод 6'!I292</f>
        <v>0</v>
      </c>
      <c r="K467" s="253">
        <f>K419-'дод 6'!J292</f>
        <v>0</v>
      </c>
      <c r="L467" s="253">
        <f>L419-'дод 6'!K292</f>
        <v>0</v>
      </c>
      <c r="M467" s="253">
        <f>M419-'дод 6'!L292</f>
        <v>0</v>
      </c>
      <c r="N467" s="253">
        <f>N419-'дод 6'!M292</f>
        <v>0</v>
      </c>
      <c r="O467" s="253">
        <f>O419-'дод 6'!N292</f>
        <v>0</v>
      </c>
      <c r="P467" s="253">
        <f>P419-'дод 6'!O292</f>
        <v>0</v>
      </c>
      <c r="Q467" s="157"/>
    </row>
    <row r="468" spans="1:17" s="95" customFormat="1" x14ac:dyDescent="0.25">
      <c r="A468" s="175"/>
      <c r="B468" s="176"/>
      <c r="C468" s="176"/>
      <c r="D468" s="177"/>
      <c r="E468" s="253">
        <f>E420-'дод 6'!D293</f>
        <v>0</v>
      </c>
      <c r="F468" s="253">
        <f>F420-'дод 6'!E293</f>
        <v>0</v>
      </c>
      <c r="G468" s="253">
        <f>G420-'дод 6'!F293</f>
        <v>0</v>
      </c>
      <c r="H468" s="253">
        <f>H420-'дод 6'!G293</f>
        <v>0</v>
      </c>
      <c r="I468" s="253">
        <f>I420-'дод 6'!H293</f>
        <v>0</v>
      </c>
      <c r="J468" s="253">
        <f>J420-'дод 6'!I293</f>
        <v>0</v>
      </c>
      <c r="K468" s="253">
        <f>K420-'дод 6'!J293</f>
        <v>0</v>
      </c>
      <c r="L468" s="253">
        <f>L420-'дод 6'!K293</f>
        <v>0</v>
      </c>
      <c r="M468" s="253">
        <f>M420-'дод 6'!L293</f>
        <v>0</v>
      </c>
      <c r="N468" s="253">
        <f>N420-'дод 6'!M293</f>
        <v>0</v>
      </c>
      <c r="O468" s="253">
        <f>O420-'дод 6'!N293</f>
        <v>0</v>
      </c>
      <c r="P468" s="253">
        <f>P420-'дод 6'!O293</f>
        <v>0</v>
      </c>
      <c r="Q468" s="157"/>
    </row>
    <row r="469" spans="1:17" s="95" customFormat="1" x14ac:dyDescent="0.25">
      <c r="A469" s="175"/>
      <c r="B469" s="176"/>
      <c r="C469" s="176"/>
      <c r="D469" s="1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157"/>
    </row>
    <row r="470" spans="1:17" s="95" customFormat="1" x14ac:dyDescent="0.25">
      <c r="A470" s="175"/>
      <c r="B470" s="176"/>
      <c r="C470" s="176"/>
      <c r="D470" s="1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157"/>
    </row>
    <row r="471" spans="1:17" s="95" customFormat="1" x14ac:dyDescent="0.25">
      <c r="A471" s="175"/>
      <c r="B471" s="176"/>
      <c r="C471" s="176"/>
      <c r="D471" s="1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157"/>
    </row>
    <row r="472" spans="1:17" s="95" customFormat="1" x14ac:dyDescent="0.25">
      <c r="A472" s="175"/>
      <c r="B472" s="176"/>
      <c r="C472" s="176"/>
      <c r="D472" s="1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157"/>
    </row>
    <row r="473" spans="1:17" s="95" customFormat="1" x14ac:dyDescent="0.25">
      <c r="A473" s="175"/>
      <c r="B473" s="176"/>
      <c r="C473" s="176"/>
      <c r="D473" s="1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157"/>
    </row>
    <row r="474" spans="1:17" s="95" customFormat="1" x14ac:dyDescent="0.25">
      <c r="A474" s="175"/>
      <c r="B474" s="176"/>
      <c r="C474" s="176"/>
      <c r="D474" s="1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157"/>
    </row>
    <row r="475" spans="1:17" s="95" customFormat="1" x14ac:dyDescent="0.25">
      <c r="A475" s="175"/>
      <c r="B475" s="176"/>
      <c r="C475" s="176"/>
      <c r="D475" s="1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157"/>
    </row>
    <row r="476" spans="1:17" s="95" customFormat="1" x14ac:dyDescent="0.25">
      <c r="A476" s="175"/>
      <c r="B476" s="176"/>
      <c r="C476" s="176"/>
      <c r="D476" s="1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157"/>
    </row>
    <row r="477" spans="1:17" s="95" customFormat="1" x14ac:dyDescent="0.25">
      <c r="A477" s="175"/>
      <c r="B477" s="176"/>
      <c r="C477" s="176"/>
      <c r="D477" s="1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157"/>
    </row>
    <row r="478" spans="1:17" s="95" customFormat="1" x14ac:dyDescent="0.25">
      <c r="A478" s="175"/>
      <c r="B478" s="176"/>
      <c r="C478" s="176"/>
      <c r="D478" s="1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157"/>
    </row>
    <row r="479" spans="1:17" s="95" customFormat="1" x14ac:dyDescent="0.25">
      <c r="A479" s="175"/>
      <c r="B479" s="176"/>
      <c r="C479" s="176"/>
      <c r="D479" s="1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157"/>
    </row>
    <row r="480" spans="1:17" s="95" customFormat="1" x14ac:dyDescent="0.25">
      <c r="A480" s="175"/>
      <c r="B480" s="176"/>
      <c r="C480" s="176"/>
      <c r="D480" s="1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157"/>
    </row>
    <row r="481" spans="1:17" s="95" customFormat="1" x14ac:dyDescent="0.25">
      <c r="A481" s="175"/>
      <c r="B481" s="176"/>
      <c r="C481" s="176"/>
      <c r="D481" s="1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157"/>
    </row>
    <row r="482" spans="1:17" s="95" customFormat="1" x14ac:dyDescent="0.25">
      <c r="A482" s="175"/>
      <c r="B482" s="176"/>
      <c r="C482" s="176"/>
      <c r="D482" s="1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157"/>
    </row>
    <row r="483" spans="1:17" s="95" customFormat="1" x14ac:dyDescent="0.25">
      <c r="A483" s="175"/>
      <c r="B483" s="176"/>
      <c r="C483" s="176"/>
      <c r="D483" s="1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157"/>
    </row>
    <row r="484" spans="1:17" s="95" customFormat="1" x14ac:dyDescent="0.25">
      <c r="A484" s="175"/>
      <c r="B484" s="176"/>
      <c r="C484" s="176"/>
      <c r="D484" s="1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157"/>
    </row>
    <row r="485" spans="1:17" s="95" customFormat="1" x14ac:dyDescent="0.25">
      <c r="A485" s="175"/>
      <c r="B485" s="176"/>
      <c r="C485" s="176"/>
      <c r="D485" s="1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157"/>
    </row>
    <row r="486" spans="1:17" s="95" customFormat="1" x14ac:dyDescent="0.25">
      <c r="A486" s="175"/>
      <c r="B486" s="176"/>
      <c r="C486" s="176"/>
      <c r="D486" s="1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157"/>
    </row>
    <row r="487" spans="1:17" s="95" customFormat="1" x14ac:dyDescent="0.25">
      <c r="A487" s="175"/>
      <c r="B487" s="176"/>
      <c r="C487" s="176"/>
      <c r="D487" s="1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157"/>
    </row>
    <row r="488" spans="1:17" s="95" customFormat="1" x14ac:dyDescent="0.25">
      <c r="A488" s="175"/>
      <c r="B488" s="176"/>
      <c r="C488" s="176"/>
      <c r="D488" s="1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157"/>
    </row>
    <row r="489" spans="1:17" s="95" customFormat="1" x14ac:dyDescent="0.25">
      <c r="A489" s="175"/>
      <c r="B489" s="176"/>
      <c r="C489" s="176"/>
      <c r="D489" s="1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157"/>
    </row>
    <row r="490" spans="1:17" s="95" customFormat="1" x14ac:dyDescent="0.25">
      <c r="A490" s="175"/>
      <c r="B490" s="176"/>
      <c r="C490" s="176"/>
      <c r="D490" s="1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157"/>
    </row>
    <row r="491" spans="1:17" s="95" customFormat="1" x14ac:dyDescent="0.25">
      <c r="A491" s="175"/>
      <c r="B491" s="176"/>
      <c r="C491" s="176"/>
      <c r="D491" s="1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157"/>
    </row>
    <row r="492" spans="1:17" s="95" customFormat="1" x14ac:dyDescent="0.25">
      <c r="A492" s="175"/>
      <c r="B492" s="176"/>
      <c r="C492" s="176"/>
      <c r="D492" s="1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157"/>
    </row>
    <row r="493" spans="1:17" s="95" customFormat="1" x14ac:dyDescent="0.25">
      <c r="A493" s="175"/>
      <c r="B493" s="176"/>
      <c r="C493" s="176"/>
      <c r="D493" s="1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157"/>
    </row>
    <row r="494" spans="1:17" s="95" customFormat="1" x14ac:dyDescent="0.25">
      <c r="A494" s="175"/>
      <c r="B494" s="176"/>
      <c r="C494" s="176"/>
      <c r="D494" s="1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157"/>
    </row>
    <row r="495" spans="1:17" s="95" customFormat="1" x14ac:dyDescent="0.25">
      <c r="A495" s="175"/>
      <c r="B495" s="176"/>
      <c r="C495" s="176"/>
      <c r="D495" s="1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157"/>
    </row>
    <row r="496" spans="1:17" s="95" customFormat="1" x14ac:dyDescent="0.25">
      <c r="A496" s="175"/>
      <c r="B496" s="176"/>
      <c r="C496" s="176"/>
      <c r="D496" s="1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157"/>
    </row>
    <row r="497" spans="1:17" s="95" customFormat="1" x14ac:dyDescent="0.25">
      <c r="A497" s="175"/>
      <c r="B497" s="176"/>
      <c r="C497" s="176"/>
      <c r="D497" s="1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157"/>
    </row>
    <row r="498" spans="1:17" s="95" customFormat="1" x14ac:dyDescent="0.25">
      <c r="A498" s="175"/>
      <c r="B498" s="176"/>
      <c r="C498" s="176"/>
      <c r="D498" s="1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157"/>
    </row>
    <row r="499" spans="1:17" s="95" customFormat="1" x14ac:dyDescent="0.25">
      <c r="A499" s="175"/>
      <c r="B499" s="176"/>
      <c r="C499" s="176"/>
      <c r="D499" s="1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157"/>
    </row>
    <row r="500" spans="1:17" s="95" customFormat="1" x14ac:dyDescent="0.25">
      <c r="A500" s="175"/>
      <c r="B500" s="176"/>
      <c r="C500" s="176"/>
      <c r="D500" s="1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157"/>
    </row>
    <row r="501" spans="1:17" s="95" customFormat="1" x14ac:dyDescent="0.25">
      <c r="A501" s="175"/>
      <c r="B501" s="176"/>
      <c r="C501" s="176"/>
      <c r="D501" s="1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157"/>
    </row>
    <row r="502" spans="1:17" s="95" customFormat="1" x14ac:dyDescent="0.25">
      <c r="A502" s="175"/>
      <c r="B502" s="176"/>
      <c r="C502" s="176"/>
      <c r="D502" s="1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157"/>
    </row>
    <row r="503" spans="1:17" s="95" customFormat="1" x14ac:dyDescent="0.25">
      <c r="A503" s="175"/>
      <c r="B503" s="176"/>
      <c r="C503" s="176"/>
      <c r="D503" s="1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157"/>
    </row>
    <row r="504" spans="1:17" s="95" customFormat="1" x14ac:dyDescent="0.25">
      <c r="A504" s="175"/>
      <c r="B504" s="176"/>
      <c r="C504" s="176"/>
      <c r="D504" s="1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157"/>
    </row>
    <row r="505" spans="1:17" s="95" customFormat="1" x14ac:dyDescent="0.25">
      <c r="A505" s="175"/>
      <c r="B505" s="176"/>
      <c r="C505" s="176"/>
      <c r="D505" s="1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157"/>
    </row>
    <row r="506" spans="1:17" s="95" customFormat="1" x14ac:dyDescent="0.25">
      <c r="A506" s="175"/>
      <c r="B506" s="176"/>
      <c r="C506" s="176"/>
      <c r="D506" s="1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157"/>
    </row>
    <row r="507" spans="1:17" s="95" customFormat="1" x14ac:dyDescent="0.25">
      <c r="A507" s="175"/>
      <c r="B507" s="176"/>
      <c r="C507" s="176"/>
      <c r="D507" s="1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157"/>
    </row>
    <row r="508" spans="1:17" s="95" customFormat="1" x14ac:dyDescent="0.25">
      <c r="A508" s="175"/>
      <c r="B508" s="176"/>
      <c r="C508" s="176"/>
      <c r="D508" s="1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157"/>
    </row>
    <row r="509" spans="1:17" s="95" customFormat="1" x14ac:dyDescent="0.25">
      <c r="A509" s="175"/>
      <c r="B509" s="176"/>
      <c r="C509" s="176"/>
      <c r="D509" s="1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157"/>
    </row>
    <row r="510" spans="1:17" s="95" customFormat="1" x14ac:dyDescent="0.25">
      <c r="A510" s="175"/>
      <c r="B510" s="176"/>
      <c r="C510" s="176"/>
      <c r="D510" s="1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157"/>
    </row>
    <row r="511" spans="1:17" s="95" customFormat="1" x14ac:dyDescent="0.25">
      <c r="A511" s="175"/>
      <c r="B511" s="176"/>
      <c r="C511" s="176"/>
      <c r="D511" s="1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157"/>
    </row>
    <row r="512" spans="1:17" s="95" customFormat="1" x14ac:dyDescent="0.25">
      <c r="A512" s="175"/>
      <c r="B512" s="176"/>
      <c r="C512" s="176"/>
      <c r="D512" s="1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157"/>
    </row>
    <row r="513" spans="1:17" s="95" customFormat="1" x14ac:dyDescent="0.25">
      <c r="A513" s="175"/>
      <c r="B513" s="176"/>
      <c r="C513" s="176"/>
      <c r="D513" s="1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157"/>
    </row>
    <row r="514" spans="1:17" s="95" customFormat="1" x14ac:dyDescent="0.25">
      <c r="A514" s="175"/>
      <c r="B514" s="176"/>
      <c r="C514" s="176"/>
      <c r="D514" s="1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157"/>
    </row>
    <row r="515" spans="1:17" s="95" customFormat="1" x14ac:dyDescent="0.25">
      <c r="A515" s="175"/>
      <c r="B515" s="176"/>
      <c r="C515" s="176"/>
      <c r="D515" s="1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157"/>
    </row>
    <row r="516" spans="1:17" s="95" customFormat="1" x14ac:dyDescent="0.25">
      <c r="A516" s="175"/>
      <c r="B516" s="176"/>
      <c r="C516" s="176"/>
      <c r="D516" s="1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157"/>
    </row>
    <row r="517" spans="1:17" s="95" customFormat="1" x14ac:dyDescent="0.25">
      <c r="A517" s="175"/>
      <c r="B517" s="176"/>
      <c r="C517" s="176"/>
      <c r="D517" s="1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157"/>
    </row>
    <row r="518" spans="1:17" s="95" customFormat="1" x14ac:dyDescent="0.25">
      <c r="A518" s="175"/>
      <c r="B518" s="176"/>
      <c r="C518" s="176"/>
      <c r="D518" s="1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157"/>
    </row>
    <row r="519" spans="1:17" s="95" customFormat="1" x14ac:dyDescent="0.25">
      <c r="A519" s="175"/>
      <c r="B519" s="176"/>
      <c r="C519" s="176"/>
      <c r="D519" s="1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157"/>
    </row>
    <row r="520" spans="1:17" s="95" customFormat="1" x14ac:dyDescent="0.25">
      <c r="A520" s="175"/>
      <c r="B520" s="176"/>
      <c r="C520" s="176"/>
      <c r="D520" s="1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157"/>
    </row>
    <row r="521" spans="1:17" s="95" customFormat="1" x14ac:dyDescent="0.25">
      <c r="A521" s="175"/>
      <c r="B521" s="176"/>
      <c r="C521" s="176"/>
      <c r="D521" s="1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157"/>
    </row>
    <row r="522" spans="1:17" s="95" customFormat="1" x14ac:dyDescent="0.25">
      <c r="A522" s="175"/>
      <c r="B522" s="176"/>
      <c r="C522" s="176"/>
      <c r="D522" s="1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157"/>
    </row>
    <row r="523" spans="1:17" s="95" customFormat="1" x14ac:dyDescent="0.25">
      <c r="A523" s="175"/>
      <c r="B523" s="176"/>
      <c r="C523" s="176"/>
      <c r="D523" s="1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157"/>
    </row>
    <row r="524" spans="1:17" s="95" customFormat="1" x14ac:dyDescent="0.25">
      <c r="A524" s="175"/>
      <c r="B524" s="176"/>
      <c r="C524" s="176"/>
      <c r="D524" s="1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157"/>
    </row>
    <row r="525" spans="1:17" s="95" customFormat="1" x14ac:dyDescent="0.25">
      <c r="A525" s="175"/>
      <c r="B525" s="176"/>
      <c r="C525" s="176"/>
      <c r="D525" s="1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157"/>
    </row>
    <row r="526" spans="1:17" s="95" customFormat="1" x14ac:dyDescent="0.25">
      <c r="A526" s="175"/>
      <c r="B526" s="176"/>
      <c r="C526" s="176"/>
      <c r="D526" s="1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157"/>
    </row>
    <row r="527" spans="1:17" s="95" customFormat="1" x14ac:dyDescent="0.25">
      <c r="A527" s="175"/>
      <c r="B527" s="176"/>
      <c r="C527" s="176"/>
      <c r="D527" s="1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157"/>
    </row>
    <row r="528" spans="1:17" s="95" customFormat="1" x14ac:dyDescent="0.25">
      <c r="A528" s="175"/>
      <c r="B528" s="176"/>
      <c r="C528" s="176"/>
      <c r="D528" s="1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157"/>
    </row>
    <row r="529" spans="1:17" s="95" customFormat="1" x14ac:dyDescent="0.25">
      <c r="A529" s="175"/>
      <c r="B529" s="176"/>
      <c r="C529" s="176"/>
      <c r="D529" s="1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157"/>
    </row>
    <row r="530" spans="1:17" s="95" customFormat="1" x14ac:dyDescent="0.25">
      <c r="A530" s="175"/>
      <c r="B530" s="176"/>
      <c r="C530" s="176"/>
      <c r="D530" s="1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157"/>
    </row>
    <row r="531" spans="1:17" s="95" customFormat="1" x14ac:dyDescent="0.25">
      <c r="A531" s="175"/>
      <c r="B531" s="176"/>
      <c r="C531" s="176"/>
      <c r="D531" s="1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157"/>
    </row>
    <row r="532" spans="1:17" s="95" customFormat="1" x14ac:dyDescent="0.25">
      <c r="A532" s="175"/>
      <c r="B532" s="176"/>
      <c r="C532" s="176"/>
      <c r="D532" s="1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157"/>
    </row>
    <row r="533" spans="1:17" s="95" customFormat="1" x14ac:dyDescent="0.25">
      <c r="A533" s="175"/>
      <c r="B533" s="176"/>
      <c r="C533" s="176"/>
      <c r="D533" s="1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157"/>
    </row>
    <row r="534" spans="1:17" s="95" customFormat="1" x14ac:dyDescent="0.25">
      <c r="A534" s="175"/>
      <c r="B534" s="176"/>
      <c r="C534" s="176"/>
      <c r="D534" s="1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157"/>
    </row>
    <row r="535" spans="1:17" s="95" customFormat="1" x14ac:dyDescent="0.25">
      <c r="A535" s="175"/>
      <c r="B535" s="176"/>
      <c r="C535" s="176"/>
      <c r="D535" s="1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157"/>
    </row>
    <row r="536" spans="1:17" s="95" customFormat="1" x14ac:dyDescent="0.25">
      <c r="A536" s="175"/>
      <c r="B536" s="176"/>
      <c r="C536" s="176"/>
      <c r="D536" s="1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157"/>
    </row>
    <row r="537" spans="1:17" s="95" customFormat="1" x14ac:dyDescent="0.25">
      <c r="A537" s="175"/>
      <c r="B537" s="176"/>
      <c r="C537" s="176"/>
      <c r="D537" s="1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157"/>
    </row>
    <row r="538" spans="1:17" s="95" customFormat="1" x14ac:dyDescent="0.25">
      <c r="A538" s="175"/>
      <c r="B538" s="176"/>
      <c r="C538" s="176"/>
      <c r="D538" s="1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157"/>
    </row>
    <row r="539" spans="1:17" s="95" customFormat="1" x14ac:dyDescent="0.25">
      <c r="A539" s="175"/>
      <c r="B539" s="176"/>
      <c r="C539" s="176"/>
      <c r="D539" s="1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157"/>
    </row>
    <row r="540" spans="1:17" s="95" customFormat="1" x14ac:dyDescent="0.25">
      <c r="A540" s="175"/>
      <c r="B540" s="176"/>
      <c r="C540" s="176"/>
      <c r="D540" s="1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157"/>
    </row>
    <row r="541" spans="1:17" s="95" customFormat="1" x14ac:dyDescent="0.25">
      <c r="A541" s="175"/>
      <c r="B541" s="176"/>
      <c r="C541" s="176"/>
      <c r="D541" s="1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157"/>
    </row>
    <row r="542" spans="1:17" s="95" customFormat="1" x14ac:dyDescent="0.25">
      <c r="A542" s="175"/>
      <c r="B542" s="176"/>
      <c r="C542" s="176"/>
      <c r="D542" s="1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157"/>
    </row>
    <row r="543" spans="1:17" s="95" customFormat="1" x14ac:dyDescent="0.25">
      <c r="A543" s="175"/>
      <c r="B543" s="176"/>
      <c r="C543" s="176"/>
      <c r="D543" s="1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157"/>
    </row>
    <row r="544" spans="1:17" s="95" customFormat="1" x14ac:dyDescent="0.25">
      <c r="A544" s="175"/>
      <c r="B544" s="176"/>
      <c r="C544" s="176"/>
      <c r="D544" s="1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157"/>
    </row>
    <row r="545" spans="1:17" s="95" customFormat="1" x14ac:dyDescent="0.25">
      <c r="A545" s="175"/>
      <c r="B545" s="176"/>
      <c r="C545" s="176"/>
      <c r="D545" s="1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157"/>
    </row>
    <row r="546" spans="1:17" s="95" customFormat="1" x14ac:dyDescent="0.25">
      <c r="A546" s="175"/>
      <c r="B546" s="176"/>
      <c r="C546" s="176"/>
      <c r="D546" s="1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157"/>
    </row>
    <row r="547" spans="1:17" s="95" customFormat="1" x14ac:dyDescent="0.25">
      <c r="A547" s="175"/>
      <c r="B547" s="176"/>
      <c r="C547" s="176"/>
      <c r="D547" s="1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157"/>
    </row>
    <row r="548" spans="1:17" s="95" customFormat="1" x14ac:dyDescent="0.25">
      <c r="A548" s="175"/>
      <c r="B548" s="176"/>
      <c r="C548" s="176"/>
      <c r="D548" s="1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157"/>
    </row>
    <row r="549" spans="1:17" s="95" customFormat="1" x14ac:dyDescent="0.25">
      <c r="A549" s="175"/>
      <c r="B549" s="176"/>
      <c r="C549" s="176"/>
      <c r="D549" s="1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157"/>
    </row>
    <row r="550" spans="1:17" s="95" customFormat="1" x14ac:dyDescent="0.25">
      <c r="A550" s="175"/>
      <c r="B550" s="176"/>
      <c r="C550" s="176"/>
      <c r="D550" s="1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157"/>
    </row>
    <row r="551" spans="1:17" s="95" customFormat="1" x14ac:dyDescent="0.25">
      <c r="A551" s="175"/>
      <c r="B551" s="176"/>
      <c r="C551" s="176"/>
      <c r="D551" s="1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157"/>
    </row>
    <row r="552" spans="1:17" s="95" customFormat="1" x14ac:dyDescent="0.25">
      <c r="A552" s="175"/>
      <c r="B552" s="176"/>
      <c r="C552" s="176"/>
      <c r="D552" s="1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157"/>
    </row>
    <row r="553" spans="1:17" s="95" customFormat="1" x14ac:dyDescent="0.25">
      <c r="A553" s="175"/>
      <c r="B553" s="176"/>
      <c r="C553" s="176"/>
      <c r="D553" s="1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157"/>
    </row>
    <row r="554" spans="1:17" s="95" customFormat="1" x14ac:dyDescent="0.25">
      <c r="A554" s="175"/>
      <c r="B554" s="176"/>
      <c r="C554" s="176"/>
      <c r="D554" s="1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157"/>
    </row>
    <row r="555" spans="1:17" s="95" customFormat="1" x14ac:dyDescent="0.25">
      <c r="A555" s="175"/>
      <c r="B555" s="176"/>
      <c r="C555" s="176"/>
      <c r="D555" s="1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157"/>
    </row>
    <row r="556" spans="1:17" s="95" customFormat="1" x14ac:dyDescent="0.25">
      <c r="A556" s="175"/>
      <c r="B556" s="176"/>
      <c r="C556" s="176"/>
      <c r="D556" s="1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157"/>
    </row>
    <row r="557" spans="1:17" s="95" customFormat="1" x14ac:dyDescent="0.25">
      <c r="A557" s="175"/>
      <c r="B557" s="176"/>
      <c r="C557" s="176"/>
      <c r="D557" s="1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157"/>
    </row>
    <row r="558" spans="1:17" s="95" customFormat="1" x14ac:dyDescent="0.25">
      <c r="A558" s="175"/>
      <c r="B558" s="176"/>
      <c r="C558" s="176"/>
      <c r="D558" s="1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157"/>
    </row>
    <row r="559" spans="1:17" s="95" customFormat="1" x14ac:dyDescent="0.25">
      <c r="A559" s="175"/>
      <c r="B559" s="176"/>
      <c r="C559" s="176"/>
      <c r="D559" s="1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157"/>
    </row>
    <row r="560" spans="1:17" s="95" customFormat="1" x14ac:dyDescent="0.25">
      <c r="A560" s="175"/>
      <c r="B560" s="176"/>
      <c r="C560" s="176"/>
      <c r="D560" s="1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157"/>
    </row>
    <row r="561" spans="1:17" s="95" customFormat="1" x14ac:dyDescent="0.25">
      <c r="A561" s="175"/>
      <c r="B561" s="176"/>
      <c r="C561" s="176"/>
      <c r="D561" s="1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157"/>
    </row>
    <row r="562" spans="1:17" s="95" customFormat="1" x14ac:dyDescent="0.25">
      <c r="A562" s="175"/>
      <c r="B562" s="176"/>
      <c r="C562" s="176"/>
      <c r="D562" s="1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157"/>
    </row>
    <row r="563" spans="1:17" s="95" customFormat="1" x14ac:dyDescent="0.25">
      <c r="A563" s="175"/>
      <c r="B563" s="176"/>
      <c r="C563" s="176"/>
      <c r="D563" s="1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157"/>
    </row>
    <row r="564" spans="1:17" s="95" customFormat="1" x14ac:dyDescent="0.25">
      <c r="A564" s="175"/>
      <c r="B564" s="176"/>
      <c r="C564" s="176"/>
      <c r="D564" s="1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157"/>
    </row>
    <row r="565" spans="1:17" s="95" customFormat="1" x14ac:dyDescent="0.25">
      <c r="A565" s="175"/>
      <c r="B565" s="176"/>
      <c r="C565" s="176"/>
      <c r="D565" s="1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157"/>
    </row>
    <row r="566" spans="1:17" s="95" customFormat="1" x14ac:dyDescent="0.25">
      <c r="A566" s="175"/>
      <c r="B566" s="176"/>
      <c r="C566" s="176"/>
      <c r="D566" s="1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157"/>
    </row>
    <row r="567" spans="1:17" s="95" customFormat="1" x14ac:dyDescent="0.25">
      <c r="A567" s="175"/>
      <c r="B567" s="176"/>
      <c r="C567" s="176"/>
      <c r="D567" s="1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157"/>
    </row>
    <row r="568" spans="1:17" s="95" customFormat="1" x14ac:dyDescent="0.25">
      <c r="A568" s="175"/>
      <c r="B568" s="176"/>
      <c r="C568" s="176"/>
      <c r="D568" s="1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157"/>
    </row>
    <row r="569" spans="1:17" s="95" customFormat="1" x14ac:dyDescent="0.25">
      <c r="A569" s="175"/>
      <c r="B569" s="176"/>
      <c r="C569" s="176"/>
      <c r="D569" s="1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157"/>
    </row>
    <row r="570" spans="1:17" s="95" customFormat="1" x14ac:dyDescent="0.25">
      <c r="A570" s="175"/>
      <c r="B570" s="176"/>
      <c r="C570" s="176"/>
      <c r="D570" s="1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157"/>
    </row>
    <row r="571" spans="1:17" s="95" customFormat="1" x14ac:dyDescent="0.25">
      <c r="A571" s="175"/>
      <c r="B571" s="176"/>
      <c r="C571" s="176"/>
      <c r="D571" s="1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157"/>
    </row>
    <row r="572" spans="1:17" s="95" customFormat="1" x14ac:dyDescent="0.25">
      <c r="A572" s="175"/>
      <c r="B572" s="176"/>
      <c r="C572" s="176"/>
      <c r="D572" s="1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157"/>
    </row>
    <row r="573" spans="1:17" s="95" customFormat="1" x14ac:dyDescent="0.25">
      <c r="A573" s="175"/>
      <c r="B573" s="176"/>
      <c r="C573" s="176"/>
      <c r="D573" s="1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157"/>
    </row>
    <row r="574" spans="1:17" s="95" customFormat="1" x14ac:dyDescent="0.25">
      <c r="A574" s="175"/>
      <c r="B574" s="176"/>
      <c r="C574" s="176"/>
      <c r="D574" s="1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157"/>
    </row>
    <row r="575" spans="1:17" s="95" customFormat="1" x14ac:dyDescent="0.25">
      <c r="A575" s="175"/>
      <c r="B575" s="176"/>
      <c r="C575" s="176"/>
      <c r="D575" s="1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157"/>
    </row>
    <row r="576" spans="1:17" s="95" customFormat="1" x14ac:dyDescent="0.25">
      <c r="A576" s="175"/>
      <c r="B576" s="176"/>
      <c r="C576" s="176"/>
      <c r="D576" s="1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157"/>
    </row>
    <row r="577" spans="1:17" s="95" customFormat="1" x14ac:dyDescent="0.25">
      <c r="A577" s="175"/>
      <c r="B577" s="176"/>
      <c r="C577" s="176"/>
      <c r="D577" s="1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157"/>
    </row>
    <row r="578" spans="1:17" s="95" customFormat="1" x14ac:dyDescent="0.25">
      <c r="A578" s="175"/>
      <c r="B578" s="176"/>
      <c r="C578" s="176"/>
      <c r="D578" s="1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157"/>
    </row>
    <row r="579" spans="1:17" s="95" customFormat="1" x14ac:dyDescent="0.25">
      <c r="A579" s="175"/>
      <c r="B579" s="176"/>
      <c r="C579" s="176"/>
      <c r="D579" s="1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157"/>
    </row>
    <row r="580" spans="1:17" s="95" customFormat="1" x14ac:dyDescent="0.25">
      <c r="A580" s="175"/>
      <c r="B580" s="176"/>
      <c r="C580" s="176"/>
      <c r="D580" s="1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157"/>
    </row>
    <row r="581" spans="1:17" s="95" customFormat="1" x14ac:dyDescent="0.25">
      <c r="A581" s="175"/>
      <c r="B581" s="176"/>
      <c r="C581" s="176"/>
      <c r="D581" s="1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157"/>
    </row>
    <row r="582" spans="1:17" s="95" customFormat="1" x14ac:dyDescent="0.25">
      <c r="A582" s="175"/>
      <c r="B582" s="176"/>
      <c r="C582" s="176"/>
      <c r="D582" s="1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157"/>
    </row>
    <row r="583" spans="1:17" s="95" customFormat="1" x14ac:dyDescent="0.25">
      <c r="A583" s="175"/>
      <c r="B583" s="176"/>
      <c r="C583" s="176"/>
      <c r="D583" s="1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157"/>
    </row>
    <row r="584" spans="1:17" s="95" customFormat="1" x14ac:dyDescent="0.25">
      <c r="A584" s="175"/>
      <c r="B584" s="176"/>
      <c r="C584" s="176"/>
      <c r="D584" s="1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157"/>
    </row>
    <row r="585" spans="1:17" s="95" customFormat="1" x14ac:dyDescent="0.25">
      <c r="A585" s="175"/>
      <c r="B585" s="176"/>
      <c r="C585" s="176"/>
      <c r="D585" s="1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157"/>
    </row>
    <row r="586" spans="1:17" s="95" customFormat="1" x14ac:dyDescent="0.25">
      <c r="A586" s="175"/>
      <c r="B586" s="176"/>
      <c r="C586" s="176"/>
      <c r="D586" s="1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157"/>
    </row>
    <row r="587" spans="1:17" s="95" customFormat="1" x14ac:dyDescent="0.25">
      <c r="A587" s="175"/>
      <c r="B587" s="176"/>
      <c r="C587" s="176"/>
      <c r="D587" s="1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157"/>
    </row>
    <row r="588" spans="1:17" s="95" customFormat="1" x14ac:dyDescent="0.25">
      <c r="A588" s="175"/>
      <c r="B588" s="176"/>
      <c r="C588" s="176"/>
      <c r="D588" s="1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157"/>
    </row>
    <row r="589" spans="1:17" s="95" customFormat="1" x14ac:dyDescent="0.25">
      <c r="A589" s="175"/>
      <c r="B589" s="176"/>
      <c r="C589" s="176"/>
      <c r="D589" s="1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157"/>
    </row>
    <row r="590" spans="1:17" s="95" customFormat="1" x14ac:dyDescent="0.25">
      <c r="A590" s="175"/>
      <c r="B590" s="176"/>
      <c r="C590" s="176"/>
      <c r="D590" s="1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157"/>
    </row>
    <row r="591" spans="1:17" s="95" customFormat="1" x14ac:dyDescent="0.25">
      <c r="A591" s="175"/>
      <c r="B591" s="176"/>
      <c r="C591" s="176"/>
      <c r="D591" s="1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157"/>
    </row>
    <row r="592" spans="1:17" s="95" customFormat="1" x14ac:dyDescent="0.25">
      <c r="A592" s="175"/>
      <c r="B592" s="176"/>
      <c r="C592" s="176"/>
      <c r="D592" s="1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157"/>
    </row>
    <row r="593" spans="1:17" s="95" customFormat="1" x14ac:dyDescent="0.25">
      <c r="A593" s="175"/>
      <c r="B593" s="176"/>
      <c r="C593" s="176"/>
      <c r="D593" s="1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157"/>
    </row>
    <row r="594" spans="1:17" s="95" customFormat="1" x14ac:dyDescent="0.25">
      <c r="A594" s="175"/>
      <c r="B594" s="176"/>
      <c r="C594" s="176"/>
      <c r="D594" s="1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157"/>
    </row>
    <row r="595" spans="1:17" s="95" customFormat="1" x14ac:dyDescent="0.25">
      <c r="A595" s="175"/>
      <c r="B595" s="176"/>
      <c r="C595" s="176"/>
      <c r="D595" s="1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157"/>
    </row>
    <row r="596" spans="1:17" s="95" customFormat="1" x14ac:dyDescent="0.25">
      <c r="A596" s="175"/>
      <c r="B596" s="176"/>
      <c r="C596" s="176"/>
      <c r="D596" s="1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157"/>
    </row>
    <row r="597" spans="1:17" s="95" customFormat="1" x14ac:dyDescent="0.25">
      <c r="A597" s="175"/>
      <c r="B597" s="176"/>
      <c r="C597" s="176"/>
      <c r="D597" s="1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157"/>
    </row>
    <row r="598" spans="1:17" s="95" customFormat="1" x14ac:dyDescent="0.25">
      <c r="A598" s="175"/>
      <c r="B598" s="176"/>
      <c r="C598" s="176"/>
      <c r="D598" s="1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157"/>
    </row>
    <row r="599" spans="1:17" s="95" customFormat="1" x14ac:dyDescent="0.25">
      <c r="A599" s="175"/>
      <c r="B599" s="176"/>
      <c r="C599" s="176"/>
      <c r="D599" s="1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157"/>
    </row>
    <row r="600" spans="1:17" s="95" customFormat="1" x14ac:dyDescent="0.25">
      <c r="A600" s="175"/>
      <c r="B600" s="176"/>
      <c r="C600" s="176"/>
      <c r="D600" s="1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157"/>
    </row>
    <row r="601" spans="1:17" s="95" customFormat="1" x14ac:dyDescent="0.25">
      <c r="A601" s="175"/>
      <c r="B601" s="176"/>
      <c r="C601" s="176"/>
      <c r="D601" s="1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157"/>
    </row>
    <row r="602" spans="1:17" s="95" customFormat="1" x14ac:dyDescent="0.25">
      <c r="A602" s="175"/>
      <c r="B602" s="176"/>
      <c r="C602" s="176"/>
      <c r="D602" s="1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157"/>
    </row>
    <row r="603" spans="1:17" s="95" customFormat="1" x14ac:dyDescent="0.25">
      <c r="A603" s="175"/>
      <c r="B603" s="176"/>
      <c r="C603" s="176"/>
      <c r="D603" s="1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157"/>
    </row>
    <row r="604" spans="1:17" s="95" customFormat="1" x14ac:dyDescent="0.25">
      <c r="A604" s="175"/>
      <c r="B604" s="176"/>
      <c r="C604" s="176"/>
      <c r="D604" s="1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157"/>
    </row>
    <row r="605" spans="1:17" s="95" customFormat="1" x14ac:dyDescent="0.25">
      <c r="A605" s="175"/>
      <c r="B605" s="176"/>
      <c r="C605" s="176"/>
      <c r="D605" s="1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157"/>
    </row>
    <row r="606" spans="1:17" s="95" customFormat="1" x14ac:dyDescent="0.25">
      <c r="A606" s="175"/>
      <c r="B606" s="176"/>
      <c r="C606" s="176"/>
      <c r="D606" s="1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157"/>
    </row>
    <row r="607" spans="1:17" s="95" customFormat="1" x14ac:dyDescent="0.25">
      <c r="A607" s="175"/>
      <c r="B607" s="176"/>
      <c r="C607" s="176"/>
      <c r="D607" s="1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157"/>
    </row>
    <row r="608" spans="1:17" s="95" customFormat="1" x14ac:dyDescent="0.25">
      <c r="A608" s="175"/>
      <c r="B608" s="176"/>
      <c r="C608" s="176"/>
      <c r="D608" s="1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157"/>
    </row>
    <row r="609" spans="1:17" s="95" customFormat="1" x14ac:dyDescent="0.25">
      <c r="A609" s="175"/>
      <c r="B609" s="176"/>
      <c r="C609" s="176"/>
      <c r="D609" s="1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157"/>
    </row>
    <row r="610" spans="1:17" s="95" customFormat="1" x14ac:dyDescent="0.25">
      <c r="A610" s="175"/>
      <c r="B610" s="176"/>
      <c r="C610" s="176"/>
      <c r="D610" s="1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157"/>
    </row>
    <row r="611" spans="1:17" s="95" customFormat="1" x14ac:dyDescent="0.25">
      <c r="A611" s="175"/>
      <c r="B611" s="176"/>
      <c r="C611" s="176"/>
      <c r="D611" s="1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157"/>
    </row>
    <row r="612" spans="1:17" s="95" customFormat="1" x14ac:dyDescent="0.25">
      <c r="A612" s="175"/>
      <c r="B612" s="176"/>
      <c r="C612" s="176"/>
      <c r="D612" s="1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157"/>
    </row>
    <row r="613" spans="1:17" s="95" customFormat="1" x14ac:dyDescent="0.25">
      <c r="A613" s="175"/>
      <c r="B613" s="176"/>
      <c r="C613" s="176"/>
      <c r="D613" s="1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157"/>
    </row>
    <row r="614" spans="1:17" s="95" customFormat="1" x14ac:dyDescent="0.25">
      <c r="A614" s="175"/>
      <c r="B614" s="176"/>
      <c r="C614" s="176"/>
      <c r="D614" s="1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157"/>
    </row>
    <row r="615" spans="1:17" s="95" customFormat="1" x14ac:dyDescent="0.25">
      <c r="A615" s="175"/>
      <c r="B615" s="176"/>
      <c r="C615" s="176"/>
      <c r="D615" s="1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157"/>
    </row>
    <row r="616" spans="1:17" s="95" customFormat="1" x14ac:dyDescent="0.25">
      <c r="A616" s="175"/>
      <c r="B616" s="176"/>
      <c r="C616" s="176"/>
      <c r="D616" s="1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157"/>
    </row>
    <row r="617" spans="1:17" s="95" customFormat="1" x14ac:dyDescent="0.25">
      <c r="A617" s="175"/>
      <c r="B617" s="176"/>
      <c r="C617" s="176"/>
      <c r="D617" s="1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157"/>
    </row>
    <row r="618" spans="1:17" s="95" customFormat="1" x14ac:dyDescent="0.25">
      <c r="A618" s="175"/>
      <c r="B618" s="176"/>
      <c r="C618" s="176"/>
      <c r="D618" s="1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157"/>
    </row>
    <row r="619" spans="1:17" s="95" customFormat="1" x14ac:dyDescent="0.25">
      <c r="A619" s="175"/>
      <c r="B619" s="176"/>
      <c r="C619" s="176"/>
      <c r="D619" s="1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157"/>
    </row>
    <row r="620" spans="1:17" s="95" customFormat="1" x14ac:dyDescent="0.25">
      <c r="A620" s="175"/>
      <c r="B620" s="176"/>
      <c r="C620" s="176"/>
      <c r="D620" s="1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157"/>
    </row>
    <row r="621" spans="1:17" s="95" customFormat="1" x14ac:dyDescent="0.25">
      <c r="A621" s="175"/>
      <c r="B621" s="176"/>
      <c r="C621" s="176"/>
      <c r="D621" s="1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157"/>
    </row>
    <row r="622" spans="1:17" s="95" customFormat="1" x14ac:dyDescent="0.25">
      <c r="A622" s="175"/>
      <c r="B622" s="176"/>
      <c r="C622" s="176"/>
      <c r="D622" s="1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157"/>
    </row>
    <row r="623" spans="1:17" s="95" customFormat="1" x14ac:dyDescent="0.25">
      <c r="A623" s="175"/>
      <c r="B623" s="176"/>
      <c r="C623" s="176"/>
      <c r="D623" s="1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157"/>
    </row>
    <row r="624" spans="1:17" s="95" customFormat="1" x14ac:dyDescent="0.25">
      <c r="A624" s="175"/>
      <c r="B624" s="176"/>
      <c r="C624" s="176"/>
      <c r="D624" s="1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157"/>
    </row>
    <row r="625" spans="1:17" s="95" customFormat="1" x14ac:dyDescent="0.25">
      <c r="A625" s="175"/>
      <c r="B625" s="176"/>
      <c r="C625" s="176"/>
      <c r="D625" s="1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157"/>
    </row>
    <row r="626" spans="1:17" s="95" customFormat="1" x14ac:dyDescent="0.25">
      <c r="A626" s="175"/>
      <c r="B626" s="176"/>
      <c r="C626" s="176"/>
      <c r="D626" s="1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157"/>
    </row>
    <row r="627" spans="1:17" s="95" customFormat="1" x14ac:dyDescent="0.25">
      <c r="A627" s="175"/>
      <c r="B627" s="176"/>
      <c r="C627" s="176"/>
      <c r="D627" s="1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157"/>
    </row>
    <row r="628" spans="1:17" s="95" customFormat="1" x14ac:dyDescent="0.25">
      <c r="A628" s="175"/>
      <c r="B628" s="176"/>
      <c r="C628" s="176"/>
      <c r="D628" s="1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157"/>
    </row>
    <row r="629" spans="1:17" s="95" customFormat="1" x14ac:dyDescent="0.25">
      <c r="A629" s="175"/>
      <c r="B629" s="176"/>
      <c r="C629" s="176"/>
      <c r="D629" s="1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157"/>
    </row>
    <row r="630" spans="1:17" s="95" customFormat="1" x14ac:dyDescent="0.25">
      <c r="A630" s="175"/>
      <c r="B630" s="176"/>
      <c r="C630" s="176"/>
      <c r="D630" s="1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157"/>
    </row>
    <row r="631" spans="1:17" s="95" customFormat="1" x14ac:dyDescent="0.25">
      <c r="A631" s="175"/>
      <c r="B631" s="176"/>
      <c r="C631" s="176"/>
      <c r="D631" s="1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157"/>
    </row>
    <row r="632" spans="1:17" s="95" customFormat="1" x14ac:dyDescent="0.25">
      <c r="A632" s="175"/>
      <c r="B632" s="176"/>
      <c r="C632" s="176"/>
      <c r="D632" s="1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157"/>
    </row>
    <row r="633" spans="1:17" s="95" customFormat="1" x14ac:dyDescent="0.25">
      <c r="A633" s="175"/>
      <c r="B633" s="176"/>
      <c r="C633" s="176"/>
      <c r="D633" s="1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157"/>
    </row>
    <row r="634" spans="1:17" s="95" customFormat="1" x14ac:dyDescent="0.25">
      <c r="A634" s="175"/>
      <c r="B634" s="176"/>
      <c r="C634" s="176"/>
      <c r="D634" s="1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157"/>
    </row>
    <row r="635" spans="1:17" s="95" customFormat="1" x14ac:dyDescent="0.25">
      <c r="A635" s="175"/>
      <c r="B635" s="176"/>
      <c r="C635" s="176"/>
      <c r="D635" s="1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157"/>
    </row>
    <row r="636" spans="1:17" s="95" customFormat="1" x14ac:dyDescent="0.25">
      <c r="A636" s="175"/>
      <c r="B636" s="176"/>
      <c r="C636" s="176"/>
      <c r="D636" s="1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157"/>
    </row>
    <row r="637" spans="1:17" s="95" customFormat="1" x14ac:dyDescent="0.25">
      <c r="A637" s="175"/>
      <c r="B637" s="176"/>
      <c r="C637" s="176"/>
      <c r="D637" s="1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157"/>
    </row>
    <row r="638" spans="1:17" s="95" customFormat="1" x14ac:dyDescent="0.25">
      <c r="A638" s="175"/>
      <c r="B638" s="176"/>
      <c r="C638" s="176"/>
      <c r="D638" s="1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157"/>
    </row>
    <row r="639" spans="1:17" s="95" customFormat="1" x14ac:dyDescent="0.25">
      <c r="A639" s="175"/>
      <c r="B639" s="176"/>
      <c r="C639" s="176"/>
      <c r="D639" s="1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157"/>
    </row>
    <row r="640" spans="1:17" s="95" customFormat="1" x14ac:dyDescent="0.25">
      <c r="A640" s="175"/>
      <c r="B640" s="176"/>
      <c r="C640" s="176"/>
      <c r="D640" s="1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157"/>
    </row>
    <row r="641" spans="1:17" s="95" customFormat="1" x14ac:dyDescent="0.25">
      <c r="A641" s="175"/>
      <c r="B641" s="176"/>
      <c r="C641" s="176"/>
      <c r="D641" s="1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157"/>
    </row>
    <row r="642" spans="1:17" s="95" customFormat="1" x14ac:dyDescent="0.25">
      <c r="A642" s="175"/>
      <c r="B642" s="176"/>
      <c r="C642" s="176"/>
      <c r="D642" s="1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157"/>
    </row>
    <row r="643" spans="1:17" s="95" customFormat="1" x14ac:dyDescent="0.25">
      <c r="A643" s="175"/>
      <c r="B643" s="176"/>
      <c r="C643" s="176"/>
      <c r="D643" s="1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157"/>
    </row>
    <row r="644" spans="1:17" s="95" customFormat="1" x14ac:dyDescent="0.25">
      <c r="A644" s="175"/>
      <c r="B644" s="176"/>
      <c r="C644" s="176"/>
      <c r="D644" s="1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157"/>
    </row>
    <row r="645" spans="1:17" s="95" customFormat="1" x14ac:dyDescent="0.25">
      <c r="A645" s="175"/>
      <c r="B645" s="176"/>
      <c r="C645" s="176"/>
      <c r="D645" s="1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157"/>
    </row>
    <row r="646" spans="1:17" s="95" customFormat="1" x14ac:dyDescent="0.25">
      <c r="A646" s="175"/>
      <c r="B646" s="176"/>
      <c r="C646" s="176"/>
      <c r="D646" s="1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157"/>
    </row>
    <row r="647" spans="1:17" s="95" customFormat="1" x14ac:dyDescent="0.25">
      <c r="A647" s="175"/>
      <c r="B647" s="176"/>
      <c r="C647" s="176"/>
      <c r="D647" s="1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157"/>
    </row>
    <row r="648" spans="1:17" s="95" customFormat="1" x14ac:dyDescent="0.25">
      <c r="A648" s="175"/>
      <c r="B648" s="176"/>
      <c r="C648" s="176"/>
      <c r="D648" s="1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157"/>
    </row>
    <row r="649" spans="1:17" s="95" customFormat="1" x14ac:dyDescent="0.25">
      <c r="A649" s="175"/>
      <c r="B649" s="176"/>
      <c r="C649" s="176"/>
      <c r="D649" s="1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157"/>
    </row>
    <row r="650" spans="1:17" s="95" customFormat="1" x14ac:dyDescent="0.25">
      <c r="A650" s="175"/>
      <c r="B650" s="176"/>
      <c r="C650" s="176"/>
      <c r="D650" s="1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157"/>
    </row>
    <row r="651" spans="1:17" s="95" customFormat="1" x14ac:dyDescent="0.25">
      <c r="A651" s="175"/>
      <c r="B651" s="176"/>
      <c r="C651" s="176"/>
      <c r="D651" s="1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157"/>
    </row>
    <row r="652" spans="1:17" s="95" customFormat="1" x14ac:dyDescent="0.25">
      <c r="A652" s="175"/>
      <c r="B652" s="176"/>
      <c r="C652" s="176"/>
      <c r="D652" s="1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157"/>
    </row>
    <row r="653" spans="1:17" s="95" customFormat="1" x14ac:dyDescent="0.25">
      <c r="A653" s="175"/>
      <c r="B653" s="176"/>
      <c r="C653" s="176"/>
      <c r="D653" s="1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157"/>
    </row>
    <row r="654" spans="1:17" s="95" customFormat="1" x14ac:dyDescent="0.25">
      <c r="A654" s="175"/>
      <c r="B654" s="176"/>
      <c r="C654" s="176"/>
      <c r="D654" s="1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157"/>
    </row>
    <row r="655" spans="1:17" s="95" customFormat="1" x14ac:dyDescent="0.25">
      <c r="A655" s="175"/>
      <c r="B655" s="176"/>
      <c r="C655" s="176"/>
      <c r="D655" s="1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157"/>
    </row>
    <row r="656" spans="1:17" s="95" customFormat="1" x14ac:dyDescent="0.25">
      <c r="A656" s="175"/>
      <c r="B656" s="176"/>
      <c r="C656" s="176"/>
      <c r="D656" s="1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157"/>
    </row>
    <row r="657" spans="1:17" s="95" customFormat="1" x14ac:dyDescent="0.25">
      <c r="A657" s="175"/>
      <c r="B657" s="176"/>
      <c r="C657" s="176"/>
      <c r="D657" s="1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157"/>
    </row>
    <row r="658" spans="1:17" s="95" customFormat="1" x14ac:dyDescent="0.25">
      <c r="A658" s="175"/>
      <c r="B658" s="176"/>
      <c r="C658" s="176"/>
      <c r="D658" s="1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157"/>
    </row>
    <row r="659" spans="1:17" s="95" customFormat="1" x14ac:dyDescent="0.25">
      <c r="A659" s="175"/>
      <c r="B659" s="176"/>
      <c r="C659" s="176"/>
      <c r="D659" s="1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157"/>
    </row>
    <row r="660" spans="1:17" s="95" customFormat="1" x14ac:dyDescent="0.25">
      <c r="A660" s="175"/>
      <c r="B660" s="176"/>
      <c r="C660" s="176"/>
      <c r="D660" s="1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157"/>
    </row>
    <row r="661" spans="1:17" s="95" customFormat="1" x14ac:dyDescent="0.25">
      <c r="A661" s="175"/>
      <c r="B661" s="176"/>
      <c r="C661" s="176"/>
      <c r="D661" s="1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157"/>
    </row>
    <row r="662" spans="1:17" s="95" customFormat="1" x14ac:dyDescent="0.25">
      <c r="A662" s="175"/>
      <c r="B662" s="176"/>
      <c r="C662" s="176"/>
      <c r="D662" s="1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157"/>
    </row>
    <row r="663" spans="1:17" s="95" customFormat="1" x14ac:dyDescent="0.25">
      <c r="A663" s="175"/>
      <c r="B663" s="176"/>
      <c r="C663" s="176"/>
      <c r="D663" s="1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157"/>
    </row>
    <row r="664" spans="1:17" s="95" customFormat="1" x14ac:dyDescent="0.25">
      <c r="A664" s="175"/>
      <c r="B664" s="176"/>
      <c r="C664" s="176"/>
      <c r="D664" s="1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157"/>
    </row>
    <row r="665" spans="1:17" s="95" customFormat="1" x14ac:dyDescent="0.25">
      <c r="A665" s="175"/>
      <c r="B665" s="176"/>
      <c r="C665" s="176"/>
      <c r="D665" s="1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157"/>
    </row>
    <row r="666" spans="1:17" s="95" customFormat="1" x14ac:dyDescent="0.25">
      <c r="A666" s="175"/>
      <c r="B666" s="176"/>
      <c r="C666" s="176"/>
      <c r="D666" s="1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157"/>
    </row>
    <row r="667" spans="1:17" s="95" customFormat="1" x14ac:dyDescent="0.25">
      <c r="A667" s="175"/>
      <c r="B667" s="176"/>
      <c r="C667" s="176"/>
      <c r="D667" s="1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157"/>
    </row>
    <row r="668" spans="1:17" s="95" customFormat="1" x14ac:dyDescent="0.25">
      <c r="A668" s="175"/>
      <c r="B668" s="176"/>
      <c r="C668" s="176"/>
      <c r="D668" s="1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157"/>
    </row>
    <row r="669" spans="1:17" s="95" customFormat="1" x14ac:dyDescent="0.25">
      <c r="A669" s="175"/>
      <c r="B669" s="176"/>
      <c r="C669" s="176"/>
      <c r="D669" s="1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157"/>
    </row>
    <row r="670" spans="1:17" s="95" customFormat="1" x14ac:dyDescent="0.25">
      <c r="A670" s="175"/>
      <c r="B670" s="176"/>
      <c r="C670" s="176"/>
      <c r="D670" s="1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157"/>
    </row>
    <row r="671" spans="1:17" s="95" customFormat="1" x14ac:dyDescent="0.25">
      <c r="A671" s="175"/>
      <c r="B671" s="176"/>
      <c r="C671" s="176"/>
      <c r="D671" s="1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157"/>
    </row>
    <row r="672" spans="1:17" s="95" customFormat="1" x14ac:dyDescent="0.25">
      <c r="A672" s="175"/>
      <c r="B672" s="176"/>
      <c r="C672" s="176"/>
      <c r="D672" s="1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157"/>
    </row>
    <row r="673" spans="1:17" s="95" customFormat="1" x14ac:dyDescent="0.25">
      <c r="A673" s="175"/>
      <c r="B673" s="176"/>
      <c r="C673" s="176"/>
      <c r="D673" s="1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157"/>
    </row>
    <row r="674" spans="1:17" s="95" customFormat="1" x14ac:dyDescent="0.25">
      <c r="A674" s="175"/>
      <c r="B674" s="176"/>
      <c r="C674" s="176"/>
      <c r="D674" s="1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157"/>
    </row>
    <row r="675" spans="1:17" s="95" customFormat="1" x14ac:dyDescent="0.25">
      <c r="A675" s="175"/>
      <c r="B675" s="176"/>
      <c r="C675" s="176"/>
      <c r="D675" s="1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157"/>
    </row>
    <row r="676" spans="1:17" s="95" customFormat="1" x14ac:dyDescent="0.25">
      <c r="A676" s="175"/>
      <c r="B676" s="176"/>
      <c r="C676" s="176"/>
      <c r="D676" s="1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157"/>
    </row>
    <row r="677" spans="1:17" s="95" customFormat="1" x14ac:dyDescent="0.25">
      <c r="A677" s="175"/>
      <c r="B677" s="176"/>
      <c r="C677" s="176"/>
      <c r="D677" s="1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157"/>
    </row>
    <row r="678" spans="1:17" s="95" customFormat="1" x14ac:dyDescent="0.25">
      <c r="A678" s="175"/>
      <c r="B678" s="176"/>
      <c r="C678" s="176"/>
      <c r="D678" s="1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157"/>
    </row>
    <row r="679" spans="1:17" s="95" customFormat="1" x14ac:dyDescent="0.25">
      <c r="A679" s="175"/>
      <c r="B679" s="176"/>
      <c r="C679" s="176"/>
      <c r="D679" s="1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157"/>
    </row>
    <row r="680" spans="1:17" s="95" customFormat="1" x14ac:dyDescent="0.25">
      <c r="A680" s="175"/>
      <c r="B680" s="176"/>
      <c r="C680" s="176"/>
      <c r="D680" s="1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157"/>
    </row>
    <row r="681" spans="1:17" s="95" customFormat="1" x14ac:dyDescent="0.25">
      <c r="A681" s="175"/>
      <c r="B681" s="176"/>
      <c r="C681" s="176"/>
      <c r="D681" s="1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157"/>
    </row>
    <row r="682" spans="1:17" s="95" customFormat="1" x14ac:dyDescent="0.25">
      <c r="A682" s="175"/>
      <c r="B682" s="176"/>
      <c r="C682" s="176"/>
      <c r="D682" s="1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157"/>
    </row>
    <row r="683" spans="1:17" s="95" customFormat="1" x14ac:dyDescent="0.25">
      <c r="A683" s="175"/>
      <c r="B683" s="176"/>
      <c r="C683" s="176"/>
      <c r="D683" s="1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157"/>
    </row>
    <row r="684" spans="1:17" s="95" customFormat="1" x14ac:dyDescent="0.25">
      <c r="A684" s="175"/>
      <c r="B684" s="176"/>
      <c r="C684" s="176"/>
      <c r="D684" s="1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157"/>
    </row>
    <row r="685" spans="1:17" s="95" customFormat="1" x14ac:dyDescent="0.25">
      <c r="A685" s="175"/>
      <c r="B685" s="176"/>
      <c r="C685" s="176"/>
      <c r="D685" s="1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157"/>
    </row>
    <row r="686" spans="1:17" s="95" customFormat="1" x14ac:dyDescent="0.25">
      <c r="A686" s="175"/>
      <c r="B686" s="176"/>
      <c r="C686" s="176"/>
      <c r="D686" s="1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157"/>
    </row>
    <row r="687" spans="1:17" s="95" customFormat="1" x14ac:dyDescent="0.25">
      <c r="A687" s="175"/>
      <c r="B687" s="176"/>
      <c r="C687" s="176"/>
      <c r="D687" s="1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157"/>
    </row>
    <row r="688" spans="1:17" s="95" customFormat="1" x14ac:dyDescent="0.25">
      <c r="A688" s="175"/>
      <c r="B688" s="176"/>
      <c r="C688" s="176"/>
      <c r="D688" s="1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157"/>
    </row>
    <row r="689" spans="1:17" s="95" customFormat="1" x14ac:dyDescent="0.25">
      <c r="A689" s="175"/>
      <c r="B689" s="176"/>
      <c r="C689" s="176"/>
      <c r="D689" s="1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157"/>
    </row>
    <row r="690" spans="1:17" s="95" customFormat="1" x14ac:dyDescent="0.25">
      <c r="A690" s="175"/>
      <c r="B690" s="176"/>
      <c r="C690" s="176"/>
      <c r="D690" s="1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157"/>
    </row>
    <row r="691" spans="1:17" s="95" customFormat="1" x14ac:dyDescent="0.25">
      <c r="A691" s="175"/>
      <c r="B691" s="176"/>
      <c r="C691" s="176"/>
      <c r="D691" s="1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157"/>
    </row>
    <row r="692" spans="1:17" s="95" customFormat="1" x14ac:dyDescent="0.25">
      <c r="A692" s="175"/>
      <c r="B692" s="176"/>
      <c r="C692" s="176"/>
      <c r="D692" s="1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157"/>
    </row>
    <row r="693" spans="1:17" s="95" customFormat="1" x14ac:dyDescent="0.25">
      <c r="A693" s="175"/>
      <c r="B693" s="176"/>
      <c r="C693" s="176"/>
      <c r="D693" s="1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157"/>
    </row>
    <row r="694" spans="1:17" s="95" customFormat="1" x14ac:dyDescent="0.25">
      <c r="A694" s="175"/>
      <c r="B694" s="176"/>
      <c r="C694" s="176"/>
      <c r="D694" s="1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157"/>
    </row>
    <row r="695" spans="1:17" s="95" customFormat="1" x14ac:dyDescent="0.25">
      <c r="A695" s="175"/>
      <c r="B695" s="176"/>
      <c r="C695" s="176"/>
      <c r="D695" s="1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157"/>
    </row>
    <row r="696" spans="1:17" s="95" customFormat="1" x14ac:dyDescent="0.25">
      <c r="A696" s="175"/>
      <c r="B696" s="176"/>
      <c r="C696" s="176"/>
      <c r="D696" s="1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157"/>
    </row>
    <row r="697" spans="1:17" s="95" customFormat="1" x14ac:dyDescent="0.25">
      <c r="A697" s="175"/>
      <c r="B697" s="176"/>
      <c r="C697" s="176"/>
      <c r="D697" s="1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157"/>
    </row>
    <row r="698" spans="1:17" s="95" customFormat="1" x14ac:dyDescent="0.25">
      <c r="A698" s="175"/>
      <c r="B698" s="176"/>
      <c r="C698" s="176"/>
      <c r="D698" s="1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157"/>
    </row>
    <row r="699" spans="1:17" s="95" customFormat="1" x14ac:dyDescent="0.25">
      <c r="A699" s="175"/>
      <c r="B699" s="176"/>
      <c r="C699" s="176"/>
      <c r="D699" s="1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157"/>
    </row>
    <row r="700" spans="1:17" s="95" customFormat="1" x14ac:dyDescent="0.25">
      <c r="A700" s="175"/>
      <c r="B700" s="176"/>
      <c r="C700" s="176"/>
      <c r="D700" s="1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157"/>
    </row>
    <row r="701" spans="1:17" s="95" customFormat="1" x14ac:dyDescent="0.25">
      <c r="A701" s="175"/>
      <c r="B701" s="176"/>
      <c r="C701" s="176"/>
      <c r="D701" s="1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157"/>
    </row>
    <row r="702" spans="1:17" s="95" customFormat="1" x14ac:dyDescent="0.25">
      <c r="A702" s="175"/>
      <c r="B702" s="176"/>
      <c r="C702" s="176"/>
      <c r="D702" s="1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157"/>
    </row>
    <row r="703" spans="1:17" s="95" customFormat="1" x14ac:dyDescent="0.25">
      <c r="A703" s="175"/>
      <c r="B703" s="176"/>
      <c r="C703" s="176"/>
      <c r="D703" s="1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157"/>
    </row>
    <row r="704" spans="1:17" s="95" customFormat="1" x14ac:dyDescent="0.25">
      <c r="A704" s="175"/>
      <c r="B704" s="176"/>
      <c r="C704" s="176"/>
      <c r="D704" s="1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157"/>
    </row>
    <row r="705" spans="1:17" s="95" customFormat="1" x14ac:dyDescent="0.25">
      <c r="A705" s="175"/>
      <c r="B705" s="176"/>
      <c r="C705" s="176"/>
      <c r="D705" s="1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157"/>
    </row>
    <row r="706" spans="1:17" s="95" customFormat="1" x14ac:dyDescent="0.25">
      <c r="A706" s="175"/>
      <c r="B706" s="176"/>
      <c r="C706" s="176"/>
      <c r="D706" s="1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157"/>
    </row>
    <row r="707" spans="1:17" s="95" customFormat="1" x14ac:dyDescent="0.25">
      <c r="A707" s="175"/>
      <c r="B707" s="176"/>
      <c r="C707" s="176"/>
      <c r="D707" s="1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157"/>
    </row>
    <row r="708" spans="1:17" s="95" customFormat="1" x14ac:dyDescent="0.25">
      <c r="A708" s="175"/>
      <c r="B708" s="176"/>
      <c r="C708" s="176"/>
      <c r="D708" s="1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157"/>
    </row>
    <row r="709" spans="1:17" s="95" customFormat="1" x14ac:dyDescent="0.25">
      <c r="A709" s="175"/>
      <c r="B709" s="176"/>
      <c r="C709" s="176"/>
      <c r="D709" s="1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157"/>
    </row>
    <row r="710" spans="1:17" s="95" customFormat="1" x14ac:dyDescent="0.25">
      <c r="A710" s="175"/>
      <c r="B710" s="176"/>
      <c r="C710" s="176"/>
      <c r="D710" s="1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157"/>
    </row>
    <row r="711" spans="1:17" s="95" customFormat="1" x14ac:dyDescent="0.25">
      <c r="A711" s="175"/>
      <c r="B711" s="176"/>
      <c r="C711" s="176"/>
      <c r="D711" s="1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157"/>
    </row>
    <row r="712" spans="1:17" s="95" customFormat="1" x14ac:dyDescent="0.25">
      <c r="A712" s="175"/>
      <c r="B712" s="176"/>
      <c r="C712" s="176"/>
      <c r="D712" s="1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157"/>
    </row>
    <row r="713" spans="1:17" s="95" customFormat="1" x14ac:dyDescent="0.25">
      <c r="A713" s="175"/>
      <c r="B713" s="176"/>
      <c r="C713" s="176"/>
      <c r="D713" s="1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157"/>
    </row>
    <row r="714" spans="1:17" s="95" customFormat="1" x14ac:dyDescent="0.25">
      <c r="A714" s="175"/>
      <c r="B714" s="176"/>
      <c r="C714" s="176"/>
      <c r="D714" s="1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157"/>
    </row>
    <row r="715" spans="1:17" s="95" customFormat="1" x14ac:dyDescent="0.25">
      <c r="A715" s="175"/>
      <c r="B715" s="176"/>
      <c r="C715" s="176"/>
      <c r="D715" s="1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157"/>
    </row>
    <row r="716" spans="1:17" s="95" customFormat="1" x14ac:dyDescent="0.25">
      <c r="A716" s="175"/>
      <c r="B716" s="176"/>
      <c r="C716" s="176"/>
      <c r="D716" s="1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157"/>
    </row>
    <row r="717" spans="1:17" s="95" customFormat="1" x14ac:dyDescent="0.25">
      <c r="A717" s="175"/>
      <c r="B717" s="176"/>
      <c r="C717" s="176"/>
      <c r="D717" s="1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157"/>
    </row>
    <row r="718" spans="1:17" s="95" customFormat="1" x14ac:dyDescent="0.25">
      <c r="A718" s="175"/>
      <c r="B718" s="176"/>
      <c r="C718" s="176"/>
      <c r="D718" s="1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157"/>
    </row>
    <row r="719" spans="1:17" s="95" customFormat="1" x14ac:dyDescent="0.25">
      <c r="A719" s="175"/>
      <c r="B719" s="176"/>
      <c r="C719" s="176"/>
      <c r="D719" s="1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157"/>
    </row>
    <row r="720" spans="1:17" s="95" customFormat="1" x14ac:dyDescent="0.25">
      <c r="A720" s="175"/>
      <c r="B720" s="176"/>
      <c r="C720" s="176"/>
      <c r="D720" s="1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157"/>
    </row>
    <row r="721" spans="1:17" s="95" customFormat="1" x14ac:dyDescent="0.25">
      <c r="A721" s="175"/>
      <c r="B721" s="176"/>
      <c r="C721" s="176"/>
      <c r="D721" s="1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157"/>
    </row>
    <row r="722" spans="1:17" s="95" customFormat="1" x14ac:dyDescent="0.25">
      <c r="A722" s="175"/>
      <c r="B722" s="176"/>
      <c r="C722" s="176"/>
      <c r="D722" s="1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157"/>
    </row>
    <row r="723" spans="1:17" s="95" customFormat="1" x14ac:dyDescent="0.25">
      <c r="A723" s="175"/>
      <c r="B723" s="176"/>
      <c r="C723" s="176"/>
      <c r="D723" s="1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157"/>
    </row>
    <row r="724" spans="1:17" s="95" customFormat="1" x14ac:dyDescent="0.25">
      <c r="A724" s="175"/>
      <c r="B724" s="176"/>
      <c r="C724" s="176"/>
      <c r="D724" s="1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157"/>
    </row>
    <row r="725" spans="1:17" s="95" customFormat="1" x14ac:dyDescent="0.25">
      <c r="A725" s="175"/>
      <c r="B725" s="176"/>
      <c r="C725" s="176"/>
      <c r="D725" s="1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157"/>
    </row>
    <row r="726" spans="1:17" s="95" customFormat="1" x14ac:dyDescent="0.25">
      <c r="A726" s="175"/>
      <c r="B726" s="176"/>
      <c r="C726" s="176"/>
      <c r="D726" s="1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157"/>
    </row>
    <row r="727" spans="1:17" s="95" customFormat="1" x14ac:dyDescent="0.25">
      <c r="A727" s="175"/>
      <c r="B727" s="176"/>
      <c r="C727" s="176"/>
      <c r="D727" s="1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157"/>
    </row>
    <row r="728" spans="1:17" s="95" customFormat="1" x14ac:dyDescent="0.25">
      <c r="A728" s="175"/>
      <c r="B728" s="176"/>
      <c r="C728" s="176"/>
      <c r="D728" s="1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157"/>
    </row>
    <row r="729" spans="1:17" s="95" customFormat="1" x14ac:dyDescent="0.25">
      <c r="A729" s="175"/>
      <c r="B729" s="176"/>
      <c r="C729" s="176"/>
      <c r="D729" s="1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157"/>
    </row>
    <row r="730" spans="1:17" s="95" customFormat="1" x14ac:dyDescent="0.25">
      <c r="A730" s="175"/>
      <c r="B730" s="176"/>
      <c r="C730" s="176"/>
      <c r="D730" s="1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157"/>
    </row>
    <row r="731" spans="1:17" s="95" customFormat="1" x14ac:dyDescent="0.25">
      <c r="A731" s="175"/>
      <c r="B731" s="176"/>
      <c r="C731" s="176"/>
      <c r="D731" s="1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157"/>
    </row>
    <row r="732" spans="1:17" s="95" customFormat="1" x14ac:dyDescent="0.25">
      <c r="A732" s="175"/>
      <c r="B732" s="176"/>
      <c r="C732" s="176"/>
      <c r="D732" s="1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157"/>
    </row>
    <row r="733" spans="1:17" s="95" customFormat="1" x14ac:dyDescent="0.25">
      <c r="A733" s="175"/>
      <c r="B733" s="176"/>
      <c r="C733" s="176"/>
      <c r="D733" s="1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157"/>
    </row>
    <row r="734" spans="1:17" s="95" customFormat="1" x14ac:dyDescent="0.25">
      <c r="A734" s="175"/>
      <c r="B734" s="176"/>
      <c r="C734" s="176"/>
      <c r="D734" s="1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157"/>
    </row>
    <row r="735" spans="1:17" s="95" customFormat="1" x14ac:dyDescent="0.25">
      <c r="A735" s="175"/>
      <c r="B735" s="176"/>
      <c r="C735" s="176"/>
      <c r="D735" s="1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157"/>
    </row>
    <row r="736" spans="1:17" s="95" customFormat="1" x14ac:dyDescent="0.25">
      <c r="A736" s="175"/>
      <c r="B736" s="176"/>
      <c r="C736" s="176"/>
      <c r="D736" s="1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157"/>
    </row>
    <row r="737" spans="1:17" s="95" customFormat="1" x14ac:dyDescent="0.25">
      <c r="A737" s="175"/>
      <c r="B737" s="176"/>
      <c r="C737" s="176"/>
      <c r="D737" s="1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157"/>
    </row>
    <row r="738" spans="1:17" s="95" customFormat="1" x14ac:dyDescent="0.25">
      <c r="A738" s="175"/>
      <c r="B738" s="176"/>
      <c r="C738" s="176"/>
      <c r="D738" s="1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157"/>
    </row>
    <row r="739" spans="1:17" s="95" customFormat="1" x14ac:dyDescent="0.25">
      <c r="A739" s="175"/>
      <c r="B739" s="176"/>
      <c r="C739" s="176"/>
      <c r="D739" s="1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157"/>
    </row>
    <row r="740" spans="1:17" s="95" customFormat="1" x14ac:dyDescent="0.25">
      <c r="A740" s="175"/>
      <c r="B740" s="176"/>
      <c r="C740" s="176"/>
      <c r="D740" s="1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157"/>
    </row>
    <row r="741" spans="1:17" s="95" customFormat="1" x14ac:dyDescent="0.25">
      <c r="A741" s="175"/>
      <c r="B741" s="176"/>
      <c r="C741" s="176"/>
      <c r="D741" s="1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157"/>
    </row>
    <row r="742" spans="1:17" s="95" customFormat="1" x14ac:dyDescent="0.25">
      <c r="A742" s="175"/>
      <c r="B742" s="176"/>
      <c r="C742" s="176"/>
      <c r="D742" s="1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157"/>
    </row>
    <row r="743" spans="1:17" s="95" customFormat="1" x14ac:dyDescent="0.25">
      <c r="A743" s="175"/>
      <c r="B743" s="176"/>
      <c r="C743" s="176"/>
      <c r="D743" s="1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157"/>
    </row>
    <row r="744" spans="1:17" s="95" customFormat="1" x14ac:dyDescent="0.25">
      <c r="A744" s="175"/>
      <c r="B744" s="176"/>
      <c r="C744" s="176"/>
      <c r="D744" s="1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157"/>
    </row>
    <row r="745" spans="1:17" s="95" customFormat="1" x14ac:dyDescent="0.25">
      <c r="A745" s="175"/>
      <c r="B745" s="176"/>
      <c r="C745" s="176"/>
      <c r="D745" s="1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157"/>
    </row>
    <row r="746" spans="1:17" s="95" customFormat="1" x14ac:dyDescent="0.25">
      <c r="A746" s="175"/>
      <c r="B746" s="176"/>
      <c r="C746" s="176"/>
      <c r="D746" s="1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157"/>
    </row>
    <row r="747" spans="1:17" s="95" customFormat="1" x14ac:dyDescent="0.25">
      <c r="A747" s="175"/>
      <c r="B747" s="176"/>
      <c r="C747" s="176"/>
      <c r="D747" s="1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157"/>
    </row>
    <row r="748" spans="1:17" s="95" customFormat="1" x14ac:dyDescent="0.25">
      <c r="A748" s="175"/>
      <c r="B748" s="176"/>
      <c r="C748" s="176"/>
      <c r="D748" s="1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157"/>
    </row>
    <row r="749" spans="1:17" s="95" customFormat="1" x14ac:dyDescent="0.25">
      <c r="A749" s="175"/>
      <c r="B749" s="176"/>
      <c r="C749" s="176"/>
      <c r="D749" s="1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157"/>
    </row>
    <row r="750" spans="1:17" s="95" customFormat="1" x14ac:dyDescent="0.25">
      <c r="A750" s="175"/>
      <c r="B750" s="176"/>
      <c r="C750" s="176"/>
      <c r="D750" s="1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157"/>
    </row>
    <row r="751" spans="1:17" s="95" customFormat="1" x14ac:dyDescent="0.25">
      <c r="A751" s="175"/>
      <c r="B751" s="176"/>
      <c r="C751" s="176"/>
      <c r="D751" s="1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157"/>
    </row>
    <row r="752" spans="1:17" s="95" customFormat="1" x14ac:dyDescent="0.25">
      <c r="A752" s="175"/>
      <c r="B752" s="176"/>
      <c r="C752" s="176"/>
      <c r="D752" s="1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157"/>
    </row>
    <row r="753" spans="1:17" s="95" customFormat="1" x14ac:dyDescent="0.25">
      <c r="A753" s="175"/>
      <c r="B753" s="176"/>
      <c r="C753" s="176"/>
      <c r="D753" s="1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157"/>
    </row>
    <row r="754" spans="1:17" s="95" customFormat="1" x14ac:dyDescent="0.25">
      <c r="A754" s="175"/>
      <c r="B754" s="176"/>
      <c r="C754" s="176"/>
      <c r="D754" s="1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157"/>
    </row>
    <row r="755" spans="1:17" s="95" customFormat="1" x14ac:dyDescent="0.25">
      <c r="A755" s="175"/>
      <c r="B755" s="176"/>
      <c r="C755" s="176"/>
      <c r="D755" s="1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157"/>
    </row>
    <row r="756" spans="1:17" s="95" customFormat="1" x14ac:dyDescent="0.25">
      <c r="A756" s="175"/>
      <c r="B756" s="176"/>
      <c r="C756" s="176"/>
      <c r="D756" s="1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157"/>
    </row>
    <row r="757" spans="1:17" s="95" customFormat="1" x14ac:dyDescent="0.25">
      <c r="A757" s="175"/>
      <c r="B757" s="176"/>
      <c r="C757" s="176"/>
      <c r="D757" s="1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157"/>
    </row>
    <row r="758" spans="1:17" s="95" customFormat="1" x14ac:dyDescent="0.25">
      <c r="A758" s="175"/>
      <c r="B758" s="176"/>
      <c r="C758" s="176"/>
      <c r="D758" s="1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157"/>
    </row>
    <row r="759" spans="1:17" s="95" customFormat="1" x14ac:dyDescent="0.25">
      <c r="A759" s="175"/>
      <c r="B759" s="176"/>
      <c r="C759" s="176"/>
      <c r="D759" s="1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157"/>
    </row>
    <row r="760" spans="1:17" s="95" customFormat="1" x14ac:dyDescent="0.25">
      <c r="A760" s="175"/>
      <c r="B760" s="176"/>
      <c r="C760" s="176"/>
      <c r="D760" s="1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157"/>
    </row>
    <row r="761" spans="1:17" s="95" customFormat="1" x14ac:dyDescent="0.25">
      <c r="A761" s="175"/>
      <c r="B761" s="176"/>
      <c r="C761" s="176"/>
      <c r="D761" s="1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157"/>
    </row>
    <row r="762" spans="1:17" s="95" customFormat="1" x14ac:dyDescent="0.25">
      <c r="A762" s="175"/>
      <c r="B762" s="176"/>
      <c r="C762" s="176"/>
      <c r="D762" s="1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157"/>
    </row>
    <row r="763" spans="1:17" s="95" customFormat="1" x14ac:dyDescent="0.25">
      <c r="A763" s="175"/>
      <c r="B763" s="176"/>
      <c r="C763" s="176"/>
      <c r="D763" s="1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157"/>
    </row>
    <row r="764" spans="1:17" s="95" customFormat="1" x14ac:dyDescent="0.25">
      <c r="A764" s="175"/>
      <c r="B764" s="176"/>
      <c r="C764" s="176"/>
      <c r="D764" s="1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157"/>
    </row>
    <row r="765" spans="1:17" s="95" customFormat="1" x14ac:dyDescent="0.25">
      <c r="A765" s="175"/>
      <c r="B765" s="176"/>
      <c r="C765" s="176"/>
      <c r="D765" s="1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157"/>
    </row>
    <row r="766" spans="1:17" s="95" customFormat="1" x14ac:dyDescent="0.25">
      <c r="A766" s="175"/>
      <c r="B766" s="176"/>
      <c r="C766" s="176"/>
      <c r="D766" s="1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157"/>
    </row>
    <row r="767" spans="1:17" s="95" customFormat="1" x14ac:dyDescent="0.25">
      <c r="A767" s="175"/>
      <c r="B767" s="176"/>
      <c r="C767" s="176"/>
      <c r="D767" s="1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157"/>
    </row>
    <row r="768" spans="1:17" s="95" customFormat="1" x14ac:dyDescent="0.25">
      <c r="A768" s="175"/>
      <c r="B768" s="176"/>
      <c r="C768" s="176"/>
      <c r="D768" s="1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157"/>
    </row>
    <row r="769" spans="1:17" s="95" customFormat="1" x14ac:dyDescent="0.25">
      <c r="A769" s="175"/>
      <c r="B769" s="176"/>
      <c r="C769" s="176"/>
      <c r="D769" s="1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157"/>
    </row>
    <row r="770" spans="1:17" s="95" customFormat="1" x14ac:dyDescent="0.25">
      <c r="A770" s="175"/>
      <c r="B770" s="176"/>
      <c r="C770" s="176"/>
      <c r="D770" s="1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157"/>
    </row>
    <row r="771" spans="1:17" s="95" customFormat="1" x14ac:dyDescent="0.25">
      <c r="A771" s="175"/>
      <c r="B771" s="176"/>
      <c r="C771" s="176"/>
      <c r="D771" s="1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157"/>
    </row>
    <row r="772" spans="1:17" s="95" customFormat="1" x14ac:dyDescent="0.25">
      <c r="A772" s="175"/>
      <c r="B772" s="176"/>
      <c r="C772" s="176"/>
      <c r="D772" s="1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157"/>
    </row>
    <row r="773" spans="1:17" s="95" customFormat="1" x14ac:dyDescent="0.25">
      <c r="A773" s="175"/>
      <c r="B773" s="176"/>
      <c r="C773" s="176"/>
      <c r="D773" s="1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157"/>
    </row>
    <row r="774" spans="1:17" s="95" customFormat="1" x14ac:dyDescent="0.25">
      <c r="A774" s="175"/>
      <c r="B774" s="176"/>
      <c r="C774" s="176"/>
      <c r="D774" s="1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157"/>
    </row>
    <row r="775" spans="1:17" s="95" customFormat="1" x14ac:dyDescent="0.25">
      <c r="A775" s="175"/>
      <c r="B775" s="176"/>
      <c r="C775" s="176"/>
      <c r="D775" s="1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157"/>
    </row>
    <row r="776" spans="1:17" s="95" customFormat="1" x14ac:dyDescent="0.25">
      <c r="A776" s="175"/>
      <c r="B776" s="176"/>
      <c r="C776" s="176"/>
      <c r="D776" s="1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157"/>
    </row>
    <row r="777" spans="1:17" s="95" customFormat="1" x14ac:dyDescent="0.25">
      <c r="A777" s="175"/>
      <c r="B777" s="176"/>
      <c r="C777" s="176"/>
      <c r="D777" s="1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157"/>
    </row>
    <row r="778" spans="1:17" s="95" customFormat="1" x14ac:dyDescent="0.25">
      <c r="A778" s="175"/>
      <c r="B778" s="176"/>
      <c r="C778" s="176"/>
      <c r="D778" s="1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157"/>
    </row>
    <row r="779" spans="1:17" s="95" customFormat="1" x14ac:dyDescent="0.25">
      <c r="A779" s="175"/>
      <c r="B779" s="176"/>
      <c r="C779" s="176"/>
      <c r="D779" s="1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157"/>
    </row>
    <row r="780" spans="1:17" s="95" customFormat="1" x14ac:dyDescent="0.25">
      <c r="A780" s="175"/>
      <c r="B780" s="176"/>
      <c r="C780" s="176"/>
      <c r="D780" s="1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157"/>
    </row>
    <row r="781" spans="1:17" s="95" customFormat="1" x14ac:dyDescent="0.25">
      <c r="A781" s="175"/>
      <c r="B781" s="176"/>
      <c r="C781" s="176"/>
      <c r="D781" s="1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157"/>
    </row>
    <row r="782" spans="1:17" s="95" customFormat="1" x14ac:dyDescent="0.25">
      <c r="A782" s="175"/>
      <c r="B782" s="176"/>
      <c r="C782" s="176"/>
      <c r="D782" s="1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157"/>
    </row>
    <row r="783" spans="1:17" s="95" customFormat="1" x14ac:dyDescent="0.25">
      <c r="A783" s="175"/>
      <c r="B783" s="176"/>
      <c r="C783" s="176"/>
      <c r="D783" s="1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157"/>
    </row>
    <row r="784" spans="1:17" s="95" customFormat="1" x14ac:dyDescent="0.25">
      <c r="A784" s="175"/>
      <c r="B784" s="176"/>
      <c r="C784" s="176"/>
      <c r="D784" s="1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157"/>
    </row>
    <row r="785" spans="1:17" s="95" customFormat="1" x14ac:dyDescent="0.25">
      <c r="A785" s="175"/>
      <c r="B785" s="176"/>
      <c r="C785" s="176"/>
      <c r="D785" s="1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157"/>
    </row>
    <row r="786" spans="1:17" s="95" customFormat="1" x14ac:dyDescent="0.25">
      <c r="A786" s="175"/>
      <c r="B786" s="176"/>
      <c r="C786" s="176"/>
      <c r="D786" s="1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157"/>
    </row>
    <row r="787" spans="1:17" s="95" customFormat="1" x14ac:dyDescent="0.25">
      <c r="A787" s="175"/>
      <c r="B787" s="176"/>
      <c r="C787" s="176"/>
      <c r="D787" s="1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157"/>
    </row>
    <row r="788" spans="1:17" s="95" customFormat="1" x14ac:dyDescent="0.25">
      <c r="A788" s="175"/>
      <c r="B788" s="176"/>
      <c r="C788" s="176"/>
      <c r="D788" s="1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157"/>
    </row>
    <row r="789" spans="1:17" s="95" customFormat="1" x14ac:dyDescent="0.25">
      <c r="A789" s="175"/>
      <c r="B789" s="176"/>
      <c r="C789" s="176"/>
      <c r="D789" s="1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157"/>
    </row>
    <row r="790" spans="1:17" s="95" customFormat="1" x14ac:dyDescent="0.25">
      <c r="A790" s="175"/>
      <c r="B790" s="176"/>
      <c r="C790" s="176"/>
      <c r="D790" s="1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157"/>
    </row>
    <row r="791" spans="1:17" s="95" customFormat="1" x14ac:dyDescent="0.25">
      <c r="A791" s="175"/>
      <c r="B791" s="176"/>
      <c r="C791" s="176"/>
      <c r="D791" s="1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157"/>
    </row>
    <row r="792" spans="1:17" s="95" customFormat="1" x14ac:dyDescent="0.25">
      <c r="A792" s="175"/>
      <c r="B792" s="176"/>
      <c r="C792" s="176"/>
      <c r="D792" s="1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157"/>
    </row>
    <row r="793" spans="1:17" s="95" customFormat="1" x14ac:dyDescent="0.25">
      <c r="A793" s="175"/>
      <c r="B793" s="176"/>
      <c r="C793" s="176"/>
      <c r="D793" s="1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157"/>
    </row>
    <row r="794" spans="1:17" s="95" customFormat="1" x14ac:dyDescent="0.25">
      <c r="A794" s="175"/>
      <c r="B794" s="176"/>
      <c r="C794" s="176"/>
      <c r="D794" s="1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157"/>
    </row>
    <row r="795" spans="1:17" s="95" customFormat="1" x14ac:dyDescent="0.25">
      <c r="A795" s="175"/>
      <c r="B795" s="176"/>
      <c r="C795" s="176"/>
      <c r="D795" s="1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157"/>
    </row>
    <row r="796" spans="1:17" s="95" customFormat="1" x14ac:dyDescent="0.25">
      <c r="A796" s="175"/>
      <c r="B796" s="176"/>
      <c r="C796" s="176"/>
      <c r="D796" s="1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157"/>
    </row>
    <row r="797" spans="1:17" s="95" customFormat="1" x14ac:dyDescent="0.25">
      <c r="A797" s="175"/>
      <c r="B797" s="176"/>
      <c r="C797" s="176"/>
      <c r="D797" s="1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157"/>
    </row>
    <row r="798" spans="1:17" s="95" customFormat="1" x14ac:dyDescent="0.25">
      <c r="A798" s="175"/>
      <c r="B798" s="176"/>
      <c r="C798" s="176"/>
      <c r="D798" s="1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157"/>
    </row>
    <row r="799" spans="1:17" s="95" customFormat="1" x14ac:dyDescent="0.25">
      <c r="A799" s="175"/>
      <c r="B799" s="176"/>
      <c r="C799" s="176"/>
      <c r="D799" s="1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157"/>
    </row>
    <row r="800" spans="1:17" s="95" customFormat="1" x14ac:dyDescent="0.25">
      <c r="A800" s="175"/>
      <c r="B800" s="176"/>
      <c r="C800" s="176"/>
      <c r="D800" s="1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157"/>
    </row>
    <row r="801" spans="1:17" s="95" customFormat="1" x14ac:dyDescent="0.25">
      <c r="A801" s="175"/>
      <c r="B801" s="176"/>
      <c r="C801" s="176"/>
      <c r="D801" s="1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157"/>
    </row>
    <row r="802" spans="1:17" s="95" customFormat="1" x14ac:dyDescent="0.25">
      <c r="A802" s="175"/>
      <c r="B802" s="176"/>
      <c r="C802" s="176"/>
      <c r="D802" s="1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157"/>
    </row>
    <row r="803" spans="1:17" s="95" customFormat="1" x14ac:dyDescent="0.25">
      <c r="A803" s="175"/>
      <c r="B803" s="176"/>
      <c r="C803" s="176"/>
      <c r="D803" s="1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157"/>
    </row>
    <row r="804" spans="1:17" s="95" customFormat="1" x14ac:dyDescent="0.25">
      <c r="A804" s="175"/>
      <c r="B804" s="176"/>
      <c r="C804" s="176"/>
      <c r="D804" s="1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157"/>
    </row>
    <row r="805" spans="1:17" s="95" customFormat="1" x14ac:dyDescent="0.25">
      <c r="A805" s="175"/>
      <c r="B805" s="176"/>
      <c r="C805" s="176"/>
      <c r="D805" s="1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157"/>
    </row>
    <row r="806" spans="1:17" s="95" customFormat="1" x14ac:dyDescent="0.25">
      <c r="A806" s="175"/>
      <c r="B806" s="176"/>
      <c r="C806" s="176"/>
      <c r="D806" s="1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157"/>
    </row>
    <row r="807" spans="1:17" s="95" customFormat="1" x14ac:dyDescent="0.25">
      <c r="A807" s="175"/>
      <c r="B807" s="176"/>
      <c r="C807" s="176"/>
      <c r="D807" s="1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157"/>
    </row>
    <row r="808" spans="1:17" s="95" customFormat="1" x14ac:dyDescent="0.25">
      <c r="A808" s="175"/>
      <c r="B808" s="176"/>
      <c r="C808" s="176"/>
      <c r="D808" s="1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157"/>
    </row>
    <row r="809" spans="1:17" s="95" customFormat="1" x14ac:dyDescent="0.25">
      <c r="A809" s="175"/>
      <c r="B809" s="176"/>
      <c r="C809" s="176"/>
      <c r="D809" s="1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157"/>
    </row>
    <row r="810" spans="1:17" s="95" customFormat="1" x14ac:dyDescent="0.25">
      <c r="A810" s="175"/>
      <c r="B810" s="176"/>
      <c r="C810" s="176"/>
      <c r="D810" s="1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157"/>
    </row>
    <row r="811" spans="1:17" s="95" customFormat="1" x14ac:dyDescent="0.25">
      <c r="A811" s="175"/>
      <c r="B811" s="176"/>
      <c r="C811" s="176"/>
      <c r="D811" s="1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157"/>
    </row>
    <row r="812" spans="1:17" s="95" customFormat="1" x14ac:dyDescent="0.25">
      <c r="A812" s="175"/>
      <c r="B812" s="176"/>
      <c r="C812" s="176"/>
      <c r="D812" s="1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157"/>
    </row>
    <row r="813" spans="1:17" s="95" customFormat="1" x14ac:dyDescent="0.25">
      <c r="A813" s="175"/>
      <c r="B813" s="176"/>
      <c r="C813" s="176"/>
      <c r="D813" s="1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157"/>
    </row>
    <row r="814" spans="1:17" s="95" customFormat="1" x14ac:dyDescent="0.25">
      <c r="A814" s="175"/>
      <c r="B814" s="176"/>
      <c r="C814" s="176"/>
      <c r="D814" s="1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157"/>
    </row>
    <row r="815" spans="1:17" s="95" customFormat="1" x14ac:dyDescent="0.25">
      <c r="A815" s="175"/>
      <c r="B815" s="176"/>
      <c r="C815" s="176"/>
      <c r="D815" s="1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157"/>
    </row>
    <row r="816" spans="1:17" s="95" customFormat="1" x14ac:dyDescent="0.25">
      <c r="A816" s="175"/>
      <c r="B816" s="176"/>
      <c r="C816" s="176"/>
      <c r="D816" s="1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157"/>
    </row>
    <row r="817" spans="1:17" s="95" customFormat="1" x14ac:dyDescent="0.25">
      <c r="A817" s="175"/>
      <c r="B817" s="176"/>
      <c r="C817" s="176"/>
      <c r="D817" s="1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157"/>
    </row>
    <row r="818" spans="1:17" s="95" customFormat="1" x14ac:dyDescent="0.25">
      <c r="A818" s="175"/>
      <c r="B818" s="176"/>
      <c r="C818" s="176"/>
      <c r="D818" s="1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157"/>
    </row>
    <row r="819" spans="1:17" s="95" customFormat="1" x14ac:dyDescent="0.25">
      <c r="A819" s="175"/>
      <c r="B819" s="176"/>
      <c r="C819" s="176"/>
      <c r="D819" s="1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157"/>
    </row>
    <row r="820" spans="1:17" s="95" customFormat="1" x14ac:dyDescent="0.25">
      <c r="A820" s="175"/>
      <c r="B820" s="176"/>
      <c r="C820" s="176"/>
      <c r="D820" s="1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157"/>
    </row>
    <row r="821" spans="1:17" s="95" customFormat="1" x14ac:dyDescent="0.25">
      <c r="A821" s="175"/>
      <c r="B821" s="176"/>
      <c r="C821" s="176"/>
      <c r="D821" s="1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157"/>
    </row>
    <row r="822" spans="1:17" s="95" customFormat="1" x14ac:dyDescent="0.25">
      <c r="A822" s="175"/>
      <c r="B822" s="176"/>
      <c r="C822" s="176"/>
      <c r="D822" s="1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157"/>
    </row>
    <row r="823" spans="1:17" s="95" customFormat="1" x14ac:dyDescent="0.25">
      <c r="A823" s="175"/>
      <c r="B823" s="176"/>
      <c r="C823" s="176"/>
      <c r="D823" s="1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157"/>
    </row>
    <row r="824" spans="1:17" s="95" customFormat="1" x14ac:dyDescent="0.25">
      <c r="A824" s="175"/>
      <c r="B824" s="176"/>
      <c r="C824" s="176"/>
      <c r="D824" s="1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157"/>
    </row>
    <row r="825" spans="1:17" s="95" customFormat="1" x14ac:dyDescent="0.25">
      <c r="A825" s="175"/>
      <c r="B825" s="176"/>
      <c r="C825" s="176"/>
      <c r="D825" s="1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157"/>
    </row>
    <row r="826" spans="1:17" s="95" customFormat="1" x14ac:dyDescent="0.25">
      <c r="A826" s="175"/>
      <c r="B826" s="176"/>
      <c r="C826" s="176"/>
      <c r="D826" s="1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157"/>
    </row>
    <row r="827" spans="1:17" s="95" customFormat="1" x14ac:dyDescent="0.25">
      <c r="A827" s="175"/>
      <c r="B827" s="176"/>
      <c r="C827" s="176"/>
      <c r="D827" s="1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157"/>
    </row>
    <row r="828" spans="1:17" s="95" customFormat="1" x14ac:dyDescent="0.25">
      <c r="A828" s="175"/>
      <c r="B828" s="176"/>
      <c r="C828" s="176"/>
      <c r="D828" s="1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157"/>
    </row>
    <row r="829" spans="1:17" s="95" customFormat="1" x14ac:dyDescent="0.25">
      <c r="A829" s="175"/>
      <c r="B829" s="176"/>
      <c r="C829" s="176"/>
      <c r="D829" s="1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157"/>
    </row>
    <row r="830" spans="1:17" s="95" customFormat="1" x14ac:dyDescent="0.25">
      <c r="A830" s="175"/>
      <c r="B830" s="176"/>
      <c r="C830" s="176"/>
      <c r="D830" s="1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157"/>
    </row>
    <row r="831" spans="1:17" s="95" customFormat="1" x14ac:dyDescent="0.25">
      <c r="A831" s="175"/>
      <c r="B831" s="176"/>
      <c r="C831" s="176"/>
      <c r="D831" s="1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157"/>
    </row>
    <row r="832" spans="1:17" s="95" customFormat="1" x14ac:dyDescent="0.25">
      <c r="A832" s="175"/>
      <c r="B832" s="176"/>
      <c r="C832" s="176"/>
      <c r="D832" s="1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157"/>
    </row>
    <row r="833" spans="1:17" s="95" customFormat="1" x14ac:dyDescent="0.25">
      <c r="A833" s="175"/>
      <c r="B833" s="176"/>
      <c r="C833" s="176"/>
      <c r="D833" s="1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157"/>
    </row>
    <row r="834" spans="1:17" s="95" customFormat="1" x14ac:dyDescent="0.25">
      <c r="A834" s="175"/>
      <c r="B834" s="176"/>
      <c r="C834" s="176"/>
      <c r="D834" s="1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157"/>
    </row>
    <row r="835" spans="1:17" s="95" customFormat="1" x14ac:dyDescent="0.25">
      <c r="A835" s="175"/>
      <c r="B835" s="176"/>
      <c r="C835" s="176"/>
      <c r="D835" s="1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157"/>
    </row>
    <row r="836" spans="1:17" s="95" customFormat="1" x14ac:dyDescent="0.25">
      <c r="A836" s="175"/>
      <c r="B836" s="176"/>
      <c r="C836" s="176"/>
      <c r="D836" s="1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157"/>
    </row>
    <row r="837" spans="1:17" s="95" customFormat="1" x14ac:dyDescent="0.25">
      <c r="A837" s="175"/>
      <c r="B837" s="176"/>
      <c r="C837" s="176"/>
      <c r="D837" s="1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157"/>
    </row>
    <row r="838" spans="1:17" s="95" customFormat="1" x14ac:dyDescent="0.25">
      <c r="A838" s="175"/>
      <c r="B838" s="176"/>
      <c r="C838" s="176"/>
      <c r="D838" s="1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157"/>
    </row>
    <row r="839" spans="1:17" s="95" customFormat="1" x14ac:dyDescent="0.25">
      <c r="A839" s="175"/>
      <c r="B839" s="176"/>
      <c r="C839" s="176"/>
      <c r="D839" s="1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157"/>
    </row>
    <row r="840" spans="1:17" s="95" customFormat="1" x14ac:dyDescent="0.25">
      <c r="A840" s="175"/>
      <c r="B840" s="176"/>
      <c r="C840" s="176"/>
      <c r="D840" s="1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157"/>
    </row>
    <row r="841" spans="1:17" s="95" customFormat="1" x14ac:dyDescent="0.25">
      <c r="A841" s="175"/>
      <c r="B841" s="176"/>
      <c r="C841" s="176"/>
      <c r="D841" s="1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157"/>
    </row>
    <row r="842" spans="1:17" s="95" customFormat="1" x14ac:dyDescent="0.25">
      <c r="A842" s="175"/>
      <c r="B842" s="176"/>
      <c r="C842" s="176"/>
      <c r="D842" s="1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157"/>
    </row>
    <row r="843" spans="1:17" s="95" customFormat="1" x14ac:dyDescent="0.25">
      <c r="A843" s="175"/>
      <c r="B843" s="176"/>
      <c r="C843" s="176"/>
      <c r="D843" s="1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157"/>
    </row>
    <row r="844" spans="1:17" s="95" customFormat="1" x14ac:dyDescent="0.25">
      <c r="A844" s="175"/>
      <c r="B844" s="176"/>
      <c r="C844" s="176"/>
      <c r="D844" s="1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157"/>
    </row>
    <row r="845" spans="1:17" s="95" customFormat="1" x14ac:dyDescent="0.25">
      <c r="A845" s="175"/>
      <c r="B845" s="176"/>
      <c r="C845" s="176"/>
      <c r="D845" s="1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157"/>
    </row>
    <row r="846" spans="1:17" s="95" customFormat="1" x14ac:dyDescent="0.25">
      <c r="A846" s="175"/>
      <c r="B846" s="176"/>
      <c r="C846" s="176"/>
      <c r="D846" s="1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157"/>
    </row>
    <row r="847" spans="1:17" s="95" customFormat="1" x14ac:dyDescent="0.25">
      <c r="A847" s="175"/>
      <c r="B847" s="176"/>
      <c r="C847" s="176"/>
      <c r="D847" s="1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157"/>
    </row>
    <row r="848" spans="1:17" s="95" customFormat="1" x14ac:dyDescent="0.25">
      <c r="A848" s="175"/>
      <c r="B848" s="176"/>
      <c r="C848" s="176"/>
      <c r="D848" s="1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157"/>
    </row>
    <row r="849" spans="1:17" s="95" customFormat="1" x14ac:dyDescent="0.25">
      <c r="A849" s="175"/>
      <c r="B849" s="176"/>
      <c r="C849" s="176"/>
      <c r="D849" s="1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157"/>
    </row>
    <row r="850" spans="1:17" s="95" customFormat="1" x14ac:dyDescent="0.25">
      <c r="A850" s="175"/>
      <c r="B850" s="176"/>
      <c r="C850" s="176"/>
      <c r="D850" s="1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157"/>
    </row>
    <row r="851" spans="1:17" s="95" customFormat="1" x14ac:dyDescent="0.25">
      <c r="A851" s="175"/>
      <c r="B851" s="176"/>
      <c r="C851" s="176"/>
      <c r="D851" s="1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157"/>
    </row>
    <row r="852" spans="1:17" s="95" customFormat="1" x14ac:dyDescent="0.25">
      <c r="A852" s="175"/>
      <c r="B852" s="176"/>
      <c r="C852" s="176"/>
      <c r="D852" s="1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157"/>
    </row>
    <row r="853" spans="1:17" s="95" customFormat="1" x14ac:dyDescent="0.25">
      <c r="A853" s="175"/>
      <c r="B853" s="176"/>
      <c r="C853" s="176"/>
      <c r="D853" s="1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157"/>
    </row>
    <row r="854" spans="1:17" s="95" customFormat="1" x14ac:dyDescent="0.25">
      <c r="A854" s="175"/>
      <c r="B854" s="176"/>
      <c r="C854" s="176"/>
      <c r="D854" s="1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157"/>
    </row>
    <row r="855" spans="1:17" s="95" customFormat="1" x14ac:dyDescent="0.25">
      <c r="A855" s="175"/>
      <c r="B855" s="176"/>
      <c r="C855" s="176"/>
      <c r="D855" s="1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157"/>
    </row>
    <row r="856" spans="1:17" s="95" customFormat="1" x14ac:dyDescent="0.25">
      <c r="A856" s="175"/>
      <c r="B856" s="176"/>
      <c r="C856" s="176"/>
      <c r="D856" s="1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157"/>
    </row>
    <row r="857" spans="1:17" s="95" customFormat="1" x14ac:dyDescent="0.25">
      <c r="A857" s="175"/>
      <c r="B857" s="176"/>
      <c r="C857" s="176"/>
      <c r="D857" s="1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157"/>
    </row>
    <row r="858" spans="1:17" s="95" customFormat="1" x14ac:dyDescent="0.25">
      <c r="A858" s="175"/>
      <c r="B858" s="176"/>
      <c r="C858" s="176"/>
      <c r="D858" s="1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157"/>
    </row>
    <row r="859" spans="1:17" s="95" customFormat="1" x14ac:dyDescent="0.25">
      <c r="A859" s="175"/>
      <c r="B859" s="176"/>
      <c r="C859" s="176"/>
      <c r="D859" s="1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157"/>
    </row>
    <row r="860" spans="1:17" s="95" customFormat="1" x14ac:dyDescent="0.25">
      <c r="A860" s="175"/>
      <c r="B860" s="176"/>
      <c r="C860" s="176"/>
      <c r="D860" s="1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157"/>
    </row>
    <row r="861" spans="1:17" s="95" customFormat="1" x14ac:dyDescent="0.25">
      <c r="A861" s="175"/>
      <c r="B861" s="176"/>
      <c r="C861" s="176"/>
      <c r="D861" s="1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157"/>
    </row>
    <row r="862" spans="1:17" s="95" customFormat="1" x14ac:dyDescent="0.25">
      <c r="A862" s="175"/>
      <c r="B862" s="176"/>
      <c r="C862" s="176"/>
      <c r="D862" s="1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157"/>
    </row>
    <row r="863" spans="1:17" s="95" customFormat="1" x14ac:dyDescent="0.25">
      <c r="A863" s="175"/>
      <c r="B863" s="176"/>
      <c r="C863" s="176"/>
      <c r="D863" s="1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157"/>
    </row>
    <row r="864" spans="1:17" s="95" customFormat="1" x14ac:dyDescent="0.25">
      <c r="A864" s="175"/>
      <c r="B864" s="176"/>
      <c r="C864" s="176"/>
      <c r="D864" s="1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157"/>
    </row>
    <row r="865" spans="1:17" s="95" customFormat="1" x14ac:dyDescent="0.25">
      <c r="A865" s="175"/>
      <c r="B865" s="176"/>
      <c r="C865" s="176"/>
      <c r="D865" s="1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157"/>
    </row>
    <row r="866" spans="1:17" s="95" customFormat="1" x14ac:dyDescent="0.25">
      <c r="A866" s="175"/>
      <c r="B866" s="176"/>
      <c r="C866" s="176"/>
      <c r="D866" s="1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157"/>
    </row>
    <row r="867" spans="1:17" s="95" customFormat="1" x14ac:dyDescent="0.25">
      <c r="A867" s="175"/>
      <c r="B867" s="176"/>
      <c r="C867" s="176"/>
      <c r="D867" s="1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157"/>
    </row>
    <row r="868" spans="1:17" s="95" customFormat="1" x14ac:dyDescent="0.25">
      <c r="A868" s="175"/>
      <c r="B868" s="176"/>
      <c r="C868" s="176"/>
      <c r="D868" s="1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157"/>
    </row>
    <row r="869" spans="1:17" s="95" customFormat="1" x14ac:dyDescent="0.25">
      <c r="A869" s="175"/>
      <c r="B869" s="176"/>
      <c r="C869" s="176"/>
      <c r="D869" s="1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157"/>
    </row>
    <row r="870" spans="1:17" s="95" customFormat="1" x14ac:dyDescent="0.25">
      <c r="A870" s="175"/>
      <c r="B870" s="176"/>
      <c r="C870" s="176"/>
      <c r="D870" s="1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157"/>
    </row>
    <row r="871" spans="1:17" s="95" customFormat="1" x14ac:dyDescent="0.25">
      <c r="A871" s="175"/>
      <c r="B871" s="176"/>
      <c r="C871" s="176"/>
      <c r="D871" s="1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157"/>
    </row>
    <row r="872" spans="1:17" s="95" customFormat="1" x14ac:dyDescent="0.25">
      <c r="A872" s="175"/>
      <c r="B872" s="176"/>
      <c r="C872" s="176"/>
      <c r="D872" s="1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157"/>
    </row>
    <row r="873" spans="1:17" s="95" customFormat="1" x14ac:dyDescent="0.25">
      <c r="A873" s="175"/>
      <c r="B873" s="176"/>
      <c r="C873" s="176"/>
      <c r="D873" s="1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157"/>
    </row>
    <row r="874" spans="1:17" s="95" customFormat="1" x14ac:dyDescent="0.25">
      <c r="A874" s="175"/>
      <c r="B874" s="176"/>
      <c r="C874" s="176"/>
      <c r="D874" s="1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157"/>
    </row>
    <row r="875" spans="1:17" s="95" customFormat="1" x14ac:dyDescent="0.25">
      <c r="A875" s="175"/>
      <c r="B875" s="176"/>
      <c r="C875" s="176"/>
      <c r="D875" s="1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157"/>
    </row>
    <row r="876" spans="1:17" s="95" customFormat="1" x14ac:dyDescent="0.25">
      <c r="A876" s="175"/>
      <c r="B876" s="176"/>
      <c r="C876" s="176"/>
      <c r="D876" s="1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157"/>
    </row>
    <row r="877" spans="1:17" s="95" customFormat="1" x14ac:dyDescent="0.25">
      <c r="A877" s="175"/>
      <c r="B877" s="176"/>
      <c r="C877" s="176"/>
      <c r="D877" s="1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157"/>
    </row>
    <row r="878" spans="1:17" s="95" customFormat="1" x14ac:dyDescent="0.25">
      <c r="A878" s="175"/>
      <c r="B878" s="176"/>
      <c r="C878" s="176"/>
      <c r="D878" s="1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157"/>
    </row>
    <row r="879" spans="1:17" s="95" customFormat="1" x14ac:dyDescent="0.25">
      <c r="A879" s="175"/>
      <c r="B879" s="176"/>
      <c r="C879" s="176"/>
      <c r="D879" s="1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157"/>
    </row>
    <row r="880" spans="1:17" s="95" customFormat="1" x14ac:dyDescent="0.25">
      <c r="A880" s="175"/>
      <c r="B880" s="176"/>
      <c r="C880" s="176"/>
      <c r="D880" s="1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157"/>
    </row>
    <row r="881" spans="1:17" s="95" customFormat="1" x14ac:dyDescent="0.25">
      <c r="A881" s="175"/>
      <c r="B881" s="176"/>
      <c r="C881" s="176"/>
      <c r="D881" s="1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157"/>
    </row>
    <row r="882" spans="1:17" s="95" customFormat="1" x14ac:dyDescent="0.25">
      <c r="A882" s="175"/>
      <c r="B882" s="176"/>
      <c r="C882" s="176"/>
      <c r="D882" s="1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157"/>
    </row>
    <row r="883" spans="1:17" s="95" customFormat="1" x14ac:dyDescent="0.25">
      <c r="A883" s="175"/>
      <c r="B883" s="176"/>
      <c r="C883" s="176"/>
      <c r="D883" s="1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157"/>
    </row>
    <row r="884" spans="1:17" s="95" customFormat="1" x14ac:dyDescent="0.25">
      <c r="A884" s="175"/>
      <c r="B884" s="176"/>
      <c r="C884" s="176"/>
      <c r="D884" s="1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157"/>
    </row>
    <row r="885" spans="1:17" s="95" customFormat="1" x14ac:dyDescent="0.25">
      <c r="A885" s="175"/>
      <c r="B885" s="176"/>
      <c r="C885" s="176"/>
      <c r="D885" s="1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157"/>
    </row>
    <row r="886" spans="1:17" s="95" customFormat="1" x14ac:dyDescent="0.25">
      <c r="A886" s="175"/>
      <c r="B886" s="176"/>
      <c r="C886" s="176"/>
      <c r="D886" s="1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157"/>
    </row>
    <row r="887" spans="1:17" s="95" customFormat="1" x14ac:dyDescent="0.25">
      <c r="A887" s="175"/>
      <c r="B887" s="176"/>
      <c r="C887" s="176"/>
      <c r="D887" s="1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157"/>
    </row>
    <row r="888" spans="1:17" s="95" customFormat="1" x14ac:dyDescent="0.25">
      <c r="A888" s="175"/>
      <c r="B888" s="176"/>
      <c r="C888" s="176"/>
      <c r="D888" s="1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157"/>
    </row>
    <row r="889" spans="1:17" s="95" customFormat="1" x14ac:dyDescent="0.25">
      <c r="A889" s="175"/>
      <c r="B889" s="176"/>
      <c r="C889" s="176"/>
      <c r="D889" s="1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157"/>
    </row>
    <row r="890" spans="1:17" s="95" customFormat="1" x14ac:dyDescent="0.25">
      <c r="A890" s="175"/>
      <c r="B890" s="176"/>
      <c r="C890" s="176"/>
      <c r="D890" s="1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157"/>
    </row>
    <row r="891" spans="1:17" s="95" customFormat="1" x14ac:dyDescent="0.25">
      <c r="A891" s="175"/>
      <c r="B891" s="176"/>
      <c r="C891" s="176"/>
      <c r="D891" s="1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157"/>
    </row>
    <row r="892" spans="1:17" s="95" customFormat="1" x14ac:dyDescent="0.25">
      <c r="A892" s="175"/>
      <c r="B892" s="176"/>
      <c r="C892" s="176"/>
      <c r="D892" s="1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157"/>
    </row>
    <row r="893" spans="1:17" s="95" customFormat="1" x14ac:dyDescent="0.25">
      <c r="A893" s="175"/>
      <c r="B893" s="176"/>
      <c r="C893" s="176"/>
      <c r="D893" s="1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157"/>
    </row>
    <row r="894" spans="1:17" s="95" customFormat="1" x14ac:dyDescent="0.25">
      <c r="A894" s="175"/>
      <c r="B894" s="176"/>
      <c r="C894" s="176"/>
      <c r="D894" s="1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157"/>
    </row>
    <row r="895" spans="1:17" s="95" customFormat="1" x14ac:dyDescent="0.25">
      <c r="A895" s="175"/>
      <c r="B895" s="176"/>
      <c r="C895" s="176"/>
      <c r="D895" s="1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157"/>
    </row>
    <row r="896" spans="1:17" s="95" customFormat="1" x14ac:dyDescent="0.25">
      <c r="A896" s="175"/>
      <c r="B896" s="176"/>
      <c r="C896" s="176"/>
      <c r="D896" s="1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157"/>
    </row>
    <row r="897" spans="1:17" s="95" customFormat="1" x14ac:dyDescent="0.25">
      <c r="A897" s="175"/>
      <c r="B897" s="176"/>
      <c r="C897" s="176"/>
      <c r="D897" s="1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157"/>
    </row>
    <row r="898" spans="1:17" s="95" customFormat="1" x14ac:dyDescent="0.25">
      <c r="A898" s="175"/>
      <c r="B898" s="176"/>
      <c r="C898" s="176"/>
      <c r="D898" s="1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157"/>
    </row>
    <row r="899" spans="1:17" s="95" customFormat="1" x14ac:dyDescent="0.25">
      <c r="A899" s="175"/>
      <c r="B899" s="176"/>
      <c r="C899" s="176"/>
      <c r="D899" s="1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157"/>
    </row>
    <row r="900" spans="1:17" s="95" customFormat="1" x14ac:dyDescent="0.25">
      <c r="A900" s="175"/>
      <c r="B900" s="176"/>
      <c r="C900" s="176"/>
      <c r="D900" s="1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157"/>
    </row>
    <row r="901" spans="1:17" s="95" customFormat="1" x14ac:dyDescent="0.25">
      <c r="A901" s="175"/>
      <c r="B901" s="176"/>
      <c r="C901" s="176"/>
      <c r="D901" s="1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157"/>
    </row>
    <row r="902" spans="1:17" s="95" customFormat="1" x14ac:dyDescent="0.25">
      <c r="A902" s="175"/>
      <c r="B902" s="176"/>
      <c r="C902" s="176"/>
      <c r="D902" s="1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157"/>
    </row>
    <row r="903" spans="1:17" s="95" customFormat="1" x14ac:dyDescent="0.25">
      <c r="A903" s="175"/>
      <c r="B903" s="176"/>
      <c r="C903" s="176"/>
      <c r="D903" s="1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157"/>
    </row>
    <row r="904" spans="1:17" s="95" customFormat="1" x14ac:dyDescent="0.25">
      <c r="A904" s="175"/>
      <c r="B904" s="176"/>
      <c r="C904" s="176"/>
      <c r="D904" s="1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157"/>
    </row>
    <row r="905" spans="1:17" s="95" customFormat="1" x14ac:dyDescent="0.25">
      <c r="A905" s="175"/>
      <c r="B905" s="176"/>
      <c r="C905" s="176"/>
      <c r="D905" s="1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157"/>
    </row>
    <row r="906" spans="1:17" s="95" customFormat="1" x14ac:dyDescent="0.25">
      <c r="A906" s="175"/>
      <c r="B906" s="176"/>
      <c r="C906" s="176"/>
      <c r="D906" s="1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157"/>
    </row>
    <row r="907" spans="1:17" s="95" customFormat="1" x14ac:dyDescent="0.25">
      <c r="A907" s="175"/>
      <c r="B907" s="176"/>
      <c r="C907" s="176"/>
      <c r="D907" s="1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157"/>
    </row>
    <row r="908" spans="1:17" s="95" customFormat="1" x14ac:dyDescent="0.25">
      <c r="A908" s="175"/>
      <c r="B908" s="176"/>
      <c r="C908" s="176"/>
      <c r="D908" s="1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157"/>
    </row>
    <row r="909" spans="1:17" s="95" customFormat="1" x14ac:dyDescent="0.25">
      <c r="A909" s="175"/>
      <c r="B909" s="176"/>
      <c r="C909" s="176"/>
      <c r="D909" s="1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157"/>
    </row>
    <row r="910" spans="1:17" s="95" customFormat="1" x14ac:dyDescent="0.25">
      <c r="A910" s="175"/>
      <c r="B910" s="176"/>
      <c r="C910" s="176"/>
      <c r="D910" s="1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157"/>
    </row>
    <row r="911" spans="1:17" s="95" customFormat="1" x14ac:dyDescent="0.25">
      <c r="A911" s="175"/>
      <c r="B911" s="176"/>
      <c r="C911" s="176"/>
      <c r="D911" s="1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157"/>
    </row>
    <row r="912" spans="1:17" s="95" customFormat="1" x14ac:dyDescent="0.25">
      <c r="A912" s="175"/>
      <c r="B912" s="176"/>
      <c r="C912" s="176"/>
      <c r="D912" s="1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157"/>
    </row>
    <row r="913" spans="1:17" s="95" customFormat="1" x14ac:dyDescent="0.25">
      <c r="A913" s="175"/>
      <c r="B913" s="176"/>
      <c r="C913" s="176"/>
      <c r="D913" s="1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157"/>
    </row>
    <row r="914" spans="1:17" s="95" customFormat="1" x14ac:dyDescent="0.25">
      <c r="A914" s="175"/>
      <c r="B914" s="176"/>
      <c r="C914" s="176"/>
      <c r="D914" s="1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157"/>
    </row>
    <row r="915" spans="1:17" s="95" customFormat="1" x14ac:dyDescent="0.25">
      <c r="A915" s="175"/>
      <c r="B915" s="176"/>
      <c r="C915" s="176"/>
      <c r="D915" s="1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157"/>
    </row>
    <row r="916" spans="1:17" s="95" customFormat="1" x14ac:dyDescent="0.25">
      <c r="A916" s="175"/>
      <c r="B916" s="176"/>
      <c r="C916" s="176"/>
      <c r="D916" s="1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157"/>
    </row>
    <row r="917" spans="1:17" s="95" customFormat="1" x14ac:dyDescent="0.25">
      <c r="A917" s="175"/>
      <c r="B917" s="176"/>
      <c r="C917" s="176"/>
      <c r="D917" s="1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157"/>
    </row>
    <row r="918" spans="1:17" s="95" customFormat="1" x14ac:dyDescent="0.25">
      <c r="A918" s="175"/>
      <c r="B918" s="176"/>
      <c r="C918" s="176"/>
      <c r="D918" s="1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157"/>
    </row>
    <row r="919" spans="1:17" s="95" customFormat="1" x14ac:dyDescent="0.25">
      <c r="A919" s="175"/>
      <c r="B919" s="176"/>
      <c r="C919" s="176"/>
      <c r="D919" s="1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157"/>
    </row>
    <row r="920" spans="1:17" s="95" customFormat="1" x14ac:dyDescent="0.25">
      <c r="A920" s="175"/>
      <c r="B920" s="176"/>
      <c r="C920" s="176"/>
      <c r="D920" s="1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157"/>
    </row>
    <row r="921" spans="1:17" s="95" customFormat="1" x14ac:dyDescent="0.25">
      <c r="A921" s="175"/>
      <c r="B921" s="176"/>
      <c r="C921" s="176"/>
      <c r="D921" s="1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157"/>
    </row>
    <row r="922" spans="1:17" s="95" customFormat="1" x14ac:dyDescent="0.25">
      <c r="A922" s="175"/>
      <c r="B922" s="176"/>
      <c r="C922" s="176"/>
      <c r="D922" s="1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157"/>
    </row>
    <row r="923" spans="1:17" s="95" customFormat="1" x14ac:dyDescent="0.25">
      <c r="A923" s="175"/>
      <c r="B923" s="176"/>
      <c r="C923" s="176"/>
      <c r="D923" s="1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157"/>
    </row>
    <row r="924" spans="1:17" s="95" customFormat="1" x14ac:dyDescent="0.25">
      <c r="A924" s="175"/>
      <c r="B924" s="176"/>
      <c r="C924" s="176"/>
      <c r="D924" s="1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157"/>
    </row>
    <row r="925" spans="1:17" s="95" customFormat="1" x14ac:dyDescent="0.25">
      <c r="A925" s="175"/>
      <c r="B925" s="176"/>
      <c r="C925" s="176"/>
      <c r="D925" s="1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157"/>
    </row>
    <row r="926" spans="1:17" s="95" customFormat="1" x14ac:dyDescent="0.25">
      <c r="A926" s="175"/>
      <c r="B926" s="176"/>
      <c r="C926" s="176"/>
      <c r="D926" s="1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157"/>
    </row>
    <row r="927" spans="1:17" s="95" customFormat="1" x14ac:dyDescent="0.25">
      <c r="A927" s="175"/>
      <c r="B927" s="176"/>
      <c r="C927" s="176"/>
      <c r="D927" s="1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157"/>
    </row>
    <row r="928" spans="1:17" s="95" customFormat="1" x14ac:dyDescent="0.25">
      <c r="A928" s="175"/>
      <c r="B928" s="176"/>
      <c r="C928" s="176"/>
      <c r="D928" s="1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157"/>
    </row>
    <row r="929" spans="1:17" s="95" customFormat="1" x14ac:dyDescent="0.25">
      <c r="A929" s="175"/>
      <c r="B929" s="176"/>
      <c r="C929" s="176"/>
      <c r="D929" s="1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157"/>
    </row>
    <row r="930" spans="1:17" s="95" customFormat="1" x14ac:dyDescent="0.25">
      <c r="A930" s="175"/>
      <c r="B930" s="176"/>
      <c r="C930" s="176"/>
      <c r="D930" s="1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157"/>
    </row>
    <row r="931" spans="1:17" s="95" customFormat="1" x14ac:dyDescent="0.25">
      <c r="A931" s="175"/>
      <c r="B931" s="176"/>
      <c r="C931" s="176"/>
      <c r="D931" s="1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157"/>
    </row>
    <row r="932" spans="1:17" s="95" customFormat="1" x14ac:dyDescent="0.25">
      <c r="A932" s="175"/>
      <c r="B932" s="176"/>
      <c r="C932" s="176"/>
      <c r="D932" s="1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157"/>
    </row>
    <row r="933" spans="1:17" s="95" customFormat="1" x14ac:dyDescent="0.25">
      <c r="A933" s="175"/>
      <c r="B933" s="176"/>
      <c r="C933" s="176"/>
      <c r="D933" s="1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157"/>
    </row>
    <row r="934" spans="1:17" s="95" customFormat="1" x14ac:dyDescent="0.25">
      <c r="A934" s="175"/>
      <c r="B934" s="176"/>
      <c r="C934" s="176"/>
      <c r="D934" s="1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157"/>
    </row>
    <row r="935" spans="1:17" s="95" customFormat="1" x14ac:dyDescent="0.25">
      <c r="A935" s="175"/>
      <c r="B935" s="176"/>
      <c r="C935" s="176"/>
      <c r="D935" s="1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157"/>
    </row>
    <row r="936" spans="1:17" s="95" customFormat="1" x14ac:dyDescent="0.25">
      <c r="A936" s="175"/>
      <c r="B936" s="176"/>
      <c r="C936" s="176"/>
      <c r="D936" s="1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157"/>
    </row>
    <row r="937" spans="1:17" s="95" customFormat="1" x14ac:dyDescent="0.25">
      <c r="A937" s="175"/>
      <c r="B937" s="176"/>
      <c r="C937" s="176"/>
      <c r="D937" s="1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157"/>
    </row>
    <row r="938" spans="1:17" s="95" customFormat="1" x14ac:dyDescent="0.25">
      <c r="A938" s="175"/>
      <c r="B938" s="176"/>
      <c r="C938" s="176"/>
      <c r="D938" s="1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157"/>
    </row>
    <row r="939" spans="1:17" s="95" customFormat="1" x14ac:dyDescent="0.25">
      <c r="A939" s="175"/>
      <c r="B939" s="176"/>
      <c r="C939" s="176"/>
      <c r="D939" s="1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157"/>
    </row>
    <row r="940" spans="1:17" s="95" customFormat="1" x14ac:dyDescent="0.25">
      <c r="A940" s="175"/>
      <c r="B940" s="176"/>
      <c r="C940" s="176"/>
      <c r="D940" s="1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157"/>
    </row>
    <row r="941" spans="1:17" s="95" customFormat="1" x14ac:dyDescent="0.25">
      <c r="A941" s="175"/>
      <c r="B941" s="176"/>
      <c r="C941" s="176"/>
      <c r="D941" s="1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157"/>
    </row>
    <row r="942" spans="1:17" s="95" customFormat="1" x14ac:dyDescent="0.25">
      <c r="A942" s="175"/>
      <c r="B942" s="176"/>
      <c r="C942" s="176"/>
      <c r="D942" s="1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157"/>
    </row>
    <row r="943" spans="1:17" s="95" customFormat="1" x14ac:dyDescent="0.25">
      <c r="A943" s="175"/>
      <c r="B943" s="176"/>
      <c r="C943" s="176"/>
      <c r="D943" s="1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157"/>
    </row>
    <row r="944" spans="1:17" s="95" customFormat="1" x14ac:dyDescent="0.25">
      <c r="A944" s="175"/>
      <c r="B944" s="176"/>
      <c r="C944" s="176"/>
      <c r="D944" s="1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157"/>
    </row>
    <row r="945" spans="1:17" s="95" customFormat="1" x14ac:dyDescent="0.25">
      <c r="A945" s="175"/>
      <c r="B945" s="176"/>
      <c r="C945" s="176"/>
      <c r="D945" s="1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157"/>
    </row>
    <row r="946" spans="1:17" s="95" customFormat="1" x14ac:dyDescent="0.25">
      <c r="A946" s="175"/>
      <c r="B946" s="176"/>
      <c r="C946" s="176"/>
      <c r="D946" s="1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157"/>
    </row>
    <row r="947" spans="1:17" s="95" customFormat="1" x14ac:dyDescent="0.25">
      <c r="A947" s="175"/>
      <c r="B947" s="176"/>
      <c r="C947" s="176"/>
      <c r="D947" s="1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157"/>
    </row>
    <row r="948" spans="1:17" s="95" customFormat="1" x14ac:dyDescent="0.25">
      <c r="A948" s="175"/>
      <c r="B948" s="176"/>
      <c r="C948" s="176"/>
      <c r="D948" s="1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157"/>
    </row>
    <row r="949" spans="1:17" s="95" customFormat="1" x14ac:dyDescent="0.25">
      <c r="A949" s="175"/>
      <c r="B949" s="176"/>
      <c r="C949" s="176"/>
      <c r="D949" s="1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157"/>
    </row>
    <row r="950" spans="1:17" s="95" customFormat="1" x14ac:dyDescent="0.25">
      <c r="A950" s="175"/>
      <c r="B950" s="176"/>
      <c r="C950" s="176"/>
      <c r="D950" s="1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157"/>
    </row>
    <row r="951" spans="1:17" s="95" customFormat="1" x14ac:dyDescent="0.25">
      <c r="A951" s="175"/>
      <c r="B951" s="176"/>
      <c r="C951" s="176"/>
      <c r="D951" s="1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157"/>
    </row>
    <row r="952" spans="1:17" s="95" customFormat="1" x14ac:dyDescent="0.25">
      <c r="A952" s="175"/>
      <c r="B952" s="176"/>
      <c r="C952" s="176"/>
      <c r="D952" s="1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157"/>
    </row>
    <row r="953" spans="1:17" s="95" customFormat="1" x14ac:dyDescent="0.25">
      <c r="A953" s="175"/>
      <c r="B953" s="176"/>
      <c r="C953" s="176"/>
      <c r="D953" s="1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157"/>
    </row>
    <row r="954" spans="1:17" s="95" customFormat="1" x14ac:dyDescent="0.25">
      <c r="A954" s="175"/>
      <c r="B954" s="176"/>
      <c r="C954" s="176"/>
      <c r="D954" s="1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157"/>
    </row>
    <row r="955" spans="1:17" s="95" customFormat="1" x14ac:dyDescent="0.25">
      <c r="A955" s="175"/>
      <c r="B955" s="176"/>
      <c r="C955" s="176"/>
      <c r="D955" s="1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157"/>
    </row>
    <row r="956" spans="1:17" s="95" customFormat="1" x14ac:dyDescent="0.25">
      <c r="A956" s="175"/>
      <c r="B956" s="176"/>
      <c r="C956" s="176"/>
      <c r="D956" s="1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157"/>
    </row>
    <row r="957" spans="1:17" s="95" customFormat="1" x14ac:dyDescent="0.25">
      <c r="A957" s="175"/>
      <c r="B957" s="176"/>
      <c r="C957" s="176"/>
      <c r="D957" s="1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157"/>
    </row>
    <row r="958" spans="1:17" s="95" customFormat="1" x14ac:dyDescent="0.25">
      <c r="A958" s="175"/>
      <c r="B958" s="176"/>
      <c r="C958" s="176"/>
      <c r="D958" s="1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157"/>
    </row>
    <row r="959" spans="1:17" s="95" customFormat="1" x14ac:dyDescent="0.25">
      <c r="A959" s="175"/>
      <c r="B959" s="176"/>
      <c r="C959" s="176"/>
      <c r="D959" s="1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157"/>
    </row>
    <row r="960" spans="1:17" s="95" customFormat="1" x14ac:dyDescent="0.25">
      <c r="A960" s="175"/>
      <c r="B960" s="176"/>
      <c r="C960" s="176"/>
      <c r="D960" s="1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157"/>
    </row>
    <row r="961" spans="1:17" s="95" customFormat="1" x14ac:dyDescent="0.25">
      <c r="A961" s="175"/>
      <c r="B961" s="176"/>
      <c r="C961" s="176"/>
      <c r="D961" s="1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157"/>
    </row>
    <row r="962" spans="1:17" s="95" customFormat="1" x14ac:dyDescent="0.25">
      <c r="A962" s="175"/>
      <c r="B962" s="176"/>
      <c r="C962" s="176"/>
      <c r="D962" s="1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157"/>
    </row>
    <row r="963" spans="1:17" s="95" customFormat="1" x14ac:dyDescent="0.25">
      <c r="A963" s="175"/>
      <c r="B963" s="176"/>
      <c r="C963" s="176"/>
      <c r="D963" s="1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157"/>
    </row>
    <row r="964" spans="1:17" s="95" customFormat="1" x14ac:dyDescent="0.25">
      <c r="A964" s="175"/>
      <c r="B964" s="176"/>
      <c r="C964" s="176"/>
      <c r="D964" s="1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157"/>
    </row>
    <row r="965" spans="1:17" s="95" customFormat="1" x14ac:dyDescent="0.25">
      <c r="A965" s="175"/>
      <c r="B965" s="176"/>
      <c r="C965" s="176"/>
      <c r="D965" s="1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157"/>
    </row>
    <row r="966" spans="1:17" s="95" customFormat="1" x14ac:dyDescent="0.25">
      <c r="A966" s="175"/>
      <c r="B966" s="176"/>
      <c r="C966" s="176"/>
      <c r="D966" s="1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157"/>
    </row>
    <row r="967" spans="1:17" s="95" customFormat="1" x14ac:dyDescent="0.25">
      <c r="A967" s="175"/>
      <c r="B967" s="176"/>
      <c r="C967" s="176"/>
      <c r="D967" s="1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157"/>
    </row>
    <row r="968" spans="1:17" s="95" customFormat="1" x14ac:dyDescent="0.25">
      <c r="A968" s="175"/>
      <c r="B968" s="176"/>
      <c r="C968" s="176"/>
      <c r="D968" s="1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157"/>
    </row>
    <row r="969" spans="1:17" s="95" customFormat="1" x14ac:dyDescent="0.25">
      <c r="A969" s="175"/>
      <c r="B969" s="176"/>
      <c r="C969" s="176"/>
      <c r="D969" s="1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157"/>
    </row>
    <row r="970" spans="1:17" s="95" customFormat="1" x14ac:dyDescent="0.25">
      <c r="A970" s="175"/>
      <c r="B970" s="176"/>
      <c r="C970" s="176"/>
      <c r="D970" s="1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157"/>
    </row>
    <row r="971" spans="1:17" s="95" customFormat="1" x14ac:dyDescent="0.25">
      <c r="A971" s="175"/>
      <c r="B971" s="176"/>
      <c r="C971" s="176"/>
      <c r="D971" s="1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157"/>
    </row>
    <row r="972" spans="1:17" s="95" customFormat="1" x14ac:dyDescent="0.25">
      <c r="A972" s="175"/>
      <c r="B972" s="176"/>
      <c r="C972" s="176"/>
      <c r="D972" s="1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157"/>
    </row>
    <row r="973" spans="1:17" s="95" customFormat="1" x14ac:dyDescent="0.25">
      <c r="A973" s="175"/>
      <c r="B973" s="176"/>
      <c r="C973" s="176"/>
      <c r="D973" s="1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157"/>
    </row>
    <row r="974" spans="1:17" s="95" customFormat="1" x14ac:dyDescent="0.25">
      <c r="A974" s="175"/>
      <c r="B974" s="176"/>
      <c r="C974" s="176"/>
      <c r="D974" s="1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157"/>
    </row>
    <row r="975" spans="1:17" s="95" customFormat="1" x14ac:dyDescent="0.25">
      <c r="A975" s="175"/>
      <c r="B975" s="176"/>
      <c r="C975" s="176"/>
      <c r="D975" s="1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157"/>
    </row>
    <row r="976" spans="1:17" s="95" customFormat="1" x14ac:dyDescent="0.25">
      <c r="A976" s="175"/>
      <c r="B976" s="176"/>
      <c r="C976" s="176"/>
      <c r="D976" s="1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157"/>
    </row>
    <row r="977" spans="1:17" s="95" customFormat="1" x14ac:dyDescent="0.25">
      <c r="A977" s="175"/>
      <c r="B977" s="176"/>
      <c r="C977" s="176"/>
      <c r="D977" s="1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157"/>
    </row>
    <row r="978" spans="1:17" s="95" customFormat="1" x14ac:dyDescent="0.25">
      <c r="A978" s="175"/>
      <c r="B978" s="176"/>
      <c r="C978" s="176"/>
      <c r="D978" s="1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157"/>
    </row>
    <row r="979" spans="1:17" s="95" customFormat="1" x14ac:dyDescent="0.25">
      <c r="A979" s="175"/>
      <c r="B979" s="176"/>
      <c r="C979" s="176"/>
      <c r="D979" s="1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157"/>
    </row>
    <row r="980" spans="1:17" s="95" customFormat="1" x14ac:dyDescent="0.25">
      <c r="A980" s="175"/>
      <c r="B980" s="176"/>
      <c r="C980" s="176"/>
      <c r="D980" s="1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157"/>
    </row>
    <row r="981" spans="1:17" s="95" customFormat="1" x14ac:dyDescent="0.25">
      <c r="A981" s="175"/>
      <c r="B981" s="176"/>
      <c r="C981" s="176"/>
      <c r="D981" s="1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157"/>
    </row>
    <row r="982" spans="1:17" s="95" customFormat="1" x14ac:dyDescent="0.25">
      <c r="A982" s="175"/>
      <c r="B982" s="176"/>
      <c r="C982" s="176"/>
      <c r="D982" s="1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157"/>
    </row>
    <row r="983" spans="1:17" s="95" customFormat="1" x14ac:dyDescent="0.25">
      <c r="A983" s="175"/>
      <c r="B983" s="176"/>
      <c r="C983" s="176"/>
      <c r="D983" s="1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157"/>
    </row>
    <row r="984" spans="1:17" s="95" customFormat="1" x14ac:dyDescent="0.25">
      <c r="A984" s="175"/>
      <c r="B984" s="176"/>
      <c r="C984" s="176"/>
      <c r="D984" s="1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157"/>
    </row>
    <row r="985" spans="1:17" s="95" customFormat="1" x14ac:dyDescent="0.25">
      <c r="A985" s="175"/>
      <c r="B985" s="176"/>
      <c r="C985" s="176"/>
      <c r="D985" s="1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157"/>
    </row>
    <row r="986" spans="1:17" s="95" customFormat="1" x14ac:dyDescent="0.25">
      <c r="A986" s="175"/>
      <c r="B986" s="176"/>
      <c r="C986" s="176"/>
      <c r="D986" s="1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157"/>
    </row>
    <row r="987" spans="1:17" s="95" customFormat="1" x14ac:dyDescent="0.25">
      <c r="A987" s="175"/>
      <c r="B987" s="176"/>
      <c r="C987" s="176"/>
      <c r="D987" s="1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157"/>
    </row>
    <row r="988" spans="1:17" s="95" customFormat="1" x14ac:dyDescent="0.25">
      <c r="A988" s="175"/>
      <c r="B988" s="176"/>
      <c r="C988" s="176"/>
      <c r="D988" s="1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157"/>
    </row>
    <row r="989" spans="1:17" s="95" customFormat="1" x14ac:dyDescent="0.25">
      <c r="A989" s="175"/>
      <c r="B989" s="176"/>
      <c r="C989" s="176"/>
      <c r="D989" s="1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157"/>
    </row>
    <row r="990" spans="1:17" s="95" customFormat="1" x14ac:dyDescent="0.25">
      <c r="A990" s="175"/>
      <c r="B990" s="176"/>
      <c r="C990" s="176"/>
      <c r="D990" s="1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157"/>
    </row>
    <row r="991" spans="1:17" s="95" customFormat="1" x14ac:dyDescent="0.25">
      <c r="A991" s="175"/>
      <c r="B991" s="176"/>
      <c r="C991" s="176"/>
      <c r="D991" s="1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157"/>
    </row>
    <row r="992" spans="1:17" s="95" customFormat="1" x14ac:dyDescent="0.25">
      <c r="A992" s="175"/>
      <c r="B992" s="176"/>
      <c r="C992" s="176"/>
      <c r="D992" s="1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157"/>
    </row>
    <row r="993" spans="1:17" s="95" customFormat="1" x14ac:dyDescent="0.25">
      <c r="A993" s="175"/>
      <c r="B993" s="176"/>
      <c r="C993" s="176"/>
      <c r="D993" s="1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157"/>
    </row>
    <row r="994" spans="1:17" s="95" customFormat="1" x14ac:dyDescent="0.25">
      <c r="A994" s="175"/>
      <c r="B994" s="176"/>
      <c r="C994" s="176"/>
      <c r="D994" s="1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157"/>
    </row>
    <row r="995" spans="1:17" s="95" customFormat="1" x14ac:dyDescent="0.25">
      <c r="A995" s="175"/>
      <c r="B995" s="176"/>
      <c r="C995" s="176"/>
      <c r="D995" s="1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157"/>
    </row>
    <row r="996" spans="1:17" s="95" customFormat="1" x14ac:dyDescent="0.25">
      <c r="A996" s="175"/>
      <c r="B996" s="176"/>
      <c r="C996" s="176"/>
      <c r="D996" s="1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157"/>
    </row>
    <row r="997" spans="1:17" s="95" customFormat="1" x14ac:dyDescent="0.25">
      <c r="A997" s="175"/>
      <c r="B997" s="176"/>
      <c r="C997" s="176"/>
      <c r="D997" s="1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157"/>
    </row>
    <row r="998" spans="1:17" s="95" customFormat="1" x14ac:dyDescent="0.25">
      <c r="A998" s="175"/>
      <c r="B998" s="176"/>
      <c r="C998" s="176"/>
      <c r="D998" s="1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157"/>
    </row>
    <row r="999" spans="1:17" s="95" customFormat="1" x14ac:dyDescent="0.25">
      <c r="A999" s="175"/>
      <c r="B999" s="176"/>
      <c r="C999" s="176"/>
      <c r="D999" s="1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157"/>
    </row>
    <row r="1000" spans="1:17" s="95" customFormat="1" x14ac:dyDescent="0.25">
      <c r="A1000" s="175"/>
      <c r="B1000" s="176"/>
      <c r="C1000" s="176"/>
      <c r="D1000" s="1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157"/>
    </row>
    <row r="1001" spans="1:17" s="95" customFormat="1" x14ac:dyDescent="0.25">
      <c r="A1001" s="175"/>
      <c r="B1001" s="176"/>
      <c r="C1001" s="176"/>
      <c r="D1001" s="1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157"/>
    </row>
    <row r="1002" spans="1:17" s="95" customFormat="1" x14ac:dyDescent="0.25">
      <c r="A1002" s="175"/>
      <c r="B1002" s="176"/>
      <c r="C1002" s="176"/>
      <c r="D1002" s="1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157"/>
    </row>
    <row r="1003" spans="1:17" s="95" customFormat="1" x14ac:dyDescent="0.25">
      <c r="A1003" s="175"/>
      <c r="B1003" s="176"/>
      <c r="C1003" s="176"/>
      <c r="D1003" s="1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157"/>
    </row>
    <row r="1004" spans="1:17" s="95" customFormat="1" x14ac:dyDescent="0.25">
      <c r="A1004" s="175"/>
      <c r="B1004" s="176"/>
      <c r="C1004" s="176"/>
      <c r="D1004" s="1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157"/>
    </row>
    <row r="1005" spans="1:17" s="95" customFormat="1" x14ac:dyDescent="0.25">
      <c r="A1005" s="175"/>
      <c r="B1005" s="176"/>
      <c r="C1005" s="176"/>
      <c r="D1005" s="1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157"/>
    </row>
    <row r="1006" spans="1:17" s="95" customFormat="1" x14ac:dyDescent="0.25">
      <c r="A1006" s="175"/>
      <c r="B1006" s="176"/>
      <c r="C1006" s="176"/>
      <c r="D1006" s="1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157"/>
    </row>
    <row r="1007" spans="1:17" s="95" customFormat="1" x14ac:dyDescent="0.25">
      <c r="A1007" s="175"/>
      <c r="B1007" s="176"/>
      <c r="C1007" s="176"/>
      <c r="D1007" s="1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157"/>
    </row>
    <row r="1008" spans="1:17" s="95" customFormat="1" x14ac:dyDescent="0.25">
      <c r="A1008" s="175"/>
      <c r="B1008" s="176"/>
      <c r="C1008" s="176"/>
      <c r="D1008" s="1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157"/>
    </row>
    <row r="1009" spans="1:17" s="95" customFormat="1" x14ac:dyDescent="0.25">
      <c r="A1009" s="175"/>
      <c r="B1009" s="176"/>
      <c r="C1009" s="176"/>
      <c r="D1009" s="1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157"/>
    </row>
    <row r="1010" spans="1:17" s="95" customFormat="1" x14ac:dyDescent="0.25">
      <c r="A1010" s="175"/>
      <c r="B1010" s="176"/>
      <c r="C1010" s="176"/>
      <c r="D1010" s="1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157"/>
    </row>
    <row r="1011" spans="1:17" s="95" customFormat="1" x14ac:dyDescent="0.25">
      <c r="A1011" s="175"/>
      <c r="B1011" s="176"/>
      <c r="C1011" s="176"/>
      <c r="D1011" s="1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157"/>
    </row>
    <row r="1012" spans="1:17" s="95" customFormat="1" x14ac:dyDescent="0.25">
      <c r="A1012" s="175"/>
      <c r="B1012" s="176"/>
      <c r="C1012" s="176"/>
      <c r="D1012" s="1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157"/>
    </row>
    <row r="1013" spans="1:17" s="95" customFormat="1" x14ac:dyDescent="0.25">
      <c r="A1013" s="175"/>
      <c r="B1013" s="176"/>
      <c r="C1013" s="176"/>
      <c r="D1013" s="1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157"/>
    </row>
    <row r="1014" spans="1:17" s="95" customFormat="1" x14ac:dyDescent="0.25">
      <c r="A1014" s="175"/>
      <c r="B1014" s="176"/>
      <c r="C1014" s="176"/>
      <c r="D1014" s="1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157"/>
    </row>
    <row r="1015" spans="1:17" s="95" customFormat="1" x14ac:dyDescent="0.25">
      <c r="A1015" s="175"/>
      <c r="B1015" s="176"/>
      <c r="C1015" s="176"/>
      <c r="D1015" s="1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157"/>
    </row>
    <row r="1016" spans="1:17" s="95" customFormat="1" x14ac:dyDescent="0.25">
      <c r="A1016" s="175"/>
      <c r="B1016" s="176"/>
      <c r="C1016" s="176"/>
      <c r="D1016" s="1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157"/>
    </row>
    <row r="1017" spans="1:17" s="95" customFormat="1" x14ac:dyDescent="0.25">
      <c r="A1017" s="175"/>
      <c r="B1017" s="176"/>
      <c r="C1017" s="176"/>
      <c r="D1017" s="1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157"/>
    </row>
    <row r="1018" spans="1:17" s="95" customFormat="1" x14ac:dyDescent="0.25">
      <c r="A1018" s="175"/>
      <c r="B1018" s="176"/>
      <c r="C1018" s="176"/>
      <c r="D1018" s="1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157"/>
    </row>
    <row r="1019" spans="1:17" s="95" customFormat="1" x14ac:dyDescent="0.25">
      <c r="A1019" s="175"/>
      <c r="B1019" s="176"/>
      <c r="C1019" s="176"/>
      <c r="D1019" s="1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157"/>
    </row>
    <row r="1020" spans="1:17" s="95" customFormat="1" x14ac:dyDescent="0.25">
      <c r="A1020" s="175"/>
      <c r="B1020" s="176"/>
      <c r="C1020" s="176"/>
      <c r="D1020" s="1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157"/>
    </row>
    <row r="1021" spans="1:17" s="95" customFormat="1" x14ac:dyDescent="0.25">
      <c r="A1021" s="175"/>
      <c r="B1021" s="176"/>
      <c r="C1021" s="176"/>
      <c r="D1021" s="1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157"/>
    </row>
    <row r="1022" spans="1:17" s="95" customFormat="1" x14ac:dyDescent="0.25">
      <c r="A1022" s="175"/>
      <c r="B1022" s="176"/>
      <c r="C1022" s="176"/>
      <c r="D1022" s="1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157"/>
    </row>
    <row r="1023" spans="1:17" s="95" customFormat="1" x14ac:dyDescent="0.25">
      <c r="A1023" s="175"/>
      <c r="B1023" s="176"/>
      <c r="C1023" s="176"/>
      <c r="D1023" s="1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157"/>
    </row>
    <row r="1024" spans="1:17" s="95" customFormat="1" x14ac:dyDescent="0.25">
      <c r="A1024" s="175"/>
      <c r="B1024" s="176"/>
      <c r="C1024" s="176"/>
      <c r="D1024" s="1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157"/>
    </row>
    <row r="1025" spans="1:17" s="95" customFormat="1" x14ac:dyDescent="0.25">
      <c r="A1025" s="175"/>
      <c r="B1025" s="176"/>
      <c r="C1025" s="176"/>
      <c r="D1025" s="1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157"/>
    </row>
    <row r="1026" spans="1:17" s="95" customFormat="1" x14ac:dyDescent="0.25">
      <c r="A1026" s="175"/>
      <c r="B1026" s="176"/>
      <c r="C1026" s="176"/>
      <c r="D1026" s="1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157"/>
    </row>
    <row r="1027" spans="1:17" s="95" customFormat="1" x14ac:dyDescent="0.25">
      <c r="A1027" s="175"/>
      <c r="B1027" s="176"/>
      <c r="C1027" s="176"/>
      <c r="D1027" s="1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157"/>
    </row>
    <row r="1028" spans="1:17" s="95" customFormat="1" x14ac:dyDescent="0.25">
      <c r="A1028" s="175"/>
      <c r="B1028" s="176"/>
      <c r="C1028" s="176"/>
      <c r="D1028" s="1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157"/>
    </row>
    <row r="1029" spans="1:17" s="95" customFormat="1" x14ac:dyDescent="0.25">
      <c r="A1029" s="175"/>
      <c r="B1029" s="176"/>
      <c r="C1029" s="176"/>
      <c r="D1029" s="1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157"/>
    </row>
    <row r="1030" spans="1:17" s="95" customFormat="1" x14ac:dyDescent="0.25">
      <c r="A1030" s="175"/>
      <c r="B1030" s="176"/>
      <c r="C1030" s="176"/>
      <c r="D1030" s="1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157"/>
    </row>
    <row r="1031" spans="1:17" s="95" customFormat="1" x14ac:dyDescent="0.25">
      <c r="A1031" s="175"/>
      <c r="B1031" s="176"/>
      <c r="C1031" s="176"/>
      <c r="D1031" s="1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157"/>
    </row>
    <row r="1032" spans="1:17" s="95" customFormat="1" x14ac:dyDescent="0.25">
      <c r="A1032" s="175"/>
      <c r="B1032" s="176"/>
      <c r="C1032" s="176"/>
      <c r="D1032" s="1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157"/>
    </row>
    <row r="1033" spans="1:17" s="95" customFormat="1" x14ac:dyDescent="0.25">
      <c r="A1033" s="175"/>
      <c r="B1033" s="176"/>
      <c r="C1033" s="176"/>
      <c r="D1033" s="1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157"/>
    </row>
    <row r="1034" spans="1:17" s="95" customFormat="1" x14ac:dyDescent="0.25">
      <c r="A1034" s="175"/>
      <c r="B1034" s="176"/>
      <c r="C1034" s="176"/>
      <c r="D1034" s="1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157"/>
    </row>
    <row r="1035" spans="1:17" s="95" customFormat="1" x14ac:dyDescent="0.25">
      <c r="A1035" s="175"/>
      <c r="B1035" s="176"/>
      <c r="C1035" s="176"/>
      <c r="D1035" s="1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157"/>
    </row>
    <row r="1036" spans="1:17" s="95" customFormat="1" x14ac:dyDescent="0.25">
      <c r="A1036" s="175"/>
      <c r="B1036" s="176"/>
      <c r="C1036" s="176"/>
      <c r="D1036" s="1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157"/>
    </row>
    <row r="1037" spans="1:17" s="95" customFormat="1" x14ac:dyDescent="0.25">
      <c r="A1037" s="175"/>
      <c r="B1037" s="176"/>
      <c r="C1037" s="176"/>
      <c r="D1037" s="1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157"/>
    </row>
    <row r="1038" spans="1:17" s="95" customFormat="1" x14ac:dyDescent="0.25">
      <c r="A1038" s="175"/>
      <c r="B1038" s="176"/>
      <c r="C1038" s="176"/>
      <c r="D1038" s="1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157"/>
    </row>
    <row r="1039" spans="1:17" s="95" customFormat="1" x14ac:dyDescent="0.25">
      <c r="A1039" s="175"/>
      <c r="B1039" s="176"/>
      <c r="C1039" s="176"/>
      <c r="D1039" s="1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157"/>
    </row>
    <row r="1040" spans="1:17" s="95" customFormat="1" x14ac:dyDescent="0.25">
      <c r="A1040" s="175"/>
      <c r="B1040" s="176"/>
      <c r="C1040" s="176"/>
      <c r="D1040" s="1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157"/>
    </row>
    <row r="1041" spans="1:17" s="95" customFormat="1" x14ac:dyDescent="0.25">
      <c r="A1041" s="175"/>
      <c r="B1041" s="176"/>
      <c r="C1041" s="176"/>
      <c r="D1041" s="1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157"/>
    </row>
    <row r="1042" spans="1:17" s="95" customFormat="1" x14ac:dyDescent="0.25">
      <c r="A1042" s="175"/>
      <c r="B1042" s="176"/>
      <c r="C1042" s="176"/>
      <c r="D1042" s="1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157"/>
    </row>
    <row r="1043" spans="1:17" s="95" customFormat="1" x14ac:dyDescent="0.25">
      <c r="A1043" s="175"/>
      <c r="B1043" s="176"/>
      <c r="C1043" s="176"/>
      <c r="D1043" s="1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157"/>
    </row>
    <row r="1044" spans="1:17" s="95" customFormat="1" x14ac:dyDescent="0.25">
      <c r="A1044" s="175"/>
      <c r="B1044" s="176"/>
      <c r="C1044" s="176"/>
      <c r="D1044" s="1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157"/>
    </row>
    <row r="1045" spans="1:17" s="95" customFormat="1" x14ac:dyDescent="0.25">
      <c r="A1045" s="175"/>
      <c r="B1045" s="176"/>
      <c r="C1045" s="176"/>
      <c r="D1045" s="1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157"/>
    </row>
    <row r="1046" spans="1:17" s="95" customFormat="1" x14ac:dyDescent="0.25">
      <c r="A1046" s="175"/>
      <c r="B1046" s="176"/>
      <c r="C1046" s="176"/>
      <c r="D1046" s="1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157"/>
    </row>
    <row r="1047" spans="1:17" s="95" customFormat="1" x14ac:dyDescent="0.25">
      <c r="A1047" s="175"/>
      <c r="B1047" s="176"/>
      <c r="C1047" s="176"/>
      <c r="D1047" s="1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157"/>
    </row>
    <row r="1048" spans="1:17" s="95" customFormat="1" x14ac:dyDescent="0.25">
      <c r="A1048" s="175"/>
      <c r="B1048" s="176"/>
      <c r="C1048" s="176"/>
      <c r="D1048" s="1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157"/>
    </row>
    <row r="1049" spans="1:17" s="95" customFormat="1" x14ac:dyDescent="0.25">
      <c r="A1049" s="175"/>
      <c r="B1049" s="176"/>
      <c r="C1049" s="176"/>
      <c r="D1049" s="1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157"/>
    </row>
    <row r="1050" spans="1:17" s="95" customFormat="1" x14ac:dyDescent="0.25">
      <c r="A1050" s="175"/>
      <c r="B1050" s="176"/>
      <c r="C1050" s="176"/>
      <c r="D1050" s="1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157"/>
    </row>
    <row r="1051" spans="1:17" s="95" customFormat="1" x14ac:dyDescent="0.25">
      <c r="A1051" s="175"/>
      <c r="B1051" s="176"/>
      <c r="C1051" s="176"/>
      <c r="D1051" s="1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157"/>
    </row>
    <row r="1052" spans="1:17" s="95" customFormat="1" x14ac:dyDescent="0.25">
      <c r="A1052" s="175"/>
      <c r="B1052" s="176"/>
      <c r="C1052" s="176"/>
      <c r="D1052" s="1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157"/>
    </row>
    <row r="1053" spans="1:17" s="95" customFormat="1" x14ac:dyDescent="0.25">
      <c r="A1053" s="175"/>
      <c r="B1053" s="176"/>
      <c r="C1053" s="176"/>
      <c r="D1053" s="1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157"/>
    </row>
    <row r="1054" spans="1:17" s="95" customFormat="1" x14ac:dyDescent="0.25">
      <c r="A1054" s="175"/>
      <c r="B1054" s="176"/>
      <c r="C1054" s="176"/>
      <c r="D1054" s="1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157"/>
    </row>
    <row r="1055" spans="1:17" s="95" customFormat="1" x14ac:dyDescent="0.25">
      <c r="A1055" s="175"/>
      <c r="B1055" s="176"/>
      <c r="C1055" s="176"/>
      <c r="D1055" s="1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157"/>
    </row>
    <row r="1056" spans="1:17" s="95" customFormat="1" x14ac:dyDescent="0.25">
      <c r="A1056" s="175"/>
      <c r="B1056" s="176"/>
      <c r="C1056" s="176"/>
      <c r="D1056" s="1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157"/>
    </row>
    <row r="1057" spans="1:17" s="95" customFormat="1" x14ac:dyDescent="0.25">
      <c r="A1057" s="175"/>
      <c r="B1057" s="176"/>
      <c r="C1057" s="176"/>
      <c r="D1057" s="1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157"/>
    </row>
    <row r="1058" spans="1:17" s="95" customFormat="1" x14ac:dyDescent="0.25">
      <c r="A1058" s="175"/>
      <c r="B1058" s="176"/>
      <c r="C1058" s="176"/>
      <c r="D1058" s="1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157"/>
    </row>
    <row r="1059" spans="1:17" s="95" customFormat="1" x14ac:dyDescent="0.25">
      <c r="A1059" s="175"/>
      <c r="B1059" s="176"/>
      <c r="C1059" s="176"/>
      <c r="D1059" s="1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157"/>
    </row>
    <row r="1060" spans="1:17" s="95" customFormat="1" x14ac:dyDescent="0.25">
      <c r="A1060" s="175"/>
      <c r="B1060" s="176"/>
      <c r="C1060" s="176"/>
      <c r="D1060" s="1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157"/>
    </row>
    <row r="1061" spans="1:17" s="95" customFormat="1" x14ac:dyDescent="0.25">
      <c r="A1061" s="175"/>
      <c r="B1061" s="176"/>
      <c r="C1061" s="176"/>
      <c r="D1061" s="1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157"/>
    </row>
    <row r="1062" spans="1:17" s="95" customFormat="1" x14ac:dyDescent="0.25">
      <c r="A1062" s="175"/>
      <c r="B1062" s="176"/>
      <c r="C1062" s="176"/>
      <c r="D1062" s="1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157"/>
    </row>
    <row r="1063" spans="1:17" s="95" customFormat="1" x14ac:dyDescent="0.25">
      <c r="A1063" s="175"/>
      <c r="B1063" s="176"/>
      <c r="C1063" s="176"/>
      <c r="D1063" s="1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157"/>
    </row>
    <row r="1064" spans="1:17" s="95" customFormat="1" x14ac:dyDescent="0.25">
      <c r="A1064" s="175"/>
      <c r="B1064" s="176"/>
      <c r="C1064" s="176"/>
      <c r="D1064" s="1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157"/>
    </row>
    <row r="1065" spans="1:17" s="95" customFormat="1" x14ac:dyDescent="0.25">
      <c r="A1065" s="175"/>
      <c r="B1065" s="176"/>
      <c r="C1065" s="176"/>
      <c r="D1065" s="1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157"/>
    </row>
    <row r="1066" spans="1:17" s="95" customFormat="1" x14ac:dyDescent="0.25">
      <c r="A1066" s="175"/>
      <c r="B1066" s="176"/>
      <c r="C1066" s="176"/>
      <c r="D1066" s="1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157"/>
    </row>
    <row r="1067" spans="1:17" s="95" customFormat="1" x14ac:dyDescent="0.25">
      <c r="A1067" s="175"/>
      <c r="B1067" s="176"/>
      <c r="C1067" s="176"/>
      <c r="D1067" s="1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157"/>
    </row>
    <row r="1068" spans="1:17" s="95" customFormat="1" x14ac:dyDescent="0.25">
      <c r="A1068" s="175"/>
      <c r="B1068" s="176"/>
      <c r="C1068" s="176"/>
      <c r="D1068" s="1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157"/>
    </row>
    <row r="1069" spans="1:17" s="95" customFormat="1" x14ac:dyDescent="0.25">
      <c r="A1069" s="175"/>
      <c r="B1069" s="176"/>
      <c r="C1069" s="176"/>
      <c r="D1069" s="1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157"/>
    </row>
    <row r="1070" spans="1:17" s="95" customFormat="1" x14ac:dyDescent="0.25">
      <c r="A1070" s="175"/>
      <c r="B1070" s="176"/>
      <c r="C1070" s="176"/>
      <c r="D1070" s="1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157"/>
    </row>
    <row r="1071" spans="1:17" s="95" customFormat="1" x14ac:dyDescent="0.25">
      <c r="A1071" s="175"/>
      <c r="B1071" s="176"/>
      <c r="C1071" s="176"/>
      <c r="D1071" s="1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157"/>
    </row>
    <row r="1072" spans="1:17" s="95" customFormat="1" x14ac:dyDescent="0.25">
      <c r="A1072" s="175"/>
      <c r="B1072" s="176"/>
      <c r="C1072" s="176"/>
      <c r="D1072" s="1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157"/>
    </row>
    <row r="1073" spans="1:17" s="95" customFormat="1" x14ac:dyDescent="0.25">
      <c r="A1073" s="175"/>
      <c r="B1073" s="176"/>
      <c r="C1073" s="176"/>
      <c r="D1073" s="1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157"/>
    </row>
    <row r="1074" spans="1:17" s="95" customFormat="1" x14ac:dyDescent="0.25">
      <c r="A1074" s="175"/>
      <c r="B1074" s="176"/>
      <c r="C1074" s="176"/>
      <c r="D1074" s="1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157"/>
    </row>
    <row r="1075" spans="1:17" s="95" customFormat="1" x14ac:dyDescent="0.25">
      <c r="A1075" s="175"/>
      <c r="B1075" s="176"/>
      <c r="C1075" s="176"/>
      <c r="D1075" s="1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157"/>
    </row>
    <row r="1076" spans="1:17" s="95" customFormat="1" x14ac:dyDescent="0.25">
      <c r="A1076" s="175"/>
      <c r="B1076" s="176"/>
      <c r="C1076" s="176"/>
      <c r="D1076" s="1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157"/>
    </row>
    <row r="1077" spans="1:17" s="95" customFormat="1" x14ac:dyDescent="0.25">
      <c r="A1077" s="175"/>
      <c r="B1077" s="176"/>
      <c r="C1077" s="176"/>
      <c r="D1077" s="1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157"/>
    </row>
    <row r="1078" spans="1:17" s="95" customFormat="1" x14ac:dyDescent="0.25">
      <c r="A1078" s="175"/>
      <c r="B1078" s="176"/>
      <c r="C1078" s="176"/>
      <c r="D1078" s="1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157"/>
    </row>
    <row r="1079" spans="1:17" s="95" customFormat="1" x14ac:dyDescent="0.25">
      <c r="A1079" s="175"/>
      <c r="B1079" s="176"/>
      <c r="C1079" s="176"/>
      <c r="D1079" s="1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157"/>
    </row>
    <row r="1080" spans="1:17" s="95" customFormat="1" x14ac:dyDescent="0.25">
      <c r="A1080" s="175"/>
      <c r="B1080" s="176"/>
      <c r="C1080" s="176"/>
      <c r="D1080" s="1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157"/>
    </row>
    <row r="1081" spans="1:17" s="95" customFormat="1" x14ac:dyDescent="0.25">
      <c r="A1081" s="175"/>
      <c r="B1081" s="176"/>
      <c r="C1081" s="176"/>
      <c r="D1081" s="1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157"/>
    </row>
    <row r="1082" spans="1:17" s="95" customFormat="1" x14ac:dyDescent="0.25">
      <c r="A1082" s="175"/>
      <c r="B1082" s="176"/>
      <c r="C1082" s="176"/>
      <c r="D1082" s="1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157"/>
    </row>
    <row r="1083" spans="1:17" s="95" customFormat="1" x14ac:dyDescent="0.25">
      <c r="A1083" s="175"/>
      <c r="B1083" s="176"/>
      <c r="C1083" s="176"/>
      <c r="D1083" s="1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157"/>
    </row>
    <row r="1084" spans="1:17" s="95" customFormat="1" x14ac:dyDescent="0.25">
      <c r="A1084" s="175"/>
      <c r="B1084" s="176"/>
      <c r="C1084" s="176"/>
      <c r="D1084" s="1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157"/>
    </row>
    <row r="1085" spans="1:17" s="95" customFormat="1" x14ac:dyDescent="0.25">
      <c r="A1085" s="175"/>
      <c r="B1085" s="176"/>
      <c r="C1085" s="176"/>
      <c r="D1085" s="1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157"/>
    </row>
    <row r="1086" spans="1:17" s="95" customFormat="1" x14ac:dyDescent="0.25">
      <c r="A1086" s="175"/>
      <c r="B1086" s="176"/>
      <c r="C1086" s="176"/>
      <c r="D1086" s="1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157"/>
    </row>
    <row r="1087" spans="1:17" s="95" customFormat="1" x14ac:dyDescent="0.25">
      <c r="A1087" s="175"/>
      <c r="B1087" s="176"/>
      <c r="C1087" s="176"/>
      <c r="D1087" s="1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157"/>
    </row>
    <row r="1088" spans="1:17" s="95" customFormat="1" x14ac:dyDescent="0.25">
      <c r="A1088" s="175"/>
      <c r="B1088" s="176"/>
      <c r="C1088" s="176"/>
      <c r="D1088" s="1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157"/>
    </row>
    <row r="1089" spans="1:17" s="95" customFormat="1" x14ac:dyDescent="0.25">
      <c r="A1089" s="175"/>
      <c r="B1089" s="176"/>
      <c r="C1089" s="176"/>
      <c r="D1089" s="1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157"/>
    </row>
    <row r="1090" spans="1:17" s="95" customFormat="1" x14ac:dyDescent="0.25">
      <c r="A1090" s="175"/>
      <c r="B1090" s="176"/>
      <c r="C1090" s="176"/>
      <c r="D1090" s="1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157"/>
    </row>
    <row r="1091" spans="1:17" s="95" customFormat="1" x14ac:dyDescent="0.25">
      <c r="A1091" s="175"/>
      <c r="B1091" s="176"/>
      <c r="C1091" s="176"/>
      <c r="D1091" s="1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157"/>
    </row>
    <row r="1092" spans="1:17" s="95" customFormat="1" x14ac:dyDescent="0.25">
      <c r="A1092" s="175"/>
      <c r="B1092" s="176"/>
      <c r="C1092" s="176"/>
      <c r="D1092" s="1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157"/>
    </row>
    <row r="1093" spans="1:17" s="95" customFormat="1" x14ac:dyDescent="0.25">
      <c r="A1093" s="175"/>
      <c r="B1093" s="176"/>
      <c r="C1093" s="176"/>
      <c r="D1093" s="1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157"/>
    </row>
    <row r="1094" spans="1:17" s="95" customFormat="1" x14ac:dyDescent="0.25">
      <c r="A1094" s="175"/>
      <c r="B1094" s="176"/>
      <c r="C1094" s="176"/>
      <c r="D1094" s="1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157"/>
    </row>
    <row r="1095" spans="1:17" s="95" customFormat="1" x14ac:dyDescent="0.25">
      <c r="A1095" s="175"/>
      <c r="B1095" s="176"/>
      <c r="C1095" s="176"/>
      <c r="D1095" s="1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157"/>
    </row>
    <row r="1096" spans="1:17" s="95" customFormat="1" x14ac:dyDescent="0.25">
      <c r="A1096" s="175"/>
      <c r="B1096" s="176"/>
      <c r="C1096" s="176"/>
      <c r="D1096" s="1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157"/>
    </row>
    <row r="1097" spans="1:17" s="95" customFormat="1" x14ac:dyDescent="0.25">
      <c r="A1097" s="175"/>
      <c r="B1097" s="176"/>
      <c r="C1097" s="176"/>
      <c r="D1097" s="1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157"/>
    </row>
    <row r="1098" spans="1:17" s="95" customFormat="1" x14ac:dyDescent="0.25">
      <c r="A1098" s="175"/>
      <c r="B1098" s="176"/>
      <c r="C1098" s="176"/>
      <c r="D1098" s="1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157"/>
    </row>
    <row r="1099" spans="1:17" s="95" customFormat="1" x14ac:dyDescent="0.25">
      <c r="A1099" s="175"/>
      <c r="B1099" s="176"/>
      <c r="C1099" s="176"/>
      <c r="D1099" s="1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157"/>
    </row>
    <row r="1100" spans="1:17" s="95" customFormat="1" x14ac:dyDescent="0.25">
      <c r="A1100" s="175"/>
      <c r="B1100" s="176"/>
      <c r="C1100" s="176"/>
      <c r="D1100" s="1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157"/>
    </row>
    <row r="1101" spans="1:17" s="95" customFormat="1" x14ac:dyDescent="0.25">
      <c r="A1101" s="175"/>
      <c r="B1101" s="176"/>
      <c r="C1101" s="176"/>
      <c r="D1101" s="1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157"/>
    </row>
    <row r="1102" spans="1:17" s="95" customFormat="1" x14ac:dyDescent="0.25">
      <c r="A1102" s="175"/>
      <c r="B1102" s="176"/>
      <c r="C1102" s="176"/>
      <c r="D1102" s="1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157"/>
    </row>
    <row r="1103" spans="1:17" s="95" customFormat="1" x14ac:dyDescent="0.25">
      <c r="A1103" s="175"/>
      <c r="B1103" s="176"/>
      <c r="C1103" s="176"/>
      <c r="D1103" s="1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157"/>
    </row>
    <row r="1104" spans="1:17" s="95" customFormat="1" x14ac:dyDescent="0.25">
      <c r="A1104" s="175"/>
      <c r="B1104" s="176"/>
      <c r="C1104" s="176"/>
      <c r="D1104" s="1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157"/>
    </row>
    <row r="1105" spans="1:17" s="95" customFormat="1" x14ac:dyDescent="0.25">
      <c r="A1105" s="175"/>
      <c r="B1105" s="176"/>
      <c r="C1105" s="176"/>
      <c r="D1105" s="1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157"/>
    </row>
    <row r="1106" spans="1:17" s="95" customFormat="1" x14ac:dyDescent="0.25">
      <c r="A1106" s="175"/>
      <c r="B1106" s="176"/>
      <c r="C1106" s="176"/>
      <c r="D1106" s="1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157"/>
    </row>
    <row r="1107" spans="1:17" s="95" customFormat="1" x14ac:dyDescent="0.25">
      <c r="A1107" s="175"/>
      <c r="B1107" s="176"/>
      <c r="C1107" s="176"/>
      <c r="D1107" s="1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157"/>
    </row>
    <row r="1108" spans="1:17" s="95" customFormat="1" x14ac:dyDescent="0.25">
      <c r="A1108" s="175"/>
      <c r="B1108" s="176"/>
      <c r="C1108" s="176"/>
      <c r="D1108" s="1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157"/>
    </row>
    <row r="1109" spans="1:17" s="95" customFormat="1" x14ac:dyDescent="0.25">
      <c r="A1109" s="175"/>
      <c r="B1109" s="176"/>
      <c r="C1109" s="176"/>
      <c r="D1109" s="1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157"/>
    </row>
    <row r="1110" spans="1:17" s="95" customFormat="1" x14ac:dyDescent="0.25">
      <c r="A1110" s="175"/>
      <c r="B1110" s="176"/>
      <c r="C1110" s="176"/>
      <c r="D1110" s="1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157"/>
    </row>
    <row r="1111" spans="1:17" s="95" customFormat="1" x14ac:dyDescent="0.25">
      <c r="A1111" s="175"/>
      <c r="B1111" s="176"/>
      <c r="C1111" s="176"/>
      <c r="D1111" s="1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157"/>
    </row>
    <row r="1112" spans="1:17" s="95" customFormat="1" x14ac:dyDescent="0.25">
      <c r="A1112" s="175"/>
      <c r="B1112" s="176"/>
      <c r="C1112" s="176"/>
      <c r="D1112" s="1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157"/>
    </row>
    <row r="1113" spans="1:17" s="95" customFormat="1" x14ac:dyDescent="0.25">
      <c r="A1113" s="175"/>
      <c r="B1113" s="176"/>
      <c r="C1113" s="176"/>
      <c r="D1113" s="1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157"/>
    </row>
    <row r="1114" spans="1:17" s="95" customFormat="1" x14ac:dyDescent="0.25">
      <c r="A1114" s="175"/>
      <c r="B1114" s="176"/>
      <c r="C1114" s="176"/>
      <c r="D1114" s="1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157"/>
    </row>
    <row r="1115" spans="1:17" s="95" customFormat="1" x14ac:dyDescent="0.25">
      <c r="A1115" s="175"/>
      <c r="B1115" s="176"/>
      <c r="C1115" s="176"/>
      <c r="D1115" s="1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157"/>
    </row>
    <row r="1116" spans="1:17" s="95" customFormat="1" x14ac:dyDescent="0.25">
      <c r="A1116" s="175"/>
      <c r="B1116" s="176"/>
      <c r="C1116" s="176"/>
      <c r="D1116" s="1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157"/>
    </row>
    <row r="1117" spans="1:17" s="95" customFormat="1" x14ac:dyDescent="0.25">
      <c r="A1117" s="175"/>
      <c r="B1117" s="176"/>
      <c r="C1117" s="176"/>
      <c r="D1117" s="1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157"/>
    </row>
    <row r="1118" spans="1:17" s="95" customFormat="1" x14ac:dyDescent="0.25">
      <c r="A1118" s="175"/>
      <c r="B1118" s="176"/>
      <c r="C1118" s="176"/>
      <c r="D1118" s="1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157"/>
    </row>
    <row r="1119" spans="1:17" s="95" customFormat="1" x14ac:dyDescent="0.25">
      <c r="A1119" s="175"/>
      <c r="B1119" s="176"/>
      <c r="C1119" s="176"/>
      <c r="D1119" s="1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157"/>
    </row>
    <row r="1120" spans="1:17" s="95" customFormat="1" x14ac:dyDescent="0.25">
      <c r="A1120" s="175"/>
      <c r="B1120" s="176"/>
      <c r="C1120" s="176"/>
      <c r="D1120" s="1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157"/>
    </row>
    <row r="1121" spans="1:17" s="95" customFormat="1" x14ac:dyDescent="0.25">
      <c r="A1121" s="175"/>
      <c r="B1121" s="176"/>
      <c r="C1121" s="176"/>
      <c r="D1121" s="1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157"/>
    </row>
    <row r="1122" spans="1:17" s="95" customFormat="1" x14ac:dyDescent="0.25">
      <c r="A1122" s="175"/>
      <c r="B1122" s="176"/>
      <c r="C1122" s="176"/>
      <c r="D1122" s="1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157"/>
    </row>
    <row r="1123" spans="1:17" s="95" customFormat="1" x14ac:dyDescent="0.25">
      <c r="A1123" s="175"/>
      <c r="B1123" s="176"/>
      <c r="C1123" s="176"/>
      <c r="D1123" s="1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157"/>
    </row>
    <row r="1124" spans="1:17" s="95" customFormat="1" x14ac:dyDescent="0.25">
      <c r="A1124" s="175"/>
      <c r="B1124" s="176"/>
      <c r="C1124" s="176"/>
      <c r="D1124" s="1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157"/>
    </row>
    <row r="1125" spans="1:17" s="95" customFormat="1" x14ac:dyDescent="0.25">
      <c r="A1125" s="175"/>
      <c r="B1125" s="176"/>
      <c r="C1125" s="176"/>
      <c r="D1125" s="1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157"/>
    </row>
    <row r="1126" spans="1:17" s="95" customFormat="1" x14ac:dyDescent="0.25">
      <c r="A1126" s="175"/>
      <c r="B1126" s="176"/>
      <c r="C1126" s="176"/>
      <c r="D1126" s="1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157"/>
    </row>
    <row r="1127" spans="1:17" s="95" customFormat="1" x14ac:dyDescent="0.25">
      <c r="A1127" s="175"/>
      <c r="B1127" s="176"/>
      <c r="C1127" s="176"/>
      <c r="D1127" s="1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157"/>
    </row>
    <row r="1128" spans="1:17" s="95" customFormat="1" x14ac:dyDescent="0.25">
      <c r="A1128" s="175"/>
      <c r="B1128" s="176"/>
      <c r="C1128" s="176"/>
      <c r="D1128" s="1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157"/>
    </row>
    <row r="1129" spans="1:17" s="95" customFormat="1" x14ac:dyDescent="0.25">
      <c r="A1129" s="175"/>
      <c r="B1129" s="176"/>
      <c r="C1129" s="176"/>
      <c r="D1129" s="1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157"/>
    </row>
    <row r="1130" spans="1:17" s="95" customFormat="1" x14ac:dyDescent="0.25">
      <c r="A1130" s="175"/>
      <c r="B1130" s="176"/>
      <c r="C1130" s="176"/>
      <c r="D1130" s="1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157"/>
    </row>
    <row r="1131" spans="1:17" s="95" customFormat="1" x14ac:dyDescent="0.25">
      <c r="A1131" s="175"/>
      <c r="B1131" s="176"/>
      <c r="C1131" s="176"/>
      <c r="D1131" s="1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157"/>
    </row>
    <row r="1132" spans="1:17" s="95" customFormat="1" x14ac:dyDescent="0.25">
      <c r="A1132" s="175"/>
      <c r="B1132" s="176"/>
      <c r="C1132" s="176"/>
      <c r="D1132" s="1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157"/>
    </row>
    <row r="1133" spans="1:17" s="95" customFormat="1" x14ac:dyDescent="0.25">
      <c r="A1133" s="175"/>
      <c r="B1133" s="176"/>
      <c r="C1133" s="176"/>
      <c r="D1133" s="1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157"/>
    </row>
    <row r="1134" spans="1:17" s="95" customFormat="1" x14ac:dyDescent="0.25">
      <c r="A1134" s="175"/>
      <c r="B1134" s="176"/>
      <c r="C1134" s="176"/>
      <c r="D1134" s="1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157"/>
    </row>
    <row r="1135" spans="1:17" s="95" customFormat="1" x14ac:dyDescent="0.25">
      <c r="A1135" s="175"/>
      <c r="B1135" s="176"/>
      <c r="C1135" s="176"/>
      <c r="D1135" s="1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157"/>
    </row>
    <row r="1136" spans="1:17" s="95" customFormat="1" x14ac:dyDescent="0.25">
      <c r="A1136" s="175"/>
      <c r="B1136" s="176"/>
      <c r="C1136" s="176"/>
      <c r="D1136" s="1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157"/>
    </row>
    <row r="1137" spans="1:17" s="95" customFormat="1" x14ac:dyDescent="0.25">
      <c r="A1137" s="175"/>
      <c r="B1137" s="176"/>
      <c r="C1137" s="176"/>
      <c r="D1137" s="1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157"/>
    </row>
    <row r="1138" spans="1:17" s="95" customFormat="1" x14ac:dyDescent="0.25">
      <c r="A1138" s="175"/>
      <c r="B1138" s="176"/>
      <c r="C1138" s="176"/>
      <c r="D1138" s="1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157"/>
    </row>
    <row r="1139" spans="1:17" s="95" customFormat="1" x14ac:dyDescent="0.25">
      <c r="A1139" s="175"/>
      <c r="B1139" s="176"/>
      <c r="C1139" s="176"/>
      <c r="D1139" s="1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157"/>
    </row>
    <row r="1140" spans="1:17" s="95" customFormat="1" x14ac:dyDescent="0.25">
      <c r="A1140" s="175"/>
      <c r="B1140" s="176"/>
      <c r="C1140" s="176"/>
      <c r="D1140" s="1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157"/>
    </row>
    <row r="1141" spans="1:17" s="95" customFormat="1" x14ac:dyDescent="0.25">
      <c r="A1141" s="175"/>
      <c r="B1141" s="176"/>
      <c r="C1141" s="176"/>
      <c r="D1141" s="1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157"/>
    </row>
    <row r="1142" spans="1:17" s="95" customFormat="1" x14ac:dyDescent="0.25">
      <c r="A1142" s="175"/>
      <c r="B1142" s="176"/>
      <c r="C1142" s="176"/>
      <c r="D1142" s="1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157"/>
    </row>
    <row r="1143" spans="1:17" s="95" customFormat="1" x14ac:dyDescent="0.25">
      <c r="A1143" s="175"/>
      <c r="B1143" s="176"/>
      <c r="C1143" s="176"/>
      <c r="D1143" s="1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157"/>
    </row>
    <row r="1144" spans="1:17" s="95" customFormat="1" x14ac:dyDescent="0.25">
      <c r="A1144" s="175"/>
      <c r="B1144" s="176"/>
      <c r="C1144" s="176"/>
      <c r="D1144" s="1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157"/>
    </row>
    <row r="1145" spans="1:17" s="95" customFormat="1" x14ac:dyDescent="0.25">
      <c r="A1145" s="175"/>
      <c r="B1145" s="176"/>
      <c r="C1145" s="176"/>
      <c r="D1145" s="1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157"/>
    </row>
    <row r="1146" spans="1:17" s="95" customFormat="1" x14ac:dyDescent="0.25">
      <c r="A1146" s="175"/>
      <c r="B1146" s="176"/>
      <c r="C1146" s="176"/>
      <c r="D1146" s="1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157"/>
    </row>
    <row r="1147" spans="1:17" s="95" customFormat="1" x14ac:dyDescent="0.25">
      <c r="A1147" s="175"/>
      <c r="B1147" s="176"/>
      <c r="C1147" s="176"/>
      <c r="D1147" s="1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157"/>
    </row>
    <row r="1148" spans="1:17" s="95" customFormat="1" x14ac:dyDescent="0.25">
      <c r="A1148" s="175"/>
      <c r="B1148" s="176"/>
      <c r="C1148" s="176"/>
      <c r="D1148" s="1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157"/>
    </row>
    <row r="1149" spans="1:17" s="95" customFormat="1" x14ac:dyDescent="0.25">
      <c r="A1149" s="175"/>
      <c r="B1149" s="176"/>
      <c r="C1149" s="176"/>
      <c r="D1149" s="1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157"/>
    </row>
    <row r="1150" spans="1:17" s="95" customFormat="1" x14ac:dyDescent="0.25">
      <c r="A1150" s="175"/>
      <c r="B1150" s="176"/>
      <c r="C1150" s="176"/>
      <c r="D1150" s="1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157"/>
    </row>
    <row r="1151" spans="1:17" s="95" customFormat="1" x14ac:dyDescent="0.25">
      <c r="A1151" s="175"/>
      <c r="B1151" s="176"/>
      <c r="C1151" s="176"/>
      <c r="D1151" s="1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157"/>
    </row>
    <row r="1152" spans="1:17" s="95" customFormat="1" x14ac:dyDescent="0.25">
      <c r="A1152" s="175"/>
      <c r="B1152" s="176"/>
      <c r="C1152" s="176"/>
      <c r="D1152" s="1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157"/>
    </row>
    <row r="1153" spans="1:17" s="95" customFormat="1" x14ac:dyDescent="0.25">
      <c r="A1153" s="175"/>
      <c r="B1153" s="176"/>
      <c r="C1153" s="176"/>
      <c r="D1153" s="1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157"/>
    </row>
    <row r="1154" spans="1:17" s="95" customFormat="1" x14ac:dyDescent="0.25">
      <c r="A1154" s="175"/>
      <c r="B1154" s="176"/>
      <c r="C1154" s="176"/>
      <c r="D1154" s="1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157"/>
    </row>
    <row r="1155" spans="1:17" s="95" customFormat="1" x14ac:dyDescent="0.25">
      <c r="A1155" s="175"/>
      <c r="B1155" s="176"/>
      <c r="C1155" s="176"/>
      <c r="D1155" s="1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157"/>
    </row>
    <row r="1156" spans="1:17" s="95" customFormat="1" x14ac:dyDescent="0.25">
      <c r="A1156" s="175"/>
      <c r="B1156" s="176"/>
      <c r="C1156" s="176"/>
      <c r="D1156" s="1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157"/>
    </row>
    <row r="1157" spans="1:17" s="95" customFormat="1" x14ac:dyDescent="0.25">
      <c r="A1157" s="175"/>
      <c r="B1157" s="176"/>
      <c r="C1157" s="176"/>
      <c r="D1157" s="1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157"/>
    </row>
    <row r="1158" spans="1:17" s="95" customFormat="1" x14ac:dyDescent="0.25">
      <c r="A1158" s="175"/>
      <c r="B1158" s="176"/>
      <c r="C1158" s="176"/>
      <c r="D1158" s="1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157"/>
    </row>
    <row r="1159" spans="1:17" s="95" customFormat="1" x14ac:dyDescent="0.25">
      <c r="A1159" s="175"/>
      <c r="B1159" s="176"/>
      <c r="C1159" s="176"/>
      <c r="D1159" s="1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157"/>
    </row>
    <row r="1160" spans="1:17" s="95" customFormat="1" x14ac:dyDescent="0.25">
      <c r="A1160" s="175"/>
      <c r="B1160" s="176"/>
      <c r="C1160" s="176"/>
      <c r="D1160" s="1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157"/>
    </row>
    <row r="1161" spans="1:17" s="95" customFormat="1" x14ac:dyDescent="0.25">
      <c r="A1161" s="175"/>
      <c r="B1161" s="176"/>
      <c r="C1161" s="176"/>
      <c r="D1161" s="1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157"/>
    </row>
    <row r="1162" spans="1:17" s="95" customFormat="1" x14ac:dyDescent="0.25">
      <c r="A1162" s="175"/>
      <c r="B1162" s="176"/>
      <c r="C1162" s="176"/>
      <c r="D1162" s="1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157"/>
    </row>
    <row r="1163" spans="1:17" s="95" customFormat="1" x14ac:dyDescent="0.25">
      <c r="A1163" s="175"/>
      <c r="B1163" s="176"/>
      <c r="C1163" s="176"/>
      <c r="D1163" s="1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157"/>
    </row>
    <row r="1164" spans="1:17" s="95" customFormat="1" x14ac:dyDescent="0.25">
      <c r="A1164" s="175"/>
      <c r="B1164" s="176"/>
      <c r="C1164" s="176"/>
      <c r="D1164" s="1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157"/>
    </row>
    <row r="1165" spans="1:17" s="95" customFormat="1" x14ac:dyDescent="0.25">
      <c r="A1165" s="175"/>
      <c r="B1165" s="176"/>
      <c r="C1165" s="176"/>
      <c r="D1165" s="1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157"/>
    </row>
    <row r="1166" spans="1:17" s="95" customFormat="1" x14ac:dyDescent="0.25">
      <c r="A1166" s="175"/>
      <c r="B1166" s="176"/>
      <c r="C1166" s="176"/>
      <c r="D1166" s="1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157"/>
    </row>
    <row r="1167" spans="1:17" s="95" customFormat="1" x14ac:dyDescent="0.25">
      <c r="A1167" s="175"/>
      <c r="B1167" s="176"/>
      <c r="C1167" s="176"/>
      <c r="D1167" s="1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157"/>
    </row>
    <row r="1168" spans="1:17" s="95" customFormat="1" x14ac:dyDescent="0.25">
      <c r="A1168" s="175"/>
      <c r="B1168" s="176"/>
      <c r="C1168" s="176"/>
      <c r="D1168" s="1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157"/>
    </row>
    <row r="1169" spans="1:17" s="95" customFormat="1" x14ac:dyDescent="0.25">
      <c r="A1169" s="175"/>
      <c r="B1169" s="176"/>
      <c r="C1169" s="176"/>
      <c r="D1169" s="1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157"/>
    </row>
    <row r="1170" spans="1:17" s="95" customFormat="1" x14ac:dyDescent="0.25">
      <c r="A1170" s="175"/>
      <c r="B1170" s="176"/>
      <c r="C1170" s="176"/>
      <c r="D1170" s="1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157"/>
    </row>
    <row r="1171" spans="1:17" s="95" customFormat="1" x14ac:dyDescent="0.25">
      <c r="A1171" s="175"/>
      <c r="B1171" s="176"/>
      <c r="C1171" s="176"/>
      <c r="D1171" s="1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157"/>
    </row>
    <row r="1172" spans="1:17" s="95" customFormat="1" x14ac:dyDescent="0.25">
      <c r="A1172" s="175"/>
      <c r="B1172" s="176"/>
      <c r="C1172" s="176"/>
      <c r="D1172" s="1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157"/>
    </row>
    <row r="1173" spans="1:17" s="95" customFormat="1" x14ac:dyDescent="0.25">
      <c r="A1173" s="175"/>
      <c r="B1173" s="176"/>
      <c r="C1173" s="176"/>
      <c r="D1173" s="1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157"/>
    </row>
    <row r="1174" spans="1:17" s="95" customFormat="1" x14ac:dyDescent="0.25">
      <c r="A1174" s="175"/>
      <c r="B1174" s="176"/>
      <c r="C1174" s="176"/>
      <c r="D1174" s="1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157"/>
    </row>
    <row r="1175" spans="1:17" s="95" customFormat="1" x14ac:dyDescent="0.25">
      <c r="A1175" s="175"/>
      <c r="B1175" s="176"/>
      <c r="C1175" s="176"/>
      <c r="D1175" s="1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157"/>
    </row>
    <row r="1176" spans="1:17" s="95" customFormat="1" x14ac:dyDescent="0.25">
      <c r="A1176" s="175"/>
      <c r="B1176" s="176"/>
      <c r="C1176" s="176"/>
      <c r="D1176" s="1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157"/>
    </row>
    <row r="1177" spans="1:17" s="95" customFormat="1" x14ac:dyDescent="0.25">
      <c r="A1177" s="175"/>
      <c r="B1177" s="176"/>
      <c r="C1177" s="176"/>
      <c r="D1177" s="1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157"/>
    </row>
    <row r="1178" spans="1:17" s="95" customFormat="1" x14ac:dyDescent="0.25">
      <c r="A1178" s="175"/>
      <c r="B1178" s="176"/>
      <c r="C1178" s="176"/>
      <c r="D1178" s="1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157"/>
    </row>
    <row r="1179" spans="1:17" s="95" customFormat="1" x14ac:dyDescent="0.25">
      <c r="A1179" s="175"/>
      <c r="B1179" s="176"/>
      <c r="C1179" s="176"/>
      <c r="D1179" s="1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157"/>
    </row>
    <row r="1180" spans="1:17" s="95" customFormat="1" x14ac:dyDescent="0.25">
      <c r="A1180" s="175"/>
      <c r="B1180" s="176"/>
      <c r="C1180" s="176"/>
      <c r="D1180" s="1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157"/>
    </row>
    <row r="1181" spans="1:17" s="95" customFormat="1" x14ac:dyDescent="0.25">
      <c r="A1181" s="175"/>
      <c r="B1181" s="176"/>
      <c r="C1181" s="176"/>
      <c r="D1181" s="1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157"/>
    </row>
    <row r="1182" spans="1:17" s="95" customFormat="1" x14ac:dyDescent="0.25">
      <c r="A1182" s="175"/>
      <c r="B1182" s="176"/>
      <c r="C1182" s="176"/>
      <c r="D1182" s="1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157"/>
    </row>
    <row r="1183" spans="1:17" s="95" customFormat="1" x14ac:dyDescent="0.25">
      <c r="A1183" s="175"/>
      <c r="B1183" s="176"/>
      <c r="C1183" s="176"/>
      <c r="D1183" s="1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157"/>
    </row>
    <row r="1184" spans="1:17" s="95" customFormat="1" x14ac:dyDescent="0.25">
      <c r="A1184" s="175"/>
      <c r="B1184" s="176"/>
      <c r="C1184" s="176"/>
      <c r="D1184" s="1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157"/>
    </row>
    <row r="1185" spans="1:17" s="95" customFormat="1" x14ac:dyDescent="0.25">
      <c r="A1185" s="175"/>
      <c r="B1185" s="176"/>
      <c r="C1185" s="176"/>
      <c r="D1185" s="1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157"/>
    </row>
    <row r="1186" spans="1:17" s="95" customFormat="1" x14ac:dyDescent="0.25">
      <c r="A1186" s="175"/>
      <c r="B1186" s="176"/>
      <c r="C1186" s="176"/>
      <c r="D1186" s="1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157"/>
    </row>
    <row r="1187" spans="1:17" s="95" customFormat="1" x14ac:dyDescent="0.25">
      <c r="A1187" s="175"/>
      <c r="B1187" s="176"/>
      <c r="C1187" s="176"/>
      <c r="D1187" s="1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157"/>
    </row>
    <row r="1188" spans="1:17" s="95" customFormat="1" x14ac:dyDescent="0.25">
      <c r="A1188" s="175"/>
      <c r="B1188" s="176"/>
      <c r="C1188" s="176"/>
      <c r="D1188" s="1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157"/>
    </row>
    <row r="1189" spans="1:17" s="95" customFormat="1" x14ac:dyDescent="0.25">
      <c r="A1189" s="175"/>
      <c r="B1189" s="176"/>
      <c r="C1189" s="176"/>
      <c r="D1189" s="1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157"/>
    </row>
    <row r="1190" spans="1:17" s="95" customFormat="1" x14ac:dyDescent="0.25">
      <c r="A1190" s="175"/>
      <c r="B1190" s="176"/>
      <c r="C1190" s="176"/>
      <c r="D1190" s="1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157"/>
    </row>
    <row r="1191" spans="1:17" s="95" customFormat="1" x14ac:dyDescent="0.25">
      <c r="A1191" s="175"/>
      <c r="B1191" s="176"/>
      <c r="C1191" s="176"/>
      <c r="D1191" s="1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157"/>
    </row>
    <row r="1192" spans="1:17" s="95" customFormat="1" x14ac:dyDescent="0.25">
      <c r="A1192" s="175"/>
      <c r="B1192" s="176"/>
      <c r="C1192" s="176"/>
      <c r="D1192" s="1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157"/>
    </row>
    <row r="1193" spans="1:17" s="95" customFormat="1" x14ac:dyDescent="0.25">
      <c r="A1193" s="175"/>
      <c r="B1193" s="176"/>
      <c r="C1193" s="176"/>
      <c r="D1193" s="1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157"/>
    </row>
    <row r="1194" spans="1:17" s="95" customFormat="1" x14ac:dyDescent="0.25">
      <c r="A1194" s="175"/>
      <c r="B1194" s="176"/>
      <c r="C1194" s="176"/>
      <c r="D1194" s="1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157"/>
    </row>
    <row r="1195" spans="1:17" s="95" customFormat="1" x14ac:dyDescent="0.25">
      <c r="A1195" s="175"/>
      <c r="B1195" s="176"/>
      <c r="C1195" s="176"/>
      <c r="D1195" s="1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157"/>
    </row>
    <row r="1196" spans="1:17" s="95" customFormat="1" x14ac:dyDescent="0.25">
      <c r="A1196" s="175"/>
      <c r="B1196" s="176"/>
      <c r="C1196" s="176"/>
      <c r="D1196" s="1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157"/>
    </row>
    <row r="1197" spans="1:17" s="95" customFormat="1" x14ac:dyDescent="0.25">
      <c r="A1197" s="175"/>
      <c r="B1197" s="176"/>
      <c r="C1197" s="176"/>
      <c r="D1197" s="1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157"/>
    </row>
    <row r="1198" spans="1:17" s="95" customFormat="1" x14ac:dyDescent="0.25">
      <c r="A1198" s="175"/>
      <c r="B1198" s="176"/>
      <c r="C1198" s="176"/>
      <c r="D1198" s="1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157"/>
    </row>
    <row r="1199" spans="1:17" s="95" customFormat="1" x14ac:dyDescent="0.25">
      <c r="A1199" s="175"/>
      <c r="B1199" s="176"/>
      <c r="C1199" s="176"/>
      <c r="D1199" s="1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157"/>
    </row>
    <row r="1200" spans="1:17" s="95" customFormat="1" x14ac:dyDescent="0.25">
      <c r="A1200" s="175"/>
      <c r="B1200" s="176"/>
      <c r="C1200" s="176"/>
      <c r="D1200" s="1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157"/>
    </row>
    <row r="1201" spans="1:17" s="95" customFormat="1" x14ac:dyDescent="0.25">
      <c r="A1201" s="175"/>
      <c r="B1201" s="176"/>
      <c r="C1201" s="176"/>
      <c r="D1201" s="1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157"/>
    </row>
    <row r="1202" spans="1:17" s="95" customFormat="1" x14ac:dyDescent="0.25">
      <c r="A1202" s="175"/>
      <c r="B1202" s="176"/>
      <c r="C1202" s="176"/>
      <c r="D1202" s="1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157"/>
    </row>
    <row r="1203" spans="1:17" s="95" customFormat="1" x14ac:dyDescent="0.25">
      <c r="A1203" s="175"/>
      <c r="B1203" s="176"/>
      <c r="C1203" s="176"/>
      <c r="D1203" s="1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157"/>
    </row>
    <row r="1204" spans="1:17" s="95" customFormat="1" x14ac:dyDescent="0.25">
      <c r="A1204" s="175"/>
      <c r="B1204" s="176"/>
      <c r="C1204" s="176"/>
      <c r="D1204" s="1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157"/>
    </row>
    <row r="1205" spans="1:17" s="95" customFormat="1" x14ac:dyDescent="0.25">
      <c r="A1205" s="175"/>
      <c r="B1205" s="176"/>
      <c r="C1205" s="176"/>
      <c r="D1205" s="1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157"/>
    </row>
    <row r="1206" spans="1:17" s="95" customFormat="1" x14ac:dyDescent="0.25">
      <c r="A1206" s="175"/>
      <c r="B1206" s="176"/>
      <c r="C1206" s="176"/>
      <c r="D1206" s="1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157"/>
    </row>
    <row r="1207" spans="1:17" s="95" customFormat="1" x14ac:dyDescent="0.25">
      <c r="A1207" s="175"/>
      <c r="B1207" s="176"/>
      <c r="C1207" s="176"/>
      <c r="D1207" s="1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157"/>
    </row>
    <row r="1208" spans="1:17" s="95" customFormat="1" x14ac:dyDescent="0.25">
      <c r="A1208" s="175"/>
      <c r="B1208" s="176"/>
      <c r="C1208" s="176"/>
      <c r="D1208" s="1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157"/>
    </row>
    <row r="1209" spans="1:17" s="95" customFormat="1" x14ac:dyDescent="0.25">
      <c r="A1209" s="175"/>
      <c r="B1209" s="176"/>
      <c r="C1209" s="176"/>
      <c r="D1209" s="1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157"/>
    </row>
    <row r="1210" spans="1:17" s="95" customFormat="1" x14ac:dyDescent="0.25">
      <c r="A1210" s="175"/>
      <c r="B1210" s="176"/>
      <c r="C1210" s="176"/>
      <c r="D1210" s="1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157"/>
    </row>
    <row r="1211" spans="1:17" s="95" customFormat="1" x14ac:dyDescent="0.25">
      <c r="A1211" s="175"/>
      <c r="B1211" s="176"/>
      <c r="C1211" s="176"/>
      <c r="D1211" s="1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157"/>
    </row>
    <row r="1212" spans="1:17" s="95" customFormat="1" x14ac:dyDescent="0.25">
      <c r="A1212" s="175"/>
      <c r="B1212" s="176"/>
      <c r="C1212" s="176"/>
      <c r="D1212" s="1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157"/>
    </row>
    <row r="1213" spans="1:17" s="95" customFormat="1" x14ac:dyDescent="0.25">
      <c r="A1213" s="175"/>
      <c r="B1213" s="176"/>
      <c r="C1213" s="176"/>
      <c r="D1213" s="1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157"/>
    </row>
    <row r="1214" spans="1:17" s="95" customFormat="1" x14ac:dyDescent="0.25">
      <c r="A1214" s="175"/>
      <c r="B1214" s="176"/>
      <c r="C1214" s="176"/>
      <c r="D1214" s="1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157"/>
    </row>
    <row r="1215" spans="1:17" s="95" customFormat="1" x14ac:dyDescent="0.25">
      <c r="A1215" s="175"/>
      <c r="B1215" s="176"/>
      <c r="C1215" s="176"/>
      <c r="D1215" s="1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157"/>
    </row>
    <row r="1216" spans="1:17" s="95" customFormat="1" x14ac:dyDescent="0.25">
      <c r="A1216" s="175"/>
      <c r="B1216" s="176"/>
      <c r="C1216" s="176"/>
      <c r="D1216" s="1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157"/>
    </row>
    <row r="1217" spans="1:17" s="95" customFormat="1" x14ac:dyDescent="0.25">
      <c r="A1217" s="175"/>
      <c r="B1217" s="176"/>
      <c r="C1217" s="176"/>
      <c r="D1217" s="1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157"/>
    </row>
    <row r="1218" spans="1:17" s="95" customFormat="1" x14ac:dyDescent="0.25">
      <c r="A1218" s="175"/>
      <c r="B1218" s="176"/>
      <c r="C1218" s="176"/>
      <c r="D1218" s="1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157"/>
    </row>
    <row r="1219" spans="1:17" s="95" customFormat="1" x14ac:dyDescent="0.25">
      <c r="A1219" s="175"/>
      <c r="B1219" s="176"/>
      <c r="C1219" s="176"/>
      <c r="D1219" s="1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157"/>
    </row>
    <row r="1220" spans="1:17" s="95" customFormat="1" x14ac:dyDescent="0.25">
      <c r="A1220" s="175"/>
      <c r="B1220" s="176"/>
      <c r="C1220" s="176"/>
      <c r="D1220" s="1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157"/>
    </row>
    <row r="1221" spans="1:17" s="95" customFormat="1" x14ac:dyDescent="0.25">
      <c r="A1221" s="175"/>
      <c r="B1221" s="176"/>
      <c r="C1221" s="176"/>
      <c r="D1221" s="1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157"/>
    </row>
    <row r="1222" spans="1:17" s="95" customFormat="1" x14ac:dyDescent="0.25">
      <c r="A1222" s="175"/>
      <c r="B1222" s="176"/>
      <c r="C1222" s="176"/>
      <c r="D1222" s="1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157"/>
    </row>
    <row r="1223" spans="1:17" s="95" customFormat="1" x14ac:dyDescent="0.25">
      <c r="A1223" s="175"/>
      <c r="B1223" s="176"/>
      <c r="C1223" s="176"/>
      <c r="D1223" s="1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157"/>
    </row>
    <row r="1224" spans="1:17" s="95" customFormat="1" x14ac:dyDescent="0.25">
      <c r="A1224" s="175"/>
      <c r="B1224" s="176"/>
      <c r="C1224" s="176"/>
      <c r="D1224" s="1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157"/>
    </row>
    <row r="1225" spans="1:17" s="95" customFormat="1" x14ac:dyDescent="0.25">
      <c r="A1225" s="175"/>
      <c r="B1225" s="176"/>
      <c r="C1225" s="176"/>
      <c r="D1225" s="1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157"/>
    </row>
    <row r="1226" spans="1:17" s="95" customFormat="1" x14ac:dyDescent="0.25">
      <c r="A1226" s="175"/>
      <c r="B1226" s="176"/>
      <c r="C1226" s="176"/>
      <c r="D1226" s="1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157"/>
    </row>
    <row r="1227" spans="1:17" s="95" customFormat="1" x14ac:dyDescent="0.25">
      <c r="A1227" s="175"/>
      <c r="B1227" s="176"/>
      <c r="C1227" s="176"/>
      <c r="D1227" s="1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157"/>
    </row>
    <row r="1228" spans="1:17" s="95" customFormat="1" x14ac:dyDescent="0.25">
      <c r="A1228" s="175"/>
      <c r="B1228" s="176"/>
      <c r="C1228" s="176"/>
      <c r="D1228" s="1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157"/>
    </row>
    <row r="1229" spans="1:17" s="95" customFormat="1" x14ac:dyDescent="0.25">
      <c r="A1229" s="175"/>
      <c r="B1229" s="176"/>
      <c r="C1229" s="176"/>
      <c r="D1229" s="1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157"/>
    </row>
    <row r="1230" spans="1:17" s="95" customFormat="1" x14ac:dyDescent="0.25">
      <c r="A1230" s="175"/>
      <c r="B1230" s="176"/>
      <c r="C1230" s="176"/>
      <c r="D1230" s="1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157"/>
    </row>
    <row r="1231" spans="1:17" s="95" customFormat="1" x14ac:dyDescent="0.25">
      <c r="A1231" s="175"/>
      <c r="B1231" s="176"/>
      <c r="C1231" s="176"/>
      <c r="D1231" s="1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157"/>
    </row>
    <row r="1232" spans="1:17" s="95" customFormat="1" x14ac:dyDescent="0.25">
      <c r="A1232" s="175"/>
      <c r="B1232" s="176"/>
      <c r="C1232" s="176"/>
      <c r="D1232" s="1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157"/>
    </row>
    <row r="1233" spans="1:17" s="95" customFormat="1" x14ac:dyDescent="0.25">
      <c r="A1233" s="175"/>
      <c r="B1233" s="176"/>
      <c r="C1233" s="176"/>
      <c r="D1233" s="1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157"/>
    </row>
    <row r="1234" spans="1:17" s="95" customFormat="1" x14ac:dyDescent="0.25">
      <c r="A1234" s="175"/>
      <c r="B1234" s="176"/>
      <c r="C1234" s="176"/>
      <c r="D1234" s="1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157"/>
    </row>
    <row r="1235" spans="1:17" s="95" customFormat="1" x14ac:dyDescent="0.25">
      <c r="A1235" s="175"/>
      <c r="B1235" s="176"/>
      <c r="C1235" s="176"/>
      <c r="D1235" s="1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157"/>
    </row>
    <row r="1236" spans="1:17" s="95" customFormat="1" x14ac:dyDescent="0.25">
      <c r="A1236" s="175"/>
      <c r="B1236" s="176"/>
      <c r="C1236" s="176"/>
      <c r="D1236" s="1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157"/>
    </row>
    <row r="1237" spans="1:17" s="95" customFormat="1" x14ac:dyDescent="0.25">
      <c r="A1237" s="175"/>
      <c r="B1237" s="176"/>
      <c r="C1237" s="176"/>
      <c r="D1237" s="1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157"/>
    </row>
    <row r="1238" spans="1:17" s="95" customFormat="1" x14ac:dyDescent="0.25">
      <c r="A1238" s="175"/>
      <c r="B1238" s="176"/>
      <c r="C1238" s="176"/>
      <c r="D1238" s="1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157"/>
    </row>
    <row r="1239" spans="1:17" s="95" customFormat="1" x14ac:dyDescent="0.25">
      <c r="A1239" s="175"/>
      <c r="B1239" s="176"/>
      <c r="C1239" s="176"/>
      <c r="D1239" s="1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157"/>
    </row>
    <row r="1240" spans="1:17" s="95" customFormat="1" x14ac:dyDescent="0.25">
      <c r="A1240" s="175"/>
      <c r="B1240" s="176"/>
      <c r="C1240" s="176"/>
      <c r="D1240" s="1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157"/>
    </row>
    <row r="1241" spans="1:17" s="95" customFormat="1" x14ac:dyDescent="0.25">
      <c r="A1241" s="175"/>
      <c r="B1241" s="176"/>
      <c r="C1241" s="176"/>
      <c r="D1241" s="1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157"/>
    </row>
    <row r="1242" spans="1:17" s="95" customFormat="1" x14ac:dyDescent="0.25">
      <c r="A1242" s="175"/>
      <c r="B1242" s="176"/>
      <c r="C1242" s="176"/>
      <c r="D1242" s="1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157"/>
    </row>
    <row r="1243" spans="1:17" s="95" customFormat="1" x14ac:dyDescent="0.25">
      <c r="A1243" s="175"/>
      <c r="B1243" s="176"/>
      <c r="C1243" s="176"/>
      <c r="D1243" s="1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157"/>
    </row>
    <row r="1244" spans="1:17" s="95" customFormat="1" x14ac:dyDescent="0.25">
      <c r="A1244" s="175"/>
      <c r="B1244" s="176"/>
      <c r="C1244" s="176"/>
      <c r="D1244" s="1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157"/>
    </row>
    <row r="1245" spans="1:17" s="95" customFormat="1" x14ac:dyDescent="0.25">
      <c r="A1245" s="175"/>
      <c r="B1245" s="176"/>
      <c r="C1245" s="176"/>
      <c r="D1245" s="1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157"/>
    </row>
    <row r="1246" spans="1:17" s="95" customFormat="1" x14ac:dyDescent="0.25">
      <c r="A1246" s="175"/>
      <c r="B1246" s="176"/>
      <c r="C1246" s="176"/>
      <c r="D1246" s="1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157"/>
    </row>
    <row r="1247" spans="1:17" s="95" customFormat="1" x14ac:dyDescent="0.25">
      <c r="A1247" s="175"/>
      <c r="B1247" s="176"/>
      <c r="C1247" s="176"/>
      <c r="D1247" s="1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157"/>
    </row>
    <row r="1248" spans="1:17" s="95" customFormat="1" x14ac:dyDescent="0.25">
      <c r="A1248" s="175"/>
      <c r="B1248" s="176"/>
      <c r="C1248" s="176"/>
      <c r="D1248" s="1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157"/>
    </row>
    <row r="1249" spans="1:17" s="95" customFormat="1" x14ac:dyDescent="0.25">
      <c r="A1249" s="175"/>
      <c r="B1249" s="176"/>
      <c r="C1249" s="176"/>
      <c r="D1249" s="1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157"/>
    </row>
    <row r="1250" spans="1:17" s="95" customFormat="1" x14ac:dyDescent="0.25">
      <c r="A1250" s="175"/>
      <c r="B1250" s="176"/>
      <c r="C1250" s="176"/>
      <c r="D1250" s="1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157"/>
    </row>
    <row r="1251" spans="1:17" s="95" customFormat="1" x14ac:dyDescent="0.25">
      <c r="A1251" s="175"/>
      <c r="B1251" s="176"/>
      <c r="C1251" s="176"/>
      <c r="D1251" s="1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157"/>
    </row>
    <row r="1252" spans="1:17" s="95" customFormat="1" x14ac:dyDescent="0.25">
      <c r="A1252" s="175"/>
      <c r="B1252" s="176"/>
      <c r="C1252" s="176"/>
      <c r="D1252" s="1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157"/>
    </row>
    <row r="1253" spans="1:17" s="95" customFormat="1" x14ac:dyDescent="0.25">
      <c r="A1253" s="175"/>
      <c r="B1253" s="176"/>
      <c r="C1253" s="176"/>
      <c r="D1253" s="1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157"/>
    </row>
    <row r="1254" spans="1:17" s="95" customFormat="1" x14ac:dyDescent="0.25">
      <c r="A1254" s="175"/>
      <c r="B1254" s="176"/>
      <c r="C1254" s="176"/>
      <c r="D1254" s="1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157"/>
    </row>
    <row r="1255" spans="1:17" s="95" customFormat="1" x14ac:dyDescent="0.25">
      <c r="A1255" s="175"/>
      <c r="B1255" s="176"/>
      <c r="C1255" s="176"/>
      <c r="D1255" s="1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157"/>
    </row>
    <row r="1256" spans="1:17" s="95" customFormat="1" x14ac:dyDescent="0.25">
      <c r="A1256" s="175"/>
      <c r="B1256" s="176"/>
      <c r="C1256" s="176"/>
      <c r="D1256" s="1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157"/>
    </row>
    <row r="1257" spans="1:17" s="95" customFormat="1" x14ac:dyDescent="0.25">
      <c r="A1257" s="175"/>
      <c r="B1257" s="176"/>
      <c r="C1257" s="176"/>
      <c r="D1257" s="1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157"/>
    </row>
    <row r="1258" spans="1:17" s="95" customFormat="1" x14ac:dyDescent="0.25">
      <c r="A1258" s="175"/>
      <c r="B1258" s="176"/>
      <c r="C1258" s="176"/>
      <c r="D1258" s="1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157"/>
    </row>
    <row r="1259" spans="1:17" s="95" customFormat="1" x14ac:dyDescent="0.25">
      <c r="A1259" s="175"/>
      <c r="B1259" s="176"/>
      <c r="C1259" s="176"/>
      <c r="D1259" s="1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157"/>
    </row>
    <row r="1260" spans="1:17" s="95" customFormat="1" x14ac:dyDescent="0.25">
      <c r="A1260" s="175"/>
      <c r="B1260" s="176"/>
      <c r="C1260" s="176"/>
      <c r="D1260" s="1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157"/>
    </row>
    <row r="1261" spans="1:17" s="95" customFormat="1" x14ac:dyDescent="0.25">
      <c r="A1261" s="175"/>
      <c r="B1261" s="176"/>
      <c r="C1261" s="176"/>
      <c r="D1261" s="1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157"/>
    </row>
    <row r="1262" spans="1:17" s="95" customFormat="1" x14ac:dyDescent="0.25">
      <c r="A1262" s="175"/>
      <c r="B1262" s="176"/>
      <c r="C1262" s="176"/>
      <c r="D1262" s="1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157"/>
    </row>
    <row r="1263" spans="1:17" s="95" customFormat="1" x14ac:dyDescent="0.25">
      <c r="A1263" s="175"/>
      <c r="B1263" s="176"/>
      <c r="C1263" s="176"/>
      <c r="D1263" s="1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157"/>
    </row>
    <row r="1264" spans="1:17" s="95" customFormat="1" x14ac:dyDescent="0.25">
      <c r="A1264" s="175"/>
      <c r="B1264" s="176"/>
      <c r="C1264" s="176"/>
      <c r="D1264" s="1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157"/>
    </row>
    <row r="1265" spans="1:17" s="95" customFormat="1" x14ac:dyDescent="0.25">
      <c r="A1265" s="175"/>
      <c r="B1265" s="176"/>
      <c r="C1265" s="176"/>
      <c r="D1265" s="1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157"/>
    </row>
    <row r="1266" spans="1:17" s="95" customFormat="1" x14ac:dyDescent="0.25">
      <c r="A1266" s="175"/>
      <c r="B1266" s="176"/>
      <c r="C1266" s="176"/>
      <c r="D1266" s="1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157"/>
    </row>
    <row r="1267" spans="1:17" s="95" customFormat="1" x14ac:dyDescent="0.25">
      <c r="A1267" s="175"/>
      <c r="B1267" s="176"/>
      <c r="C1267" s="176"/>
      <c r="D1267" s="1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157"/>
    </row>
    <row r="1268" spans="1:17" s="95" customFormat="1" x14ac:dyDescent="0.25">
      <c r="A1268" s="175"/>
      <c r="B1268" s="176"/>
      <c r="C1268" s="176"/>
      <c r="D1268" s="1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157"/>
    </row>
    <row r="1269" spans="1:17" s="95" customFormat="1" x14ac:dyDescent="0.25">
      <c r="A1269" s="175"/>
      <c r="B1269" s="176"/>
      <c r="C1269" s="176"/>
      <c r="D1269" s="1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157"/>
    </row>
    <row r="1270" spans="1:17" s="95" customFormat="1" x14ac:dyDescent="0.25">
      <c r="A1270" s="175"/>
      <c r="B1270" s="176"/>
      <c r="C1270" s="176"/>
      <c r="D1270" s="1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157"/>
    </row>
    <row r="1271" spans="1:17" s="95" customFormat="1" x14ac:dyDescent="0.25">
      <c r="A1271" s="175"/>
      <c r="B1271" s="176"/>
      <c r="C1271" s="176"/>
      <c r="D1271" s="1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157"/>
    </row>
    <row r="1272" spans="1:17" s="95" customFormat="1" x14ac:dyDescent="0.25">
      <c r="A1272" s="175"/>
      <c r="B1272" s="176"/>
      <c r="C1272" s="176"/>
      <c r="D1272" s="1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157"/>
    </row>
    <row r="1273" spans="1:17" s="95" customFormat="1" x14ac:dyDescent="0.25">
      <c r="A1273" s="175"/>
      <c r="B1273" s="176"/>
      <c r="C1273" s="176"/>
      <c r="D1273" s="1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157"/>
    </row>
    <row r="1274" spans="1:17" s="95" customFormat="1" x14ac:dyDescent="0.25">
      <c r="A1274" s="175"/>
      <c r="B1274" s="176"/>
      <c r="C1274" s="176"/>
      <c r="D1274" s="1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157"/>
    </row>
    <row r="1275" spans="1:17" s="95" customFormat="1" x14ac:dyDescent="0.25">
      <c r="A1275" s="175"/>
      <c r="B1275" s="176"/>
      <c r="C1275" s="176"/>
      <c r="D1275" s="1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157"/>
    </row>
    <row r="1276" spans="1:17" s="95" customFormat="1" x14ac:dyDescent="0.25">
      <c r="A1276" s="175"/>
      <c r="B1276" s="176"/>
      <c r="C1276" s="176"/>
      <c r="D1276" s="1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157"/>
    </row>
    <row r="1277" spans="1:17" s="95" customFormat="1" x14ac:dyDescent="0.25">
      <c r="A1277" s="175"/>
      <c r="B1277" s="176"/>
      <c r="C1277" s="176"/>
      <c r="D1277" s="1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157"/>
    </row>
    <row r="1278" spans="1:17" s="95" customFormat="1" x14ac:dyDescent="0.25">
      <c r="A1278" s="175"/>
      <c r="B1278" s="176"/>
      <c r="C1278" s="176"/>
      <c r="D1278" s="1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157"/>
    </row>
    <row r="1279" spans="1:17" s="95" customFormat="1" x14ac:dyDescent="0.25">
      <c r="A1279" s="175"/>
      <c r="B1279" s="176"/>
      <c r="C1279" s="176"/>
      <c r="D1279" s="1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157"/>
    </row>
    <row r="1280" spans="1:17" s="95" customFormat="1" x14ac:dyDescent="0.25">
      <c r="A1280" s="175"/>
      <c r="B1280" s="176"/>
      <c r="C1280" s="176"/>
      <c r="D1280" s="1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157"/>
    </row>
    <row r="1281" spans="1:17" s="95" customFormat="1" x14ac:dyDescent="0.25">
      <c r="A1281" s="175"/>
      <c r="B1281" s="176"/>
      <c r="C1281" s="176"/>
      <c r="D1281" s="1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157"/>
    </row>
    <row r="1282" spans="1:17" s="95" customFormat="1" x14ac:dyDescent="0.25">
      <c r="A1282" s="175"/>
      <c r="B1282" s="176"/>
      <c r="C1282" s="176"/>
      <c r="D1282" s="1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157"/>
    </row>
    <row r="1283" spans="1:17" s="95" customFormat="1" x14ac:dyDescent="0.25">
      <c r="A1283" s="175"/>
      <c r="B1283" s="176"/>
      <c r="C1283" s="176"/>
      <c r="D1283" s="1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157"/>
    </row>
    <row r="1284" spans="1:17" s="95" customFormat="1" x14ac:dyDescent="0.25">
      <c r="A1284" s="175"/>
      <c r="B1284" s="176"/>
      <c r="C1284" s="176"/>
      <c r="D1284" s="1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157"/>
    </row>
    <row r="1285" spans="1:17" s="95" customFormat="1" x14ac:dyDescent="0.25">
      <c r="A1285" s="175"/>
      <c r="B1285" s="176"/>
      <c r="C1285" s="176"/>
      <c r="D1285" s="1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157"/>
    </row>
    <row r="1286" spans="1:17" s="95" customFormat="1" x14ac:dyDescent="0.25">
      <c r="A1286" s="175"/>
      <c r="B1286" s="176"/>
      <c r="C1286" s="176"/>
      <c r="D1286" s="1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157"/>
    </row>
    <row r="1287" spans="1:17" s="95" customFormat="1" x14ac:dyDescent="0.25">
      <c r="A1287" s="175"/>
      <c r="B1287" s="176"/>
      <c r="C1287" s="176"/>
      <c r="D1287" s="1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157"/>
    </row>
    <row r="1288" spans="1:17" s="95" customFormat="1" x14ac:dyDescent="0.25">
      <c r="A1288" s="175"/>
      <c r="B1288" s="176"/>
      <c r="C1288" s="176"/>
      <c r="D1288" s="1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157"/>
    </row>
    <row r="1289" spans="1:17" s="95" customFormat="1" x14ac:dyDescent="0.25">
      <c r="A1289" s="175"/>
      <c r="B1289" s="176"/>
      <c r="C1289" s="176"/>
      <c r="D1289" s="1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157"/>
    </row>
    <row r="1290" spans="1:17" s="95" customFormat="1" x14ac:dyDescent="0.25">
      <c r="A1290" s="175"/>
      <c r="B1290" s="176"/>
      <c r="C1290" s="176"/>
      <c r="D1290" s="1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157"/>
    </row>
    <row r="1291" spans="1:17" s="95" customFormat="1" x14ac:dyDescent="0.25">
      <c r="A1291" s="175"/>
      <c r="B1291" s="176"/>
      <c r="C1291" s="176"/>
      <c r="D1291" s="1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157"/>
    </row>
    <row r="1292" spans="1:17" s="95" customFormat="1" x14ac:dyDescent="0.25">
      <c r="A1292" s="175"/>
      <c r="B1292" s="176"/>
      <c r="C1292" s="176"/>
      <c r="D1292" s="1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157"/>
    </row>
    <row r="1293" spans="1:17" s="95" customFormat="1" x14ac:dyDescent="0.25">
      <c r="A1293" s="175"/>
      <c r="B1293" s="176"/>
      <c r="C1293" s="176"/>
      <c r="D1293" s="1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157"/>
    </row>
    <row r="1294" spans="1:17" s="95" customFormat="1" x14ac:dyDescent="0.25">
      <c r="A1294" s="175"/>
      <c r="B1294" s="176"/>
      <c r="C1294" s="176"/>
      <c r="D1294" s="1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157"/>
    </row>
    <row r="1295" spans="1:17" s="95" customFormat="1" x14ac:dyDescent="0.25">
      <c r="A1295" s="175"/>
      <c r="B1295" s="176"/>
      <c r="C1295" s="176"/>
      <c r="D1295" s="1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157"/>
    </row>
    <row r="1296" spans="1:17" s="95" customFormat="1" x14ac:dyDescent="0.25">
      <c r="A1296" s="175"/>
      <c r="B1296" s="176"/>
      <c r="C1296" s="176"/>
      <c r="D1296" s="1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157"/>
    </row>
    <row r="1297" spans="1:17" s="95" customFormat="1" x14ac:dyDescent="0.25">
      <c r="A1297" s="175"/>
      <c r="B1297" s="176"/>
      <c r="C1297" s="176"/>
      <c r="D1297" s="1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157"/>
    </row>
    <row r="1298" spans="1:17" s="95" customFormat="1" x14ac:dyDescent="0.25">
      <c r="A1298" s="175"/>
      <c r="B1298" s="176"/>
      <c r="C1298" s="176"/>
      <c r="D1298" s="1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157"/>
    </row>
    <row r="1299" spans="1:17" s="95" customFormat="1" x14ac:dyDescent="0.25">
      <c r="A1299" s="175"/>
      <c r="B1299" s="176"/>
      <c r="C1299" s="176"/>
      <c r="D1299" s="1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157"/>
    </row>
    <row r="1300" spans="1:17" s="95" customFormat="1" x14ac:dyDescent="0.25">
      <c r="A1300" s="175"/>
      <c r="B1300" s="176"/>
      <c r="C1300" s="176"/>
      <c r="D1300" s="1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157"/>
    </row>
    <row r="1301" spans="1:17" s="95" customFormat="1" x14ac:dyDescent="0.25">
      <c r="A1301" s="175"/>
      <c r="B1301" s="176"/>
      <c r="C1301" s="176"/>
      <c r="D1301" s="1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157"/>
    </row>
    <row r="1302" spans="1:17" s="95" customFormat="1" x14ac:dyDescent="0.25">
      <c r="A1302" s="175"/>
      <c r="B1302" s="176"/>
      <c r="C1302" s="176"/>
      <c r="D1302" s="1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157"/>
    </row>
    <row r="1303" spans="1:17" s="95" customFormat="1" x14ac:dyDescent="0.25">
      <c r="A1303" s="175"/>
      <c r="B1303" s="176"/>
      <c r="C1303" s="176"/>
      <c r="D1303" s="1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157"/>
    </row>
    <row r="1304" spans="1:17" s="95" customFormat="1" x14ac:dyDescent="0.25">
      <c r="A1304" s="175"/>
      <c r="B1304" s="176"/>
      <c r="C1304" s="176"/>
      <c r="D1304" s="1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157"/>
    </row>
    <row r="1305" spans="1:17" s="95" customFormat="1" x14ac:dyDescent="0.25">
      <c r="A1305" s="175"/>
      <c r="B1305" s="176"/>
      <c r="C1305" s="176"/>
      <c r="D1305" s="1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157"/>
    </row>
    <row r="1306" spans="1:17" s="95" customFormat="1" x14ac:dyDescent="0.25">
      <c r="A1306" s="175"/>
      <c r="B1306" s="176"/>
      <c r="C1306" s="176"/>
      <c r="D1306" s="1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157"/>
    </row>
    <row r="1307" spans="1:17" s="95" customFormat="1" x14ac:dyDescent="0.25">
      <c r="A1307" s="175"/>
      <c r="B1307" s="176"/>
      <c r="C1307" s="176"/>
      <c r="D1307" s="1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157"/>
    </row>
    <row r="1308" spans="1:17" s="95" customFormat="1" x14ac:dyDescent="0.25">
      <c r="A1308" s="175"/>
      <c r="B1308" s="176"/>
      <c r="C1308" s="176"/>
      <c r="D1308" s="1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157"/>
    </row>
    <row r="1309" spans="1:17" s="95" customFormat="1" x14ac:dyDescent="0.25">
      <c r="A1309" s="175"/>
      <c r="B1309" s="176"/>
      <c r="C1309" s="176"/>
      <c r="D1309" s="1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157"/>
    </row>
    <row r="1310" spans="1:17" s="95" customFormat="1" x14ac:dyDescent="0.25">
      <c r="A1310" s="175"/>
      <c r="B1310" s="176"/>
      <c r="C1310" s="176"/>
      <c r="D1310" s="1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157"/>
    </row>
    <row r="1311" spans="1:17" s="95" customFormat="1" x14ac:dyDescent="0.25">
      <c r="A1311" s="175"/>
      <c r="B1311" s="176"/>
      <c r="C1311" s="176"/>
      <c r="D1311" s="1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157"/>
    </row>
    <row r="1312" spans="1:17" s="95" customFormat="1" x14ac:dyDescent="0.25">
      <c r="A1312" s="175"/>
      <c r="B1312" s="176"/>
      <c r="C1312" s="176"/>
      <c r="D1312" s="1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157"/>
    </row>
    <row r="1313" spans="1:17" s="95" customFormat="1" x14ac:dyDescent="0.25">
      <c r="A1313" s="175"/>
      <c r="B1313" s="176"/>
      <c r="C1313" s="176"/>
      <c r="D1313" s="1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157"/>
    </row>
    <row r="1314" spans="1:17" s="95" customFormat="1" x14ac:dyDescent="0.25">
      <c r="A1314" s="175"/>
      <c r="B1314" s="176"/>
      <c r="C1314" s="176"/>
      <c r="D1314" s="1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157"/>
    </row>
    <row r="1315" spans="1:17" s="95" customFormat="1" x14ac:dyDescent="0.25">
      <c r="A1315" s="175"/>
      <c r="B1315" s="176"/>
      <c r="C1315" s="176"/>
      <c r="D1315" s="1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157"/>
    </row>
    <row r="1316" spans="1:17" s="95" customFormat="1" x14ac:dyDescent="0.25">
      <c r="A1316" s="175"/>
      <c r="B1316" s="176"/>
      <c r="C1316" s="176"/>
      <c r="D1316" s="1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157"/>
    </row>
    <row r="1317" spans="1:17" s="95" customFormat="1" x14ac:dyDescent="0.25">
      <c r="A1317" s="175"/>
      <c r="B1317" s="176"/>
      <c r="C1317" s="176"/>
      <c r="D1317" s="1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157"/>
    </row>
    <row r="1318" spans="1:17" s="95" customFormat="1" x14ac:dyDescent="0.25">
      <c r="A1318" s="175"/>
      <c r="B1318" s="176"/>
      <c r="C1318" s="176"/>
      <c r="D1318" s="1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157"/>
    </row>
    <row r="1319" spans="1:17" s="95" customFormat="1" x14ac:dyDescent="0.25">
      <c r="A1319" s="175"/>
      <c r="B1319" s="176"/>
      <c r="C1319" s="176"/>
      <c r="D1319" s="1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157"/>
    </row>
    <row r="1320" spans="1:17" s="95" customFormat="1" x14ac:dyDescent="0.25">
      <c r="A1320" s="175"/>
      <c r="B1320" s="176"/>
      <c r="C1320" s="176"/>
      <c r="D1320" s="1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157"/>
    </row>
    <row r="1321" spans="1:17" s="95" customFormat="1" x14ac:dyDescent="0.25">
      <c r="A1321" s="175"/>
      <c r="B1321" s="176"/>
      <c r="C1321" s="176"/>
      <c r="D1321" s="1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157"/>
    </row>
    <row r="1322" spans="1:17" s="95" customFormat="1" x14ac:dyDescent="0.25">
      <c r="A1322" s="175"/>
      <c r="B1322" s="176"/>
      <c r="C1322" s="176"/>
      <c r="D1322" s="1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157"/>
    </row>
    <row r="1323" spans="1:17" s="95" customFormat="1" x14ac:dyDescent="0.25">
      <c r="A1323" s="175"/>
      <c r="B1323" s="176"/>
      <c r="C1323" s="176"/>
      <c r="D1323" s="1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157"/>
    </row>
    <row r="1324" spans="1:17" s="95" customFormat="1" x14ac:dyDescent="0.25">
      <c r="A1324" s="175"/>
      <c r="B1324" s="176"/>
      <c r="C1324" s="176"/>
      <c r="D1324" s="1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157"/>
    </row>
    <row r="1325" spans="1:17" s="95" customFormat="1" x14ac:dyDescent="0.25">
      <c r="A1325" s="175"/>
      <c r="B1325" s="176"/>
      <c r="C1325" s="176"/>
      <c r="D1325" s="1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157"/>
    </row>
    <row r="1326" spans="1:17" s="95" customFormat="1" x14ac:dyDescent="0.25">
      <c r="A1326" s="175"/>
      <c r="B1326" s="176"/>
      <c r="C1326" s="176"/>
      <c r="D1326" s="1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157"/>
    </row>
    <row r="1327" spans="1:17" s="95" customFormat="1" x14ac:dyDescent="0.25">
      <c r="A1327" s="175"/>
      <c r="B1327" s="176"/>
      <c r="C1327" s="176"/>
      <c r="D1327" s="1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157"/>
    </row>
    <row r="1328" spans="1:17" s="95" customFormat="1" x14ac:dyDescent="0.25">
      <c r="A1328" s="175"/>
      <c r="B1328" s="176"/>
      <c r="C1328" s="176"/>
      <c r="D1328" s="1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157"/>
    </row>
    <row r="1329" spans="1:17" s="95" customFormat="1" x14ac:dyDescent="0.25">
      <c r="A1329" s="175"/>
      <c r="B1329" s="176"/>
      <c r="C1329" s="176"/>
      <c r="D1329" s="1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157"/>
    </row>
    <row r="1330" spans="1:17" s="95" customFormat="1" x14ac:dyDescent="0.25">
      <c r="A1330" s="175"/>
      <c r="B1330" s="176"/>
      <c r="C1330" s="176"/>
      <c r="D1330" s="1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157"/>
    </row>
    <row r="1331" spans="1:17" s="95" customFormat="1" x14ac:dyDescent="0.25">
      <c r="A1331" s="175"/>
      <c r="B1331" s="176"/>
      <c r="C1331" s="176"/>
      <c r="D1331" s="1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157"/>
    </row>
    <row r="1332" spans="1:17" s="95" customFormat="1" x14ac:dyDescent="0.25">
      <c r="A1332" s="175"/>
      <c r="B1332" s="176"/>
      <c r="C1332" s="176"/>
      <c r="D1332" s="1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157"/>
    </row>
    <row r="1333" spans="1:17" s="95" customFormat="1" x14ac:dyDescent="0.25">
      <c r="A1333" s="175"/>
      <c r="B1333" s="176"/>
      <c r="C1333" s="176"/>
      <c r="D1333" s="1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157"/>
    </row>
    <row r="1334" spans="1:17" s="95" customFormat="1" x14ac:dyDescent="0.25">
      <c r="A1334" s="175"/>
      <c r="B1334" s="176"/>
      <c r="C1334" s="176"/>
      <c r="D1334" s="1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157"/>
    </row>
    <row r="1335" spans="1:17" s="95" customFormat="1" x14ac:dyDescent="0.25">
      <c r="A1335" s="175"/>
      <c r="B1335" s="176"/>
      <c r="C1335" s="176"/>
      <c r="D1335" s="1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157"/>
    </row>
    <row r="1336" spans="1:17" s="95" customFormat="1" x14ac:dyDescent="0.25">
      <c r="A1336" s="175"/>
      <c r="B1336" s="176"/>
      <c r="C1336" s="176"/>
      <c r="D1336" s="1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157"/>
    </row>
    <row r="1337" spans="1:17" s="95" customFormat="1" x14ac:dyDescent="0.25">
      <c r="A1337" s="175"/>
      <c r="B1337" s="176"/>
      <c r="C1337" s="176"/>
      <c r="D1337" s="1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157"/>
    </row>
    <row r="1338" spans="1:17" s="95" customFormat="1" x14ac:dyDescent="0.25">
      <c r="A1338" s="175"/>
      <c r="B1338" s="176"/>
      <c r="C1338" s="176"/>
      <c r="D1338" s="1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157"/>
    </row>
    <row r="1339" spans="1:17" s="95" customFormat="1" x14ac:dyDescent="0.25">
      <c r="A1339" s="175"/>
      <c r="B1339" s="176"/>
      <c r="C1339" s="176"/>
      <c r="D1339" s="1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157"/>
    </row>
    <row r="1340" spans="1:17" s="95" customFormat="1" x14ac:dyDescent="0.25">
      <c r="A1340" s="175"/>
      <c r="B1340" s="176"/>
      <c r="C1340" s="176"/>
      <c r="D1340" s="1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157"/>
    </row>
    <row r="1341" spans="1:17" s="95" customFormat="1" x14ac:dyDescent="0.25">
      <c r="A1341" s="175"/>
      <c r="B1341" s="176"/>
      <c r="C1341" s="176"/>
      <c r="D1341" s="1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157"/>
    </row>
    <row r="1342" spans="1:17" s="95" customFormat="1" x14ac:dyDescent="0.25">
      <c r="A1342" s="175"/>
      <c r="B1342" s="176"/>
      <c r="C1342" s="176"/>
      <c r="D1342" s="1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157"/>
    </row>
    <row r="1343" spans="1:17" s="95" customFormat="1" x14ac:dyDescent="0.25">
      <c r="A1343" s="175"/>
      <c r="B1343" s="176"/>
      <c r="C1343" s="176"/>
      <c r="D1343" s="1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157"/>
    </row>
    <row r="1344" spans="1:17" s="95" customFormat="1" x14ac:dyDescent="0.25">
      <c r="A1344" s="175"/>
      <c r="B1344" s="176"/>
      <c r="C1344" s="176"/>
      <c r="D1344" s="1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157"/>
    </row>
    <row r="1345" spans="1:17" s="95" customFormat="1" x14ac:dyDescent="0.25">
      <c r="A1345" s="175"/>
      <c r="B1345" s="176"/>
      <c r="C1345" s="176"/>
      <c r="D1345" s="1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157"/>
    </row>
    <row r="1346" spans="1:17" s="95" customFormat="1" x14ac:dyDescent="0.25">
      <c r="A1346" s="175"/>
      <c r="B1346" s="176"/>
      <c r="C1346" s="176"/>
      <c r="D1346" s="1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157"/>
    </row>
    <row r="1347" spans="1:17" s="95" customFormat="1" x14ac:dyDescent="0.25">
      <c r="A1347" s="175"/>
      <c r="B1347" s="176"/>
      <c r="C1347" s="176"/>
      <c r="D1347" s="1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157"/>
    </row>
    <row r="1348" spans="1:17" s="95" customFormat="1" x14ac:dyDescent="0.25">
      <c r="A1348" s="175"/>
      <c r="B1348" s="176"/>
      <c r="C1348" s="176"/>
      <c r="D1348" s="1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157"/>
    </row>
    <row r="1349" spans="1:17" s="95" customFormat="1" x14ac:dyDescent="0.25">
      <c r="A1349" s="175"/>
      <c r="B1349" s="176"/>
      <c r="C1349" s="176"/>
      <c r="D1349" s="1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157"/>
    </row>
    <row r="1350" spans="1:17" s="95" customFormat="1" x14ac:dyDescent="0.25">
      <c r="A1350" s="175"/>
      <c r="B1350" s="176"/>
      <c r="C1350" s="176"/>
      <c r="D1350" s="1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157"/>
    </row>
    <row r="1351" spans="1:17" s="95" customFormat="1" x14ac:dyDescent="0.25">
      <c r="A1351" s="175"/>
      <c r="B1351" s="176"/>
      <c r="C1351" s="176"/>
      <c r="D1351" s="1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157"/>
    </row>
    <row r="1352" spans="1:17" s="95" customFormat="1" x14ac:dyDescent="0.25">
      <c r="A1352" s="175"/>
      <c r="B1352" s="176"/>
      <c r="C1352" s="176"/>
      <c r="D1352" s="1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157"/>
    </row>
    <row r="1353" spans="1:17" s="95" customFormat="1" x14ac:dyDescent="0.25">
      <c r="A1353" s="175"/>
      <c r="B1353" s="176"/>
      <c r="C1353" s="176"/>
      <c r="D1353" s="1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157"/>
    </row>
    <row r="1354" spans="1:17" s="95" customFormat="1" x14ac:dyDescent="0.25">
      <c r="A1354" s="175"/>
      <c r="B1354" s="176"/>
      <c r="C1354" s="176"/>
      <c r="D1354" s="1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157"/>
    </row>
    <row r="1355" spans="1:17" s="95" customFormat="1" x14ac:dyDescent="0.25">
      <c r="A1355" s="175"/>
      <c r="B1355" s="176"/>
      <c r="C1355" s="176"/>
      <c r="D1355" s="1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157"/>
    </row>
    <row r="1356" spans="1:17" s="95" customFormat="1" x14ac:dyDescent="0.25">
      <c r="A1356" s="175"/>
      <c r="B1356" s="176"/>
      <c r="C1356" s="176"/>
      <c r="D1356" s="1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157"/>
    </row>
    <row r="1357" spans="1:17" s="95" customFormat="1" x14ac:dyDescent="0.25">
      <c r="A1357" s="175"/>
      <c r="B1357" s="176"/>
      <c r="C1357" s="176"/>
      <c r="D1357" s="1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157"/>
    </row>
    <row r="1358" spans="1:17" s="95" customFormat="1" x14ac:dyDescent="0.25">
      <c r="A1358" s="175"/>
      <c r="B1358" s="176"/>
      <c r="C1358" s="176"/>
      <c r="D1358" s="1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157"/>
    </row>
    <row r="1359" spans="1:17" s="95" customFormat="1" x14ac:dyDescent="0.25">
      <c r="A1359" s="175"/>
      <c r="B1359" s="176"/>
      <c r="C1359" s="176"/>
      <c r="D1359" s="1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157"/>
    </row>
    <row r="1360" spans="1:17" s="95" customFormat="1" x14ac:dyDescent="0.25">
      <c r="A1360" s="175"/>
      <c r="B1360" s="176"/>
      <c r="C1360" s="176"/>
      <c r="D1360" s="1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157"/>
    </row>
    <row r="1361" spans="1:17" s="95" customFormat="1" x14ac:dyDescent="0.25">
      <c r="A1361" s="175"/>
      <c r="B1361" s="176"/>
      <c r="C1361" s="176"/>
      <c r="D1361" s="1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157"/>
    </row>
    <row r="1362" spans="1:17" s="95" customFormat="1" x14ac:dyDescent="0.25">
      <c r="A1362" s="175"/>
      <c r="B1362" s="176"/>
      <c r="C1362" s="176"/>
      <c r="D1362" s="1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157"/>
    </row>
    <row r="1363" spans="1:17" s="95" customFormat="1" x14ac:dyDescent="0.25">
      <c r="A1363" s="175"/>
      <c r="B1363" s="176"/>
      <c r="C1363" s="176"/>
      <c r="D1363" s="1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157"/>
    </row>
    <row r="1364" spans="1:17" s="95" customFormat="1" x14ac:dyDescent="0.25">
      <c r="A1364" s="175"/>
      <c r="B1364" s="176"/>
      <c r="C1364" s="176"/>
      <c r="D1364" s="1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157"/>
    </row>
    <row r="1365" spans="1:17" s="95" customFormat="1" x14ac:dyDescent="0.25">
      <c r="A1365" s="175"/>
      <c r="B1365" s="176"/>
      <c r="C1365" s="176"/>
      <c r="D1365" s="1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157"/>
    </row>
    <row r="1366" spans="1:17" s="95" customFormat="1" x14ac:dyDescent="0.25">
      <c r="A1366" s="175"/>
      <c r="B1366" s="176"/>
      <c r="C1366" s="176"/>
      <c r="D1366" s="1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157"/>
    </row>
    <row r="1367" spans="1:17" s="95" customFormat="1" x14ac:dyDescent="0.25">
      <c r="A1367" s="175"/>
      <c r="B1367" s="176"/>
      <c r="C1367" s="176"/>
      <c r="D1367" s="1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157"/>
    </row>
    <row r="1368" spans="1:17" s="95" customFormat="1" x14ac:dyDescent="0.25">
      <c r="A1368" s="175"/>
      <c r="B1368" s="176"/>
      <c r="C1368" s="176"/>
      <c r="D1368" s="1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157"/>
    </row>
    <row r="1369" spans="1:17" s="95" customFormat="1" x14ac:dyDescent="0.25">
      <c r="A1369" s="175"/>
      <c r="B1369" s="176"/>
      <c r="C1369" s="176"/>
      <c r="D1369" s="1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157"/>
    </row>
    <row r="1370" spans="1:17" s="95" customFormat="1" x14ac:dyDescent="0.25">
      <c r="A1370" s="175"/>
      <c r="B1370" s="176"/>
      <c r="C1370" s="176"/>
      <c r="D1370" s="1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157"/>
    </row>
    <row r="1371" spans="1:17" s="95" customFormat="1" x14ac:dyDescent="0.25">
      <c r="A1371" s="175"/>
      <c r="B1371" s="176"/>
      <c r="C1371" s="176"/>
      <c r="D1371" s="1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157"/>
    </row>
    <row r="1372" spans="1:17" s="95" customFormat="1" x14ac:dyDescent="0.25">
      <c r="A1372" s="175"/>
      <c r="B1372" s="176"/>
      <c r="C1372" s="176"/>
      <c r="D1372" s="1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157"/>
    </row>
    <row r="1373" spans="1:17" s="95" customFormat="1" x14ac:dyDescent="0.25">
      <c r="A1373" s="175"/>
      <c r="B1373" s="176"/>
      <c r="C1373" s="176"/>
      <c r="D1373" s="1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157"/>
    </row>
    <row r="1374" spans="1:17" s="95" customFormat="1" x14ac:dyDescent="0.25">
      <c r="A1374" s="175"/>
      <c r="B1374" s="176"/>
      <c r="C1374" s="176"/>
      <c r="D1374" s="1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157"/>
    </row>
    <row r="1375" spans="1:17" s="95" customFormat="1" x14ac:dyDescent="0.25">
      <c r="A1375" s="175"/>
      <c r="B1375" s="176"/>
      <c r="C1375" s="176"/>
      <c r="D1375" s="1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157"/>
    </row>
    <row r="1376" spans="1:17" s="95" customFormat="1" x14ac:dyDescent="0.25">
      <c r="A1376" s="175"/>
      <c r="B1376" s="176"/>
      <c r="C1376" s="176"/>
      <c r="D1376" s="1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157"/>
    </row>
    <row r="1377" spans="1:17" s="95" customFormat="1" x14ac:dyDescent="0.25">
      <c r="A1377" s="175"/>
      <c r="B1377" s="176"/>
      <c r="C1377" s="176"/>
      <c r="D1377" s="1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157"/>
    </row>
    <row r="1378" spans="1:17" s="95" customFormat="1" x14ac:dyDescent="0.25">
      <c r="A1378" s="175"/>
      <c r="B1378" s="176"/>
      <c r="C1378" s="176"/>
      <c r="D1378" s="1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157"/>
    </row>
    <row r="1379" spans="1:17" s="95" customFormat="1" x14ac:dyDescent="0.25">
      <c r="A1379" s="175"/>
      <c r="B1379" s="176"/>
      <c r="C1379" s="176"/>
      <c r="D1379" s="1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157"/>
    </row>
    <row r="1380" spans="1:17" s="95" customFormat="1" x14ac:dyDescent="0.25">
      <c r="A1380" s="175"/>
      <c r="B1380" s="176"/>
      <c r="C1380" s="176"/>
      <c r="D1380" s="1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157"/>
    </row>
    <row r="1381" spans="1:17" s="95" customFormat="1" x14ac:dyDescent="0.25">
      <c r="A1381" s="175"/>
      <c r="B1381" s="176"/>
      <c r="C1381" s="176"/>
      <c r="D1381" s="1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157"/>
    </row>
    <row r="1382" spans="1:17" s="95" customFormat="1" x14ac:dyDescent="0.25">
      <c r="A1382" s="175"/>
      <c r="B1382" s="176"/>
      <c r="C1382" s="176"/>
      <c r="D1382" s="1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157"/>
    </row>
    <row r="1383" spans="1:17" s="95" customFormat="1" x14ac:dyDescent="0.25">
      <c r="A1383" s="175"/>
      <c r="B1383" s="176"/>
      <c r="C1383" s="176"/>
      <c r="D1383" s="1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157"/>
    </row>
    <row r="1384" spans="1:17" s="95" customFormat="1" x14ac:dyDescent="0.25">
      <c r="A1384" s="175"/>
      <c r="B1384" s="176"/>
      <c r="C1384" s="176"/>
      <c r="D1384" s="1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157"/>
    </row>
    <row r="1385" spans="1:17" s="95" customFormat="1" x14ac:dyDescent="0.25">
      <c r="A1385" s="175"/>
      <c r="B1385" s="176"/>
      <c r="C1385" s="176"/>
      <c r="D1385" s="1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157"/>
    </row>
    <row r="1386" spans="1:17" s="95" customFormat="1" x14ac:dyDescent="0.25">
      <c r="A1386" s="175"/>
      <c r="B1386" s="176"/>
      <c r="C1386" s="176"/>
      <c r="D1386" s="1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157"/>
    </row>
    <row r="1387" spans="1:17" s="95" customFormat="1" x14ac:dyDescent="0.25">
      <c r="A1387" s="175"/>
      <c r="B1387" s="176"/>
      <c r="C1387" s="176"/>
      <c r="D1387" s="1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157"/>
    </row>
    <row r="1388" spans="1:17" s="95" customFormat="1" x14ac:dyDescent="0.25">
      <c r="A1388" s="175"/>
      <c r="B1388" s="176"/>
      <c r="C1388" s="176"/>
      <c r="D1388" s="1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157"/>
    </row>
    <row r="1389" spans="1:17" s="95" customFormat="1" x14ac:dyDescent="0.25">
      <c r="A1389" s="175"/>
      <c r="B1389" s="176"/>
      <c r="C1389" s="176"/>
      <c r="D1389" s="1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157"/>
    </row>
    <row r="1390" spans="1:17" s="95" customFormat="1" x14ac:dyDescent="0.25">
      <c r="A1390" s="175"/>
      <c r="B1390" s="176"/>
      <c r="C1390" s="176"/>
      <c r="D1390" s="1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157"/>
    </row>
    <row r="1391" spans="1:17" s="95" customFormat="1" x14ac:dyDescent="0.25">
      <c r="A1391" s="175"/>
      <c r="B1391" s="176"/>
      <c r="C1391" s="176"/>
      <c r="D1391" s="1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157"/>
    </row>
    <row r="1392" spans="1:17" s="95" customFormat="1" x14ac:dyDescent="0.25">
      <c r="A1392" s="175"/>
      <c r="B1392" s="176"/>
      <c r="C1392" s="176"/>
      <c r="D1392" s="1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157"/>
    </row>
    <row r="1393" spans="1:17" s="95" customFormat="1" x14ac:dyDescent="0.25">
      <c r="A1393" s="175"/>
      <c r="B1393" s="176"/>
      <c r="C1393" s="176"/>
      <c r="D1393" s="1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157"/>
    </row>
    <row r="1394" spans="1:17" s="95" customFormat="1" x14ac:dyDescent="0.25">
      <c r="A1394" s="175"/>
      <c r="B1394" s="176"/>
      <c r="C1394" s="176"/>
      <c r="D1394" s="1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157"/>
    </row>
    <row r="1395" spans="1:17" s="95" customFormat="1" x14ac:dyDescent="0.25">
      <c r="A1395" s="175"/>
      <c r="B1395" s="176"/>
      <c r="C1395" s="176"/>
      <c r="D1395" s="1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157"/>
    </row>
    <row r="1396" spans="1:17" s="95" customFormat="1" x14ac:dyDescent="0.25">
      <c r="A1396" s="175"/>
      <c r="B1396" s="176"/>
      <c r="C1396" s="176"/>
      <c r="D1396" s="1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157"/>
    </row>
    <row r="1397" spans="1:17" s="95" customFormat="1" x14ac:dyDescent="0.25">
      <c r="A1397" s="175"/>
      <c r="B1397" s="176"/>
      <c r="C1397" s="176"/>
      <c r="D1397" s="1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157"/>
    </row>
    <row r="1398" spans="1:17" s="95" customFormat="1" x14ac:dyDescent="0.25">
      <c r="A1398" s="175"/>
      <c r="B1398" s="176"/>
      <c r="C1398" s="176"/>
      <c r="D1398" s="1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157"/>
    </row>
    <row r="1399" spans="1:17" s="95" customFormat="1" x14ac:dyDescent="0.25">
      <c r="A1399" s="175"/>
      <c r="B1399" s="176"/>
      <c r="C1399" s="176"/>
      <c r="D1399" s="1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157"/>
    </row>
    <row r="1400" spans="1:17" s="95" customFormat="1" x14ac:dyDescent="0.25">
      <c r="A1400" s="175"/>
      <c r="B1400" s="176"/>
      <c r="C1400" s="176"/>
      <c r="D1400" s="1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157"/>
    </row>
    <row r="1401" spans="1:17" s="95" customFormat="1" x14ac:dyDescent="0.25">
      <c r="A1401" s="175"/>
      <c r="B1401" s="176"/>
      <c r="C1401" s="176"/>
      <c r="D1401" s="1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157"/>
    </row>
    <row r="1402" spans="1:17" s="95" customFormat="1" x14ac:dyDescent="0.25">
      <c r="A1402" s="175"/>
      <c r="B1402" s="176"/>
      <c r="C1402" s="176"/>
      <c r="D1402" s="1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157"/>
    </row>
    <row r="1403" spans="1:17" s="95" customFormat="1" x14ac:dyDescent="0.25">
      <c r="A1403" s="175"/>
      <c r="B1403" s="176"/>
      <c r="C1403" s="176"/>
      <c r="D1403" s="1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157"/>
    </row>
    <row r="1404" spans="1:17" s="95" customFormat="1" x14ac:dyDescent="0.25">
      <c r="A1404" s="175"/>
      <c r="B1404" s="176"/>
      <c r="C1404" s="176"/>
      <c r="D1404" s="1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157"/>
    </row>
    <row r="1405" spans="1:17" s="95" customFormat="1" x14ac:dyDescent="0.25">
      <c r="A1405" s="175"/>
      <c r="B1405" s="176"/>
      <c r="C1405" s="176"/>
      <c r="D1405" s="1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157"/>
    </row>
    <row r="1406" spans="1:17" s="95" customFormat="1" x14ac:dyDescent="0.25">
      <c r="A1406" s="175"/>
      <c r="B1406" s="176"/>
      <c r="C1406" s="176"/>
      <c r="D1406" s="1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157"/>
    </row>
    <row r="1407" spans="1:17" s="95" customFormat="1" x14ac:dyDescent="0.25">
      <c r="A1407" s="175"/>
      <c r="B1407" s="176"/>
      <c r="C1407" s="176"/>
      <c r="D1407" s="1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157"/>
    </row>
    <row r="1408" spans="1:17" s="95" customFormat="1" x14ac:dyDescent="0.25">
      <c r="A1408" s="175"/>
      <c r="B1408" s="176"/>
      <c r="C1408" s="176"/>
      <c r="D1408" s="1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157"/>
    </row>
    <row r="1409" spans="1:17" s="95" customFormat="1" x14ac:dyDescent="0.25">
      <c r="A1409" s="175"/>
      <c r="B1409" s="176"/>
      <c r="C1409" s="176"/>
      <c r="D1409" s="1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157"/>
    </row>
    <row r="1410" spans="1:17" s="95" customFormat="1" x14ac:dyDescent="0.25">
      <c r="A1410" s="175"/>
      <c r="B1410" s="176"/>
      <c r="C1410" s="176"/>
      <c r="D1410" s="1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157"/>
    </row>
    <row r="1411" spans="1:17" s="95" customFormat="1" x14ac:dyDescent="0.25">
      <c r="A1411" s="175"/>
      <c r="B1411" s="176"/>
      <c r="C1411" s="176"/>
      <c r="D1411" s="1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157"/>
    </row>
    <row r="1412" spans="1:17" s="95" customFormat="1" x14ac:dyDescent="0.25">
      <c r="A1412" s="175"/>
      <c r="B1412" s="176"/>
      <c r="C1412" s="176"/>
      <c r="D1412" s="1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157"/>
    </row>
    <row r="1413" spans="1:17" s="95" customFormat="1" x14ac:dyDescent="0.25">
      <c r="A1413" s="175"/>
      <c r="B1413" s="176"/>
      <c r="C1413" s="176"/>
      <c r="D1413" s="1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157"/>
    </row>
    <row r="1414" spans="1:17" s="95" customFormat="1" x14ac:dyDescent="0.25">
      <c r="A1414" s="175"/>
      <c r="B1414" s="176"/>
      <c r="C1414" s="176"/>
      <c r="D1414" s="1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157"/>
    </row>
    <row r="1415" spans="1:17" s="95" customFormat="1" x14ac:dyDescent="0.25">
      <c r="A1415" s="175"/>
      <c r="B1415" s="176"/>
      <c r="C1415" s="176"/>
      <c r="D1415" s="1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157"/>
    </row>
    <row r="1416" spans="1:17" s="95" customFormat="1" x14ac:dyDescent="0.25">
      <c r="A1416" s="175"/>
      <c r="B1416" s="176"/>
      <c r="C1416" s="176"/>
      <c r="D1416" s="1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157"/>
    </row>
    <row r="1417" spans="1:17" s="95" customFormat="1" x14ac:dyDescent="0.25">
      <c r="A1417" s="175"/>
      <c r="B1417" s="176"/>
      <c r="C1417" s="176"/>
      <c r="D1417" s="1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157"/>
    </row>
    <row r="1418" spans="1:17" s="95" customFormat="1" x14ac:dyDescent="0.25">
      <c r="A1418" s="175"/>
      <c r="B1418" s="176"/>
      <c r="C1418" s="176"/>
      <c r="D1418" s="1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157"/>
    </row>
    <row r="1419" spans="1:17" s="95" customFormat="1" x14ac:dyDescent="0.25">
      <c r="A1419" s="175"/>
      <c r="B1419" s="176"/>
      <c r="C1419" s="176"/>
      <c r="D1419" s="1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157"/>
    </row>
    <row r="1420" spans="1:17" s="95" customFormat="1" x14ac:dyDescent="0.25">
      <c r="A1420" s="175"/>
      <c r="B1420" s="176"/>
      <c r="C1420" s="176"/>
      <c r="D1420" s="1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157"/>
    </row>
    <row r="1421" spans="1:17" s="95" customFormat="1" x14ac:dyDescent="0.25">
      <c r="A1421" s="175"/>
      <c r="B1421" s="176"/>
      <c r="C1421" s="176"/>
      <c r="D1421" s="1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157"/>
    </row>
    <row r="1422" spans="1:17" s="95" customFormat="1" x14ac:dyDescent="0.25">
      <c r="A1422" s="175"/>
      <c r="B1422" s="176"/>
      <c r="C1422" s="176"/>
      <c r="D1422" s="1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157"/>
    </row>
    <row r="1423" spans="1:17" s="95" customFormat="1" x14ac:dyDescent="0.25">
      <c r="A1423" s="175"/>
      <c r="B1423" s="176"/>
      <c r="C1423" s="176"/>
      <c r="D1423" s="1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157"/>
    </row>
    <row r="1424" spans="1:17" s="95" customFormat="1" x14ac:dyDescent="0.25">
      <c r="A1424" s="175"/>
      <c r="B1424" s="176"/>
      <c r="C1424" s="176"/>
      <c r="D1424" s="1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157"/>
    </row>
    <row r="1425" spans="1:17" s="95" customFormat="1" x14ac:dyDescent="0.25">
      <c r="A1425" s="175"/>
      <c r="B1425" s="176"/>
      <c r="C1425" s="176"/>
      <c r="D1425" s="1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157"/>
    </row>
    <row r="1426" spans="1:17" s="95" customFormat="1" x14ac:dyDescent="0.25">
      <c r="A1426" s="175"/>
      <c r="B1426" s="176"/>
      <c r="C1426" s="176"/>
      <c r="D1426" s="1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157"/>
    </row>
    <row r="1427" spans="1:17" s="95" customFormat="1" x14ac:dyDescent="0.25">
      <c r="A1427" s="175"/>
      <c r="B1427" s="176"/>
      <c r="C1427" s="176"/>
      <c r="D1427" s="1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157"/>
    </row>
    <row r="1428" spans="1:17" s="95" customFormat="1" x14ac:dyDescent="0.25">
      <c r="A1428" s="175"/>
      <c r="B1428" s="176"/>
      <c r="C1428" s="176"/>
      <c r="D1428" s="1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157"/>
    </row>
    <row r="1429" spans="1:17" s="95" customFormat="1" x14ac:dyDescent="0.25">
      <c r="A1429" s="175"/>
      <c r="B1429" s="176"/>
      <c r="C1429" s="176"/>
      <c r="D1429" s="1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157"/>
    </row>
    <row r="1430" spans="1:17" s="95" customFormat="1" x14ac:dyDescent="0.25">
      <c r="A1430" s="175"/>
      <c r="B1430" s="176"/>
      <c r="C1430" s="176"/>
      <c r="D1430" s="1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157"/>
    </row>
    <row r="1431" spans="1:17" s="95" customFormat="1" x14ac:dyDescent="0.25">
      <c r="A1431" s="175"/>
      <c r="B1431" s="176"/>
      <c r="C1431" s="176"/>
      <c r="D1431" s="1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157"/>
    </row>
    <row r="1432" spans="1:17" s="95" customFormat="1" x14ac:dyDescent="0.25">
      <c r="A1432" s="175"/>
      <c r="B1432" s="176"/>
      <c r="C1432" s="176"/>
      <c r="D1432" s="1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157"/>
    </row>
    <row r="1433" spans="1:17" s="95" customFormat="1" x14ac:dyDescent="0.25">
      <c r="A1433" s="175"/>
      <c r="B1433" s="176"/>
      <c r="C1433" s="176"/>
      <c r="D1433" s="1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157"/>
    </row>
    <row r="1434" spans="1:17" s="95" customFormat="1" x14ac:dyDescent="0.25">
      <c r="A1434" s="175"/>
      <c r="B1434" s="176"/>
      <c r="C1434" s="176"/>
      <c r="D1434" s="1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157"/>
    </row>
    <row r="1435" spans="1:17" s="95" customFormat="1" x14ac:dyDescent="0.25">
      <c r="A1435" s="175"/>
      <c r="B1435" s="176"/>
      <c r="C1435" s="176"/>
      <c r="D1435" s="1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157"/>
    </row>
    <row r="1436" spans="1:17" s="95" customFormat="1" x14ac:dyDescent="0.25">
      <c r="A1436" s="175"/>
      <c r="B1436" s="176"/>
      <c r="C1436" s="176"/>
      <c r="D1436" s="1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157"/>
    </row>
    <row r="1437" spans="1:17" s="95" customFormat="1" x14ac:dyDescent="0.25">
      <c r="A1437" s="175"/>
      <c r="B1437" s="176"/>
      <c r="C1437" s="176"/>
      <c r="D1437" s="1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157"/>
    </row>
    <row r="1438" spans="1:17" s="95" customFormat="1" x14ac:dyDescent="0.25">
      <c r="A1438" s="175"/>
      <c r="B1438" s="176"/>
      <c r="C1438" s="176"/>
      <c r="D1438" s="1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157"/>
    </row>
    <row r="1439" spans="1:17" s="95" customFormat="1" x14ac:dyDescent="0.25">
      <c r="A1439" s="175"/>
      <c r="B1439" s="176"/>
      <c r="C1439" s="176"/>
      <c r="D1439" s="1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157"/>
    </row>
    <row r="1440" spans="1:17" s="95" customFormat="1" x14ac:dyDescent="0.25">
      <c r="A1440" s="175"/>
      <c r="B1440" s="176"/>
      <c r="C1440" s="176"/>
      <c r="D1440" s="1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157"/>
    </row>
    <row r="1441" spans="1:17" s="95" customFormat="1" x14ac:dyDescent="0.25">
      <c r="A1441" s="175"/>
      <c r="B1441" s="176"/>
      <c r="C1441" s="176"/>
      <c r="D1441" s="1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157"/>
    </row>
    <row r="1442" spans="1:17" s="95" customFormat="1" x14ac:dyDescent="0.25">
      <c r="A1442" s="175"/>
      <c r="B1442" s="176"/>
      <c r="C1442" s="176"/>
      <c r="D1442" s="1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157"/>
    </row>
    <row r="1443" spans="1:17" s="95" customFormat="1" x14ac:dyDescent="0.25">
      <c r="A1443" s="175"/>
      <c r="B1443" s="176"/>
      <c r="C1443" s="176"/>
      <c r="D1443" s="1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157"/>
    </row>
    <row r="1444" spans="1:17" s="95" customFormat="1" x14ac:dyDescent="0.25">
      <c r="A1444" s="175"/>
      <c r="B1444" s="176"/>
      <c r="C1444" s="176"/>
      <c r="D1444" s="1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157"/>
    </row>
    <row r="1445" spans="1:17" s="95" customFormat="1" x14ac:dyDescent="0.25">
      <c r="A1445" s="175"/>
      <c r="B1445" s="176"/>
      <c r="C1445" s="176"/>
      <c r="D1445" s="1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157"/>
    </row>
    <row r="1446" spans="1:17" s="95" customFormat="1" x14ac:dyDescent="0.25">
      <c r="A1446" s="175"/>
      <c r="B1446" s="176"/>
      <c r="C1446" s="176"/>
      <c r="D1446" s="1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157"/>
    </row>
    <row r="1447" spans="1:17" s="95" customFormat="1" x14ac:dyDescent="0.25">
      <c r="A1447" s="175"/>
      <c r="B1447" s="176"/>
      <c r="C1447" s="176"/>
      <c r="D1447" s="1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157"/>
    </row>
    <row r="1448" spans="1:17" s="95" customFormat="1" x14ac:dyDescent="0.25">
      <c r="A1448" s="175"/>
      <c r="B1448" s="176"/>
      <c r="C1448" s="176"/>
      <c r="D1448" s="1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157"/>
    </row>
    <row r="1449" spans="1:17" s="95" customFormat="1" x14ac:dyDescent="0.25">
      <c r="A1449" s="175"/>
      <c r="B1449" s="176"/>
      <c r="C1449" s="176"/>
      <c r="D1449" s="1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157"/>
    </row>
    <row r="1450" spans="1:17" s="95" customFormat="1" x14ac:dyDescent="0.25">
      <c r="A1450" s="175"/>
      <c r="B1450" s="176"/>
      <c r="C1450" s="176"/>
      <c r="D1450" s="1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157"/>
    </row>
    <row r="1451" spans="1:17" s="95" customFormat="1" x14ac:dyDescent="0.25">
      <c r="A1451" s="175"/>
      <c r="B1451" s="176"/>
      <c r="C1451" s="176"/>
      <c r="D1451" s="1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157"/>
    </row>
    <row r="1452" spans="1:17" s="95" customFormat="1" x14ac:dyDescent="0.25">
      <c r="A1452" s="175"/>
      <c r="B1452" s="176"/>
      <c r="C1452" s="176"/>
      <c r="D1452" s="1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157"/>
    </row>
    <row r="1453" spans="1:17" s="95" customFormat="1" x14ac:dyDescent="0.25">
      <c r="A1453" s="175"/>
      <c r="B1453" s="176"/>
      <c r="C1453" s="176"/>
      <c r="D1453" s="1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157"/>
    </row>
    <row r="1454" spans="1:17" s="95" customFormat="1" x14ac:dyDescent="0.25">
      <c r="A1454" s="175"/>
      <c r="B1454" s="176"/>
      <c r="C1454" s="176"/>
      <c r="D1454" s="1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157"/>
    </row>
    <row r="1455" spans="1:17" s="95" customFormat="1" x14ac:dyDescent="0.25">
      <c r="A1455" s="175"/>
      <c r="B1455" s="176"/>
      <c r="C1455" s="176"/>
      <c r="D1455" s="1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157"/>
    </row>
    <row r="1456" spans="1:17" s="95" customFormat="1" x14ac:dyDescent="0.25">
      <c r="A1456" s="175"/>
      <c r="B1456" s="176"/>
      <c r="C1456" s="176"/>
      <c r="D1456" s="1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157"/>
    </row>
    <row r="1457" spans="1:17" s="95" customFormat="1" x14ac:dyDescent="0.25">
      <c r="A1457" s="175"/>
      <c r="B1457" s="176"/>
      <c r="C1457" s="176"/>
      <c r="D1457" s="1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157"/>
    </row>
    <row r="1458" spans="1:17" s="95" customFormat="1" x14ac:dyDescent="0.25">
      <c r="A1458" s="175"/>
      <c r="B1458" s="176"/>
      <c r="C1458" s="176"/>
      <c r="D1458" s="1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157"/>
    </row>
    <row r="1459" spans="1:17" s="95" customFormat="1" x14ac:dyDescent="0.25">
      <c r="A1459" s="175"/>
      <c r="B1459" s="176"/>
      <c r="C1459" s="176"/>
      <c r="D1459" s="1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157"/>
    </row>
    <row r="1460" spans="1:17" s="95" customFormat="1" x14ac:dyDescent="0.25">
      <c r="A1460" s="175"/>
      <c r="B1460" s="176"/>
      <c r="C1460" s="176"/>
      <c r="D1460" s="1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157"/>
    </row>
    <row r="1461" spans="1:17" s="95" customFormat="1" x14ac:dyDescent="0.25">
      <c r="A1461" s="175"/>
      <c r="B1461" s="176"/>
      <c r="C1461" s="176"/>
      <c r="D1461" s="1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157"/>
    </row>
    <row r="1462" spans="1:17" s="95" customFormat="1" x14ac:dyDescent="0.25">
      <c r="A1462" s="175"/>
      <c r="B1462" s="176"/>
      <c r="C1462" s="176"/>
      <c r="D1462" s="1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157"/>
    </row>
    <row r="1463" spans="1:17" s="95" customFormat="1" x14ac:dyDescent="0.25">
      <c r="A1463" s="175"/>
      <c r="B1463" s="176"/>
      <c r="C1463" s="176"/>
      <c r="D1463" s="1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157"/>
    </row>
    <row r="1464" spans="1:17" s="95" customFormat="1" x14ac:dyDescent="0.25">
      <c r="A1464" s="175"/>
      <c r="B1464" s="176"/>
      <c r="C1464" s="176"/>
      <c r="D1464" s="1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157"/>
    </row>
    <row r="1465" spans="1:17" s="95" customFormat="1" x14ac:dyDescent="0.25">
      <c r="A1465" s="175"/>
      <c r="B1465" s="176"/>
      <c r="C1465" s="176"/>
      <c r="D1465" s="1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157"/>
    </row>
    <row r="1466" spans="1:17" s="95" customFormat="1" x14ac:dyDescent="0.25">
      <c r="A1466" s="175"/>
      <c r="B1466" s="176"/>
      <c r="C1466" s="176"/>
      <c r="D1466" s="1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157"/>
    </row>
    <row r="1467" spans="1:17" s="95" customFormat="1" x14ac:dyDescent="0.25">
      <c r="A1467" s="175"/>
      <c r="B1467" s="176"/>
      <c r="C1467" s="176"/>
      <c r="D1467" s="1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157"/>
    </row>
    <row r="1468" spans="1:17" s="95" customFormat="1" x14ac:dyDescent="0.25">
      <c r="A1468" s="175"/>
      <c r="B1468" s="176"/>
      <c r="C1468" s="176"/>
      <c r="D1468" s="1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157"/>
    </row>
    <row r="1469" spans="1:17" s="95" customFormat="1" x14ac:dyDescent="0.25">
      <c r="A1469" s="175"/>
      <c r="B1469" s="176"/>
      <c r="C1469" s="176"/>
      <c r="D1469" s="1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157"/>
    </row>
    <row r="1470" spans="1:17" s="95" customFormat="1" x14ac:dyDescent="0.25">
      <c r="A1470" s="175"/>
      <c r="B1470" s="176"/>
      <c r="C1470" s="176"/>
      <c r="D1470" s="1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157"/>
    </row>
    <row r="1471" spans="1:17" s="95" customFormat="1" x14ac:dyDescent="0.25">
      <c r="A1471" s="175"/>
      <c r="B1471" s="176"/>
      <c r="C1471" s="176"/>
      <c r="D1471" s="1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157"/>
    </row>
    <row r="1472" spans="1:17" s="95" customFormat="1" x14ac:dyDescent="0.25">
      <c r="A1472" s="175"/>
      <c r="B1472" s="176"/>
      <c r="C1472" s="176"/>
      <c r="D1472" s="1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157"/>
    </row>
    <row r="1473" spans="1:17" s="95" customFormat="1" x14ac:dyDescent="0.25">
      <c r="A1473" s="175"/>
      <c r="B1473" s="176"/>
      <c r="C1473" s="176"/>
      <c r="D1473" s="1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157"/>
    </row>
    <row r="1474" spans="1:17" s="95" customFormat="1" x14ac:dyDescent="0.25">
      <c r="A1474" s="175"/>
      <c r="B1474" s="176"/>
      <c r="C1474" s="176"/>
      <c r="D1474" s="1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157"/>
    </row>
    <row r="1475" spans="1:17" s="95" customFormat="1" x14ac:dyDescent="0.25">
      <c r="A1475" s="175"/>
      <c r="B1475" s="176"/>
      <c r="C1475" s="176"/>
      <c r="D1475" s="1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157"/>
    </row>
    <row r="1476" spans="1:17" s="95" customFormat="1" x14ac:dyDescent="0.25">
      <c r="A1476" s="175"/>
      <c r="B1476" s="176"/>
      <c r="C1476" s="176"/>
      <c r="D1476" s="1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157"/>
    </row>
    <row r="1477" spans="1:17" s="95" customFormat="1" x14ac:dyDescent="0.25">
      <c r="A1477" s="175"/>
      <c r="B1477" s="176"/>
      <c r="C1477" s="176"/>
      <c r="D1477" s="1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157"/>
    </row>
    <row r="1478" spans="1:17" s="95" customFormat="1" x14ac:dyDescent="0.25">
      <c r="A1478" s="175"/>
      <c r="B1478" s="176"/>
      <c r="C1478" s="176"/>
      <c r="D1478" s="1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157"/>
    </row>
    <row r="1479" spans="1:17" s="95" customFormat="1" x14ac:dyDescent="0.25">
      <c r="A1479" s="175"/>
      <c r="B1479" s="176"/>
      <c r="C1479" s="176"/>
      <c r="D1479" s="1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157"/>
    </row>
    <row r="1480" spans="1:17" s="95" customFormat="1" x14ac:dyDescent="0.25">
      <c r="A1480" s="175"/>
      <c r="B1480" s="176"/>
      <c r="C1480" s="176"/>
      <c r="D1480" s="1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157"/>
    </row>
    <row r="1481" spans="1:17" s="95" customFormat="1" x14ac:dyDescent="0.25">
      <c r="A1481" s="175"/>
      <c r="B1481" s="176"/>
      <c r="C1481" s="176"/>
      <c r="D1481" s="1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157"/>
    </row>
    <row r="1482" spans="1:17" s="95" customFormat="1" x14ac:dyDescent="0.25">
      <c r="A1482" s="175"/>
      <c r="B1482" s="176"/>
      <c r="C1482" s="176"/>
      <c r="D1482" s="1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157"/>
    </row>
    <row r="1483" spans="1:17" s="95" customFormat="1" x14ac:dyDescent="0.25">
      <c r="A1483" s="175"/>
      <c r="B1483" s="176"/>
      <c r="C1483" s="176"/>
      <c r="D1483" s="1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157"/>
    </row>
    <row r="1484" spans="1:17" s="95" customFormat="1" x14ac:dyDescent="0.25">
      <c r="A1484" s="175"/>
      <c r="B1484" s="176"/>
      <c r="C1484" s="176"/>
      <c r="D1484" s="1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157"/>
    </row>
    <row r="1485" spans="1:17" s="95" customFormat="1" x14ac:dyDescent="0.25">
      <c r="A1485" s="175"/>
      <c r="B1485" s="176"/>
      <c r="C1485" s="176"/>
      <c r="D1485" s="1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157"/>
    </row>
    <row r="1486" spans="1:17" s="95" customFormat="1" x14ac:dyDescent="0.25">
      <c r="A1486" s="175"/>
      <c r="B1486" s="176"/>
      <c r="C1486" s="176"/>
      <c r="D1486" s="1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157"/>
    </row>
    <row r="1487" spans="1:17" s="95" customFormat="1" x14ac:dyDescent="0.25">
      <c r="A1487" s="175"/>
      <c r="B1487" s="176"/>
      <c r="C1487" s="176"/>
      <c r="D1487" s="1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157"/>
    </row>
    <row r="1488" spans="1:17" s="95" customFormat="1" x14ac:dyDescent="0.25">
      <c r="A1488" s="175"/>
      <c r="B1488" s="176"/>
      <c r="C1488" s="176"/>
      <c r="D1488" s="1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157"/>
    </row>
    <row r="1489" spans="1:17" s="95" customFormat="1" x14ac:dyDescent="0.25">
      <c r="A1489" s="175"/>
      <c r="B1489" s="176"/>
      <c r="C1489" s="176"/>
      <c r="D1489" s="1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157"/>
    </row>
    <row r="1490" spans="1:17" s="95" customFormat="1" x14ac:dyDescent="0.25">
      <c r="A1490" s="175"/>
      <c r="B1490" s="176"/>
      <c r="C1490" s="176"/>
      <c r="D1490" s="1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157"/>
    </row>
    <row r="1491" spans="1:17" s="95" customFormat="1" x14ac:dyDescent="0.25">
      <c r="A1491" s="175"/>
      <c r="B1491" s="176"/>
      <c r="C1491" s="176"/>
      <c r="D1491" s="1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157"/>
    </row>
    <row r="1492" spans="1:17" s="95" customFormat="1" x14ac:dyDescent="0.25">
      <c r="A1492" s="175"/>
      <c r="B1492" s="176"/>
      <c r="C1492" s="176"/>
      <c r="D1492" s="1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157"/>
    </row>
    <row r="1493" spans="1:17" s="95" customFormat="1" x14ac:dyDescent="0.25">
      <c r="A1493" s="175"/>
      <c r="B1493" s="176"/>
      <c r="C1493" s="176"/>
      <c r="D1493" s="1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157"/>
    </row>
    <row r="1494" spans="1:17" s="95" customFormat="1" x14ac:dyDescent="0.25">
      <c r="A1494" s="175"/>
      <c r="B1494" s="176"/>
      <c r="C1494" s="176"/>
      <c r="D1494" s="1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157"/>
    </row>
    <row r="1495" spans="1:17" s="95" customFormat="1" x14ac:dyDescent="0.25">
      <c r="A1495" s="175"/>
      <c r="B1495" s="176"/>
      <c r="C1495" s="176"/>
      <c r="D1495" s="1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157"/>
    </row>
    <row r="1496" spans="1:17" s="95" customFormat="1" x14ac:dyDescent="0.25">
      <c r="A1496" s="175"/>
      <c r="B1496" s="176"/>
      <c r="C1496" s="176"/>
      <c r="D1496" s="1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157"/>
    </row>
    <row r="1497" spans="1:17" s="95" customFormat="1" x14ac:dyDescent="0.25">
      <c r="A1497" s="175"/>
      <c r="B1497" s="176"/>
      <c r="C1497" s="176"/>
      <c r="D1497" s="1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157"/>
    </row>
    <row r="1498" spans="1:17" s="95" customFormat="1" x14ac:dyDescent="0.25">
      <c r="A1498" s="175"/>
      <c r="B1498" s="176"/>
      <c r="C1498" s="176"/>
      <c r="D1498" s="1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157"/>
    </row>
    <row r="1499" spans="1:17" s="95" customFormat="1" x14ac:dyDescent="0.25">
      <c r="A1499" s="175"/>
      <c r="B1499" s="176"/>
      <c r="C1499" s="176"/>
      <c r="D1499" s="1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157"/>
    </row>
    <row r="1500" spans="1:17" s="95" customFormat="1" x14ac:dyDescent="0.25">
      <c r="A1500" s="175"/>
      <c r="B1500" s="176"/>
      <c r="C1500" s="176"/>
      <c r="D1500" s="1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157"/>
    </row>
    <row r="1501" spans="1:17" s="95" customFormat="1" x14ac:dyDescent="0.25">
      <c r="A1501" s="175"/>
      <c r="B1501" s="176"/>
      <c r="C1501" s="176"/>
      <c r="D1501" s="1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157"/>
    </row>
    <row r="1502" spans="1:17" s="95" customFormat="1" x14ac:dyDescent="0.25">
      <c r="A1502" s="175"/>
      <c r="B1502" s="176"/>
      <c r="C1502" s="176"/>
      <c r="D1502" s="1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157"/>
    </row>
    <row r="1503" spans="1:17" s="95" customFormat="1" x14ac:dyDescent="0.25">
      <c r="A1503" s="175"/>
      <c r="B1503" s="176"/>
      <c r="C1503" s="176"/>
      <c r="D1503" s="1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157"/>
    </row>
    <row r="1504" spans="1:17" s="95" customFormat="1" x14ac:dyDescent="0.25">
      <c r="A1504" s="175"/>
      <c r="B1504" s="176"/>
      <c r="C1504" s="176"/>
      <c r="D1504" s="1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157"/>
    </row>
    <row r="1505" spans="1:17" s="95" customFormat="1" x14ac:dyDescent="0.25">
      <c r="A1505" s="175"/>
      <c r="B1505" s="176"/>
      <c r="C1505" s="176"/>
      <c r="D1505" s="1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157"/>
    </row>
    <row r="1506" spans="1:17" s="95" customFormat="1" x14ac:dyDescent="0.25">
      <c r="A1506" s="175"/>
      <c r="B1506" s="176"/>
      <c r="C1506" s="176"/>
      <c r="D1506" s="1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157"/>
    </row>
    <row r="1507" spans="1:17" s="95" customFormat="1" x14ac:dyDescent="0.25">
      <c r="A1507" s="175"/>
      <c r="B1507" s="176"/>
      <c r="C1507" s="176"/>
      <c r="D1507" s="1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157"/>
    </row>
    <row r="1508" spans="1:17" s="95" customFormat="1" x14ac:dyDescent="0.25">
      <c r="A1508" s="175"/>
      <c r="B1508" s="176"/>
      <c r="C1508" s="176"/>
      <c r="D1508" s="1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157"/>
    </row>
    <row r="1509" spans="1:17" s="95" customFormat="1" x14ac:dyDescent="0.25">
      <c r="A1509" s="175"/>
      <c r="B1509" s="176"/>
      <c r="C1509" s="176"/>
      <c r="D1509" s="1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157"/>
    </row>
    <row r="1510" spans="1:17" s="95" customFormat="1" x14ac:dyDescent="0.25">
      <c r="A1510" s="175"/>
      <c r="B1510" s="176"/>
      <c r="C1510" s="176"/>
      <c r="D1510" s="1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157"/>
    </row>
    <row r="1511" spans="1:17" s="95" customFormat="1" x14ac:dyDescent="0.25">
      <c r="A1511" s="175"/>
      <c r="B1511" s="176"/>
      <c r="C1511" s="176"/>
      <c r="D1511" s="1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157"/>
    </row>
    <row r="1512" spans="1:17" s="95" customFormat="1" x14ac:dyDescent="0.25">
      <c r="A1512" s="175"/>
      <c r="B1512" s="176"/>
      <c r="C1512" s="176"/>
      <c r="D1512" s="1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157"/>
    </row>
    <row r="1513" spans="1:17" s="95" customFormat="1" x14ac:dyDescent="0.25">
      <c r="A1513" s="175"/>
      <c r="B1513" s="176"/>
      <c r="C1513" s="176"/>
      <c r="D1513" s="1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157"/>
    </row>
    <row r="1514" spans="1:17" s="95" customFormat="1" x14ac:dyDescent="0.25">
      <c r="A1514" s="175"/>
      <c r="B1514" s="176"/>
      <c r="C1514" s="176"/>
      <c r="D1514" s="1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157"/>
    </row>
    <row r="1515" spans="1:17" s="95" customFormat="1" x14ac:dyDescent="0.25">
      <c r="A1515" s="175"/>
      <c r="B1515" s="176"/>
      <c r="C1515" s="176"/>
      <c r="D1515" s="1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157"/>
    </row>
    <row r="1516" spans="1:17" s="95" customFormat="1" x14ac:dyDescent="0.25">
      <c r="A1516" s="175"/>
      <c r="B1516" s="176"/>
      <c r="C1516" s="176"/>
      <c r="D1516" s="1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157"/>
    </row>
    <row r="1517" spans="1:17" s="95" customFormat="1" x14ac:dyDescent="0.25">
      <c r="A1517" s="175"/>
      <c r="B1517" s="176"/>
      <c r="C1517" s="176"/>
      <c r="D1517" s="1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157"/>
    </row>
    <row r="1518" spans="1:17" s="95" customFormat="1" x14ac:dyDescent="0.25">
      <c r="A1518" s="175"/>
      <c r="B1518" s="176"/>
      <c r="C1518" s="176"/>
      <c r="D1518" s="1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157"/>
    </row>
    <row r="1519" spans="1:17" s="95" customFormat="1" x14ac:dyDescent="0.25">
      <c r="A1519" s="175"/>
      <c r="B1519" s="176"/>
      <c r="C1519" s="176"/>
      <c r="D1519" s="1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157"/>
    </row>
    <row r="1520" spans="1:17" s="95" customFormat="1" x14ac:dyDescent="0.25">
      <c r="A1520" s="175"/>
      <c r="B1520" s="176"/>
      <c r="C1520" s="176"/>
      <c r="D1520" s="1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157"/>
    </row>
    <row r="1521" spans="1:17" s="95" customFormat="1" x14ac:dyDescent="0.25">
      <c r="A1521" s="175"/>
      <c r="B1521" s="176"/>
      <c r="C1521" s="176"/>
      <c r="D1521" s="1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157"/>
    </row>
    <row r="1522" spans="1:17" s="95" customFormat="1" x14ac:dyDescent="0.25">
      <c r="A1522" s="175"/>
      <c r="B1522" s="176"/>
      <c r="C1522" s="176"/>
      <c r="D1522" s="1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157"/>
    </row>
    <row r="1523" spans="1:17" s="95" customFormat="1" x14ac:dyDescent="0.25">
      <c r="A1523" s="175"/>
      <c r="B1523" s="176"/>
      <c r="C1523" s="176"/>
      <c r="D1523" s="1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157"/>
    </row>
    <row r="1524" spans="1:17" s="95" customFormat="1" x14ac:dyDescent="0.25">
      <c r="A1524" s="175"/>
      <c r="B1524" s="176"/>
      <c r="C1524" s="176"/>
      <c r="D1524" s="1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157"/>
    </row>
    <row r="1525" spans="1:17" s="95" customFormat="1" x14ac:dyDescent="0.25">
      <c r="A1525" s="175"/>
      <c r="B1525" s="176"/>
      <c r="C1525" s="176"/>
      <c r="D1525" s="1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157"/>
    </row>
    <row r="1526" spans="1:17" s="95" customFormat="1" x14ac:dyDescent="0.25">
      <c r="A1526" s="175"/>
      <c r="B1526" s="176"/>
      <c r="C1526" s="176"/>
      <c r="D1526" s="1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157"/>
    </row>
    <row r="1527" spans="1:17" s="95" customFormat="1" x14ac:dyDescent="0.25">
      <c r="A1527" s="175"/>
      <c r="B1527" s="176"/>
      <c r="C1527" s="176"/>
      <c r="D1527" s="1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157"/>
    </row>
    <row r="1528" spans="1:17" s="95" customFormat="1" x14ac:dyDescent="0.25">
      <c r="A1528" s="175"/>
      <c r="B1528" s="176"/>
      <c r="C1528" s="176"/>
      <c r="D1528" s="1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157"/>
    </row>
    <row r="1529" spans="1:17" s="95" customFormat="1" x14ac:dyDescent="0.25">
      <c r="A1529" s="175"/>
      <c r="B1529" s="176"/>
      <c r="C1529" s="176"/>
      <c r="D1529" s="1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157"/>
    </row>
    <row r="1530" spans="1:17" s="95" customFormat="1" x14ac:dyDescent="0.25">
      <c r="A1530" s="175"/>
      <c r="B1530" s="176"/>
      <c r="C1530" s="176"/>
      <c r="D1530" s="1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157"/>
    </row>
    <row r="1531" spans="1:17" s="95" customFormat="1" x14ac:dyDescent="0.25">
      <c r="A1531" s="175"/>
      <c r="B1531" s="176"/>
      <c r="C1531" s="176"/>
      <c r="D1531" s="1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157"/>
    </row>
    <row r="1532" spans="1:17" s="95" customFormat="1" x14ac:dyDescent="0.25">
      <c r="A1532" s="175"/>
      <c r="B1532" s="176"/>
      <c r="C1532" s="176"/>
      <c r="D1532" s="1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157"/>
    </row>
    <row r="1533" spans="1:17" s="95" customFormat="1" x14ac:dyDescent="0.25">
      <c r="A1533" s="175"/>
      <c r="B1533" s="176"/>
      <c r="C1533" s="176"/>
      <c r="D1533" s="1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157"/>
    </row>
    <row r="1534" spans="1:17" s="95" customFormat="1" x14ac:dyDescent="0.25">
      <c r="A1534" s="175"/>
      <c r="B1534" s="176"/>
      <c r="C1534" s="176"/>
      <c r="D1534" s="1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157"/>
    </row>
    <row r="1535" spans="1:17" s="95" customFormat="1" x14ac:dyDescent="0.25">
      <c r="A1535" s="175"/>
      <c r="B1535" s="176"/>
      <c r="C1535" s="176"/>
      <c r="D1535" s="1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157"/>
    </row>
    <row r="1536" spans="1:17" s="95" customFormat="1" x14ac:dyDescent="0.25">
      <c r="A1536" s="175"/>
      <c r="B1536" s="176"/>
      <c r="C1536" s="176"/>
      <c r="D1536" s="1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157"/>
    </row>
    <row r="1537" spans="1:17" s="95" customFormat="1" x14ac:dyDescent="0.25">
      <c r="A1537" s="175"/>
      <c r="B1537" s="176"/>
      <c r="C1537" s="176"/>
      <c r="D1537" s="1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157"/>
    </row>
    <row r="1538" spans="1:17" s="95" customFormat="1" x14ac:dyDescent="0.25">
      <c r="A1538" s="175"/>
      <c r="B1538" s="176"/>
      <c r="C1538" s="176"/>
      <c r="D1538" s="1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157"/>
    </row>
    <row r="1539" spans="1:17" s="95" customFormat="1" x14ac:dyDescent="0.25">
      <c r="A1539" s="175"/>
      <c r="B1539" s="176"/>
      <c r="C1539" s="176"/>
      <c r="D1539" s="1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157"/>
    </row>
    <row r="1540" spans="1:17" s="95" customFormat="1" x14ac:dyDescent="0.25">
      <c r="A1540" s="175"/>
      <c r="B1540" s="176"/>
      <c r="C1540" s="176"/>
      <c r="D1540" s="1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157"/>
    </row>
    <row r="1541" spans="1:17" s="95" customFormat="1" x14ac:dyDescent="0.25">
      <c r="A1541" s="175"/>
      <c r="B1541" s="176"/>
      <c r="C1541" s="176"/>
      <c r="D1541" s="1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157"/>
    </row>
    <row r="1542" spans="1:17" s="95" customFormat="1" x14ac:dyDescent="0.25">
      <c r="A1542" s="175"/>
      <c r="B1542" s="176"/>
      <c r="C1542" s="176"/>
      <c r="D1542" s="1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157"/>
    </row>
    <row r="1543" spans="1:17" s="95" customFormat="1" x14ac:dyDescent="0.25">
      <c r="A1543" s="175"/>
      <c r="B1543" s="176"/>
      <c r="C1543" s="176"/>
      <c r="D1543" s="1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157"/>
    </row>
    <row r="1544" spans="1:17" s="95" customFormat="1" x14ac:dyDescent="0.25">
      <c r="A1544" s="175"/>
      <c r="B1544" s="176"/>
      <c r="C1544" s="176"/>
      <c r="D1544" s="1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157"/>
    </row>
    <row r="1545" spans="1:17" s="95" customFormat="1" x14ac:dyDescent="0.25">
      <c r="A1545" s="175"/>
      <c r="B1545" s="176"/>
      <c r="C1545" s="176"/>
      <c r="D1545" s="1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157"/>
    </row>
    <row r="1546" spans="1:17" s="95" customFormat="1" x14ac:dyDescent="0.25">
      <c r="A1546" s="175"/>
      <c r="B1546" s="176"/>
      <c r="C1546" s="176"/>
      <c r="D1546" s="1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157"/>
    </row>
    <row r="1547" spans="1:17" s="95" customFormat="1" x14ac:dyDescent="0.25">
      <c r="A1547" s="175"/>
      <c r="B1547" s="176"/>
      <c r="C1547" s="176"/>
      <c r="D1547" s="1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157"/>
    </row>
    <row r="1548" spans="1:17" s="95" customFormat="1" x14ac:dyDescent="0.25">
      <c r="A1548" s="175"/>
      <c r="B1548" s="176"/>
      <c r="C1548" s="176"/>
      <c r="D1548" s="1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157"/>
    </row>
    <row r="1549" spans="1:17" s="95" customFormat="1" x14ac:dyDescent="0.25">
      <c r="A1549" s="175"/>
      <c r="B1549" s="176"/>
      <c r="C1549" s="176"/>
      <c r="D1549" s="1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157"/>
    </row>
    <row r="1550" spans="1:17" s="95" customFormat="1" x14ac:dyDescent="0.25">
      <c r="A1550" s="175"/>
      <c r="B1550" s="176"/>
      <c r="C1550" s="176"/>
      <c r="D1550" s="1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157"/>
    </row>
    <row r="1551" spans="1:17" s="95" customFormat="1" x14ac:dyDescent="0.25">
      <c r="A1551" s="175"/>
      <c r="B1551" s="176"/>
      <c r="C1551" s="176"/>
      <c r="D1551" s="1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157"/>
    </row>
    <row r="1552" spans="1:17" s="95" customFormat="1" x14ac:dyDescent="0.25">
      <c r="A1552" s="175"/>
      <c r="B1552" s="176"/>
      <c r="C1552" s="176"/>
      <c r="D1552" s="1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157"/>
    </row>
    <row r="1553" spans="1:17" s="95" customFormat="1" x14ac:dyDescent="0.25">
      <c r="A1553" s="175"/>
      <c r="B1553" s="176"/>
      <c r="C1553" s="176"/>
      <c r="D1553" s="1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157"/>
    </row>
    <row r="1554" spans="1:17" s="95" customFormat="1" x14ac:dyDescent="0.25">
      <c r="A1554" s="175"/>
      <c r="B1554" s="176"/>
      <c r="C1554" s="176"/>
      <c r="D1554" s="1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157"/>
    </row>
    <row r="1555" spans="1:17" s="95" customFormat="1" x14ac:dyDescent="0.25">
      <c r="A1555" s="175"/>
      <c r="B1555" s="176"/>
      <c r="C1555" s="176"/>
      <c r="D1555" s="1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157"/>
    </row>
    <row r="1556" spans="1:17" s="95" customFormat="1" x14ac:dyDescent="0.25">
      <c r="A1556" s="175"/>
      <c r="B1556" s="176"/>
      <c r="C1556" s="176"/>
      <c r="D1556" s="1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157"/>
    </row>
    <row r="1557" spans="1:17" s="95" customFormat="1" x14ac:dyDescent="0.25">
      <c r="A1557" s="175"/>
      <c r="B1557" s="176"/>
      <c r="C1557" s="176"/>
      <c r="D1557" s="1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157"/>
    </row>
    <row r="1558" spans="1:17" s="95" customFormat="1" x14ac:dyDescent="0.25">
      <c r="A1558" s="175"/>
      <c r="B1558" s="176"/>
      <c r="C1558" s="176"/>
      <c r="D1558" s="1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157"/>
    </row>
    <row r="1559" spans="1:17" s="95" customFormat="1" x14ac:dyDescent="0.25">
      <c r="A1559" s="175"/>
      <c r="B1559" s="176"/>
      <c r="C1559" s="176"/>
      <c r="D1559" s="1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157"/>
    </row>
    <row r="1560" spans="1:17" s="95" customFormat="1" x14ac:dyDescent="0.25">
      <c r="A1560" s="175"/>
      <c r="B1560" s="176"/>
      <c r="C1560" s="176"/>
      <c r="D1560" s="1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157"/>
    </row>
    <row r="1561" spans="1:17" s="95" customFormat="1" x14ac:dyDescent="0.25">
      <c r="A1561" s="175"/>
      <c r="B1561" s="176"/>
      <c r="C1561" s="176"/>
      <c r="D1561" s="1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157"/>
    </row>
    <row r="1562" spans="1:17" s="95" customFormat="1" x14ac:dyDescent="0.25">
      <c r="A1562" s="175"/>
      <c r="B1562" s="176"/>
      <c r="C1562" s="176"/>
      <c r="D1562" s="1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157"/>
    </row>
    <row r="1563" spans="1:17" s="95" customFormat="1" x14ac:dyDescent="0.25">
      <c r="A1563" s="175"/>
      <c r="B1563" s="176"/>
      <c r="C1563" s="176"/>
      <c r="D1563" s="1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157"/>
    </row>
    <row r="1564" spans="1:17" s="95" customFormat="1" x14ac:dyDescent="0.25">
      <c r="A1564" s="175"/>
      <c r="B1564" s="176"/>
      <c r="C1564" s="176"/>
      <c r="D1564" s="1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157"/>
    </row>
    <row r="1565" spans="1:17" s="95" customFormat="1" x14ac:dyDescent="0.25">
      <c r="A1565" s="175"/>
      <c r="B1565" s="176"/>
      <c r="C1565" s="176"/>
      <c r="D1565" s="1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157"/>
    </row>
    <row r="1566" spans="1:17" s="95" customFormat="1" x14ac:dyDescent="0.25">
      <c r="A1566" s="175"/>
      <c r="B1566" s="176"/>
      <c r="C1566" s="176"/>
      <c r="D1566" s="1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157"/>
    </row>
    <row r="1567" spans="1:17" s="95" customFormat="1" x14ac:dyDescent="0.25">
      <c r="A1567" s="175"/>
      <c r="B1567" s="176"/>
      <c r="C1567" s="176"/>
      <c r="D1567" s="1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157"/>
    </row>
    <row r="1568" spans="1:17" s="95" customFormat="1" x14ac:dyDescent="0.25">
      <c r="A1568" s="175"/>
      <c r="B1568" s="176"/>
      <c r="C1568" s="176"/>
      <c r="D1568" s="1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157"/>
    </row>
    <row r="1569" spans="1:17" s="95" customFormat="1" x14ac:dyDescent="0.25">
      <c r="A1569" s="175"/>
      <c r="B1569" s="176"/>
      <c r="C1569" s="176"/>
      <c r="D1569" s="1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157"/>
    </row>
    <row r="1570" spans="1:17" s="95" customFormat="1" x14ac:dyDescent="0.25">
      <c r="A1570" s="175"/>
      <c r="B1570" s="176"/>
      <c r="C1570" s="176"/>
      <c r="D1570" s="1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157"/>
    </row>
    <row r="1571" spans="1:17" s="95" customFormat="1" x14ac:dyDescent="0.25">
      <c r="A1571" s="175"/>
      <c r="B1571" s="176"/>
      <c r="C1571" s="176"/>
      <c r="D1571" s="1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157"/>
    </row>
    <row r="1572" spans="1:17" s="95" customFormat="1" x14ac:dyDescent="0.25">
      <c r="A1572" s="175"/>
      <c r="B1572" s="176"/>
      <c r="C1572" s="176"/>
      <c r="D1572" s="1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157"/>
    </row>
    <row r="1573" spans="1:17" s="95" customFormat="1" x14ac:dyDescent="0.25">
      <c r="A1573" s="175"/>
      <c r="B1573" s="176"/>
      <c r="C1573" s="176"/>
      <c r="D1573" s="1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157"/>
    </row>
    <row r="1574" spans="1:17" s="95" customFormat="1" x14ac:dyDescent="0.25">
      <c r="A1574" s="175"/>
      <c r="B1574" s="176"/>
      <c r="C1574" s="176"/>
      <c r="D1574" s="1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157"/>
    </row>
    <row r="1575" spans="1:17" s="95" customFormat="1" x14ac:dyDescent="0.25">
      <c r="A1575" s="175"/>
      <c r="B1575" s="176"/>
      <c r="C1575" s="176"/>
      <c r="D1575" s="1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157"/>
    </row>
    <row r="1576" spans="1:17" s="95" customFormat="1" x14ac:dyDescent="0.25">
      <c r="A1576" s="175"/>
      <c r="B1576" s="176"/>
      <c r="C1576" s="176"/>
      <c r="D1576" s="1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157"/>
    </row>
    <row r="1577" spans="1:17" s="95" customFormat="1" x14ac:dyDescent="0.25">
      <c r="A1577" s="175"/>
      <c r="B1577" s="176"/>
      <c r="C1577" s="176"/>
      <c r="D1577" s="1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157"/>
    </row>
    <row r="1578" spans="1:17" s="95" customFormat="1" x14ac:dyDescent="0.25">
      <c r="A1578" s="175"/>
      <c r="B1578" s="176"/>
      <c r="C1578" s="176"/>
      <c r="D1578" s="1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157"/>
    </row>
    <row r="1579" spans="1:17" s="95" customFormat="1" x14ac:dyDescent="0.25">
      <c r="A1579" s="175"/>
      <c r="B1579" s="176"/>
      <c r="C1579" s="176"/>
      <c r="D1579" s="1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157"/>
    </row>
    <row r="1580" spans="1:17" s="95" customFormat="1" x14ac:dyDescent="0.25">
      <c r="A1580" s="175"/>
      <c r="B1580" s="176"/>
      <c r="C1580" s="176"/>
      <c r="D1580" s="1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157"/>
    </row>
    <row r="1581" spans="1:17" s="95" customFormat="1" x14ac:dyDescent="0.25">
      <c r="A1581" s="175"/>
      <c r="B1581" s="176"/>
      <c r="C1581" s="176"/>
      <c r="D1581" s="1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157"/>
    </row>
    <row r="1582" spans="1:17" s="95" customFormat="1" x14ac:dyDescent="0.25">
      <c r="A1582" s="175"/>
      <c r="B1582" s="176"/>
      <c r="C1582" s="176"/>
      <c r="D1582" s="1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157"/>
    </row>
    <row r="1583" spans="1:17" s="95" customFormat="1" x14ac:dyDescent="0.25">
      <c r="A1583" s="175"/>
      <c r="B1583" s="176"/>
      <c r="C1583" s="176"/>
      <c r="D1583" s="1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157"/>
    </row>
    <row r="1584" spans="1:17" s="95" customFormat="1" x14ac:dyDescent="0.25">
      <c r="A1584" s="175"/>
      <c r="B1584" s="176"/>
      <c r="C1584" s="176"/>
      <c r="D1584" s="1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157"/>
    </row>
    <row r="1585" spans="1:17" s="95" customFormat="1" x14ac:dyDescent="0.25">
      <c r="A1585" s="175"/>
      <c r="B1585" s="176"/>
      <c r="C1585" s="176"/>
      <c r="D1585" s="1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157"/>
    </row>
    <row r="1586" spans="1:17" s="95" customFormat="1" x14ac:dyDescent="0.25">
      <c r="A1586" s="175"/>
      <c r="B1586" s="176"/>
      <c r="C1586" s="176"/>
      <c r="D1586" s="1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157"/>
    </row>
    <row r="1587" spans="1:17" s="95" customFormat="1" x14ac:dyDescent="0.25">
      <c r="A1587" s="175"/>
      <c r="B1587" s="176"/>
      <c r="C1587" s="176"/>
      <c r="D1587" s="1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157"/>
    </row>
    <row r="1588" spans="1:17" s="95" customFormat="1" x14ac:dyDescent="0.25">
      <c r="A1588" s="175"/>
      <c r="B1588" s="176"/>
      <c r="C1588" s="176"/>
      <c r="D1588" s="1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157"/>
    </row>
    <row r="1589" spans="1:17" s="95" customFormat="1" x14ac:dyDescent="0.25">
      <c r="A1589" s="175"/>
      <c r="B1589" s="176"/>
      <c r="C1589" s="176"/>
      <c r="D1589" s="1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157"/>
    </row>
    <row r="1590" spans="1:17" s="95" customFormat="1" x14ac:dyDescent="0.25">
      <c r="A1590" s="175"/>
      <c r="B1590" s="176"/>
      <c r="C1590" s="176"/>
      <c r="D1590" s="1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157"/>
    </row>
    <row r="1591" spans="1:17" s="95" customFormat="1" x14ac:dyDescent="0.25">
      <c r="A1591" s="175"/>
      <c r="B1591" s="176"/>
      <c r="C1591" s="176"/>
      <c r="D1591" s="1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157"/>
    </row>
    <row r="1592" spans="1:17" s="95" customFormat="1" x14ac:dyDescent="0.25">
      <c r="A1592" s="175"/>
      <c r="B1592" s="176"/>
      <c r="C1592" s="176"/>
      <c r="D1592" s="1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157"/>
    </row>
    <row r="1593" spans="1:17" s="95" customFormat="1" x14ac:dyDescent="0.25">
      <c r="A1593" s="175"/>
      <c r="B1593" s="176"/>
      <c r="C1593" s="176"/>
      <c r="D1593" s="1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157"/>
    </row>
    <row r="1594" spans="1:17" s="95" customFormat="1" x14ac:dyDescent="0.25">
      <c r="A1594" s="175"/>
      <c r="B1594" s="176"/>
      <c r="C1594" s="176"/>
      <c r="D1594" s="1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157"/>
    </row>
    <row r="1595" spans="1:17" s="95" customFormat="1" x14ac:dyDescent="0.25">
      <c r="A1595" s="175"/>
      <c r="B1595" s="176"/>
      <c r="C1595" s="176"/>
      <c r="D1595" s="1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157"/>
    </row>
    <row r="1596" spans="1:17" s="95" customFormat="1" x14ac:dyDescent="0.25">
      <c r="A1596" s="175"/>
      <c r="B1596" s="176"/>
      <c r="C1596" s="176"/>
      <c r="D1596" s="1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157"/>
    </row>
    <row r="1597" spans="1:17" s="95" customFormat="1" x14ac:dyDescent="0.25">
      <c r="A1597" s="175"/>
      <c r="B1597" s="176"/>
      <c r="C1597" s="176"/>
      <c r="D1597" s="1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157"/>
    </row>
    <row r="1598" spans="1:17" s="95" customFormat="1" x14ac:dyDescent="0.25">
      <c r="A1598" s="175"/>
      <c r="B1598" s="176"/>
      <c r="C1598" s="176"/>
      <c r="D1598" s="1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157"/>
    </row>
    <row r="1599" spans="1:17" s="95" customFormat="1" x14ac:dyDescent="0.25">
      <c r="A1599" s="175"/>
      <c r="B1599" s="176"/>
      <c r="C1599" s="176"/>
      <c r="D1599" s="1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157"/>
    </row>
    <row r="1600" spans="1:17" s="95" customFormat="1" x14ac:dyDescent="0.25">
      <c r="A1600" s="175"/>
      <c r="B1600" s="176"/>
      <c r="C1600" s="176"/>
      <c r="D1600" s="1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157"/>
    </row>
    <row r="1601" spans="1:17" s="95" customFormat="1" x14ac:dyDescent="0.25">
      <c r="A1601" s="175"/>
      <c r="B1601" s="176"/>
      <c r="C1601" s="176"/>
      <c r="D1601" s="1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157"/>
    </row>
    <row r="1602" spans="1:17" s="95" customFormat="1" x14ac:dyDescent="0.25">
      <c r="A1602" s="175"/>
      <c r="B1602" s="176"/>
      <c r="C1602" s="176"/>
      <c r="D1602" s="1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157"/>
    </row>
    <row r="1603" spans="1:17" s="95" customFormat="1" x14ac:dyDescent="0.25">
      <c r="A1603" s="175"/>
      <c r="B1603" s="176"/>
      <c r="C1603" s="176"/>
      <c r="D1603" s="1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157"/>
    </row>
    <row r="1604" spans="1:17" s="95" customFormat="1" x14ac:dyDescent="0.25">
      <c r="A1604" s="175"/>
      <c r="B1604" s="176"/>
      <c r="C1604" s="176"/>
      <c r="D1604" s="1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157"/>
    </row>
    <row r="1605" spans="1:17" s="95" customFormat="1" x14ac:dyDescent="0.25">
      <c r="A1605" s="175"/>
      <c r="B1605" s="176"/>
      <c r="C1605" s="176"/>
      <c r="D1605" s="1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157"/>
    </row>
    <row r="1606" spans="1:17" s="95" customFormat="1" x14ac:dyDescent="0.25">
      <c r="A1606" s="175"/>
      <c r="B1606" s="176"/>
      <c r="C1606" s="176"/>
      <c r="D1606" s="1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157"/>
    </row>
    <row r="1607" spans="1:17" s="95" customFormat="1" x14ac:dyDescent="0.25">
      <c r="A1607" s="175"/>
      <c r="B1607" s="176"/>
      <c r="C1607" s="176"/>
      <c r="D1607" s="1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157"/>
    </row>
    <row r="1608" spans="1:17" s="95" customFormat="1" x14ac:dyDescent="0.25">
      <c r="A1608" s="175"/>
      <c r="B1608" s="176"/>
      <c r="C1608" s="176"/>
      <c r="D1608" s="1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157"/>
    </row>
    <row r="1609" spans="1:17" s="95" customFormat="1" x14ac:dyDescent="0.25">
      <c r="A1609" s="175"/>
      <c r="B1609" s="176"/>
      <c r="C1609" s="176"/>
      <c r="D1609" s="1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157"/>
    </row>
    <row r="1610" spans="1:17" s="95" customFormat="1" x14ac:dyDescent="0.25">
      <c r="A1610" s="175"/>
      <c r="B1610" s="176"/>
      <c r="C1610" s="176"/>
      <c r="D1610" s="1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157"/>
    </row>
    <row r="1611" spans="1:17" s="95" customFormat="1" x14ac:dyDescent="0.25">
      <c r="A1611" s="175"/>
      <c r="B1611" s="176"/>
      <c r="C1611" s="176"/>
      <c r="D1611" s="1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157"/>
    </row>
    <row r="1612" spans="1:17" s="95" customFormat="1" x14ac:dyDescent="0.25">
      <c r="A1612" s="175"/>
      <c r="B1612" s="176"/>
      <c r="C1612" s="176"/>
      <c r="D1612" s="1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157"/>
    </row>
    <row r="1613" spans="1:17" s="95" customFormat="1" x14ac:dyDescent="0.25">
      <c r="A1613" s="175"/>
      <c r="B1613" s="176"/>
      <c r="C1613" s="176"/>
      <c r="D1613" s="1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157"/>
    </row>
    <row r="1614" spans="1:17" s="95" customFormat="1" x14ac:dyDescent="0.25">
      <c r="A1614" s="175"/>
      <c r="B1614" s="176"/>
      <c r="C1614" s="176"/>
      <c r="D1614" s="1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157"/>
    </row>
    <row r="1615" spans="1:17" s="95" customFormat="1" x14ac:dyDescent="0.25">
      <c r="A1615" s="175"/>
      <c r="B1615" s="176"/>
      <c r="C1615" s="176"/>
      <c r="D1615" s="1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157"/>
    </row>
    <row r="1616" spans="1:17" s="95" customFormat="1" x14ac:dyDescent="0.25">
      <c r="A1616" s="175"/>
      <c r="B1616" s="176"/>
      <c r="C1616" s="176"/>
      <c r="D1616" s="1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157"/>
    </row>
    <row r="1617" spans="1:17" s="95" customFormat="1" x14ac:dyDescent="0.25">
      <c r="A1617" s="175"/>
      <c r="B1617" s="176"/>
      <c r="C1617" s="176"/>
      <c r="D1617" s="1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157"/>
    </row>
    <row r="1618" spans="1:17" s="95" customFormat="1" x14ac:dyDescent="0.25">
      <c r="A1618" s="175"/>
      <c r="B1618" s="176"/>
      <c r="C1618" s="176"/>
      <c r="D1618" s="1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157"/>
    </row>
    <row r="1619" spans="1:17" s="95" customFormat="1" x14ac:dyDescent="0.25">
      <c r="A1619" s="175"/>
      <c r="B1619" s="176"/>
      <c r="C1619" s="176"/>
      <c r="D1619" s="1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157"/>
    </row>
    <row r="1620" spans="1:17" s="95" customFormat="1" x14ac:dyDescent="0.25">
      <c r="A1620" s="175"/>
      <c r="B1620" s="176"/>
      <c r="C1620" s="176"/>
      <c r="D1620" s="1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157"/>
    </row>
    <row r="1621" spans="1:17" s="95" customFormat="1" x14ac:dyDescent="0.25">
      <c r="A1621" s="175"/>
      <c r="B1621" s="176"/>
      <c r="C1621" s="176"/>
      <c r="D1621" s="1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157"/>
    </row>
    <row r="1622" spans="1:17" s="95" customFormat="1" x14ac:dyDescent="0.25">
      <c r="A1622" s="175"/>
      <c r="B1622" s="176"/>
      <c r="C1622" s="176"/>
      <c r="D1622" s="1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157"/>
    </row>
    <row r="1623" spans="1:17" s="95" customFormat="1" x14ac:dyDescent="0.25">
      <c r="A1623" s="175"/>
      <c r="B1623" s="176"/>
      <c r="C1623" s="176"/>
      <c r="D1623" s="1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157"/>
    </row>
    <row r="1624" spans="1:17" s="95" customFormat="1" x14ac:dyDescent="0.25">
      <c r="A1624" s="175"/>
      <c r="B1624" s="176"/>
      <c r="C1624" s="176"/>
      <c r="D1624" s="1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157"/>
    </row>
    <row r="1625" spans="1:17" s="95" customFormat="1" x14ac:dyDescent="0.25">
      <c r="A1625" s="175"/>
      <c r="B1625" s="176"/>
      <c r="C1625" s="176"/>
      <c r="D1625" s="1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157"/>
    </row>
    <row r="1626" spans="1:17" s="95" customFormat="1" x14ac:dyDescent="0.25">
      <c r="A1626" s="175"/>
      <c r="B1626" s="176"/>
      <c r="C1626" s="176"/>
      <c r="D1626" s="1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157"/>
    </row>
    <row r="1627" spans="1:17" s="95" customFormat="1" x14ac:dyDescent="0.25">
      <c r="A1627" s="175"/>
      <c r="B1627" s="176"/>
      <c r="C1627" s="176"/>
      <c r="D1627" s="1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157"/>
    </row>
    <row r="1628" spans="1:17" s="95" customFormat="1" x14ac:dyDescent="0.25">
      <c r="A1628" s="175"/>
      <c r="B1628" s="176"/>
      <c r="C1628" s="176"/>
      <c r="D1628" s="1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157"/>
    </row>
    <row r="1629" spans="1:17" s="95" customFormat="1" x14ac:dyDescent="0.25">
      <c r="A1629" s="175"/>
      <c r="B1629" s="176"/>
      <c r="C1629" s="176"/>
      <c r="D1629" s="1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157"/>
    </row>
    <row r="1630" spans="1:17" s="95" customFormat="1" x14ac:dyDescent="0.25">
      <c r="A1630" s="175"/>
      <c r="B1630" s="176"/>
      <c r="C1630" s="176"/>
      <c r="D1630" s="1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157"/>
    </row>
    <row r="1631" spans="1:17" s="95" customFormat="1" x14ac:dyDescent="0.25">
      <c r="A1631" s="175"/>
      <c r="B1631" s="176"/>
      <c r="C1631" s="176"/>
      <c r="D1631" s="1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157"/>
    </row>
    <row r="1632" spans="1:17" s="95" customFormat="1" x14ac:dyDescent="0.25">
      <c r="A1632" s="175"/>
      <c r="B1632" s="176"/>
      <c r="C1632" s="176"/>
      <c r="D1632" s="1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157"/>
    </row>
    <row r="1633" spans="1:17" s="95" customFormat="1" x14ac:dyDescent="0.25">
      <c r="A1633" s="175"/>
      <c r="B1633" s="176"/>
      <c r="C1633" s="176"/>
      <c r="D1633" s="1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157"/>
    </row>
    <row r="1634" spans="1:17" s="95" customFormat="1" x14ac:dyDescent="0.25">
      <c r="A1634" s="175"/>
      <c r="B1634" s="176"/>
      <c r="C1634" s="176"/>
      <c r="D1634" s="1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157"/>
    </row>
    <row r="1635" spans="1:17" s="95" customFormat="1" x14ac:dyDescent="0.25">
      <c r="A1635" s="175"/>
      <c r="B1635" s="176"/>
      <c r="C1635" s="176"/>
      <c r="D1635" s="1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157"/>
    </row>
    <row r="1636" spans="1:17" s="95" customFormat="1" x14ac:dyDescent="0.25">
      <c r="A1636" s="175"/>
      <c r="B1636" s="176"/>
      <c r="C1636" s="176"/>
      <c r="D1636" s="1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157"/>
    </row>
    <row r="1637" spans="1:17" s="95" customFormat="1" x14ac:dyDescent="0.25">
      <c r="A1637" s="175"/>
      <c r="B1637" s="176"/>
      <c r="C1637" s="176"/>
      <c r="D1637" s="1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157"/>
    </row>
    <row r="1638" spans="1:17" s="95" customFormat="1" x14ac:dyDescent="0.25">
      <c r="A1638" s="175"/>
      <c r="B1638" s="176"/>
      <c r="C1638" s="176"/>
      <c r="D1638" s="1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157"/>
    </row>
    <row r="1639" spans="1:17" s="95" customFormat="1" x14ac:dyDescent="0.25">
      <c r="A1639" s="175"/>
      <c r="B1639" s="176"/>
      <c r="C1639" s="176"/>
      <c r="D1639" s="1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157"/>
    </row>
    <row r="1640" spans="1:17" s="95" customFormat="1" x14ac:dyDescent="0.25">
      <c r="A1640" s="175"/>
      <c r="B1640" s="176"/>
      <c r="C1640" s="176"/>
      <c r="D1640" s="1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157"/>
    </row>
    <row r="1641" spans="1:17" s="95" customFormat="1" x14ac:dyDescent="0.25">
      <c r="A1641" s="175"/>
      <c r="B1641" s="176"/>
      <c r="C1641" s="176"/>
      <c r="D1641" s="1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157"/>
    </row>
    <row r="1642" spans="1:17" s="95" customFormat="1" x14ac:dyDescent="0.25">
      <c r="A1642" s="175"/>
      <c r="B1642" s="176"/>
      <c r="C1642" s="176"/>
      <c r="D1642" s="1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157"/>
    </row>
    <row r="1643" spans="1:17" s="95" customFormat="1" x14ac:dyDescent="0.25">
      <c r="A1643" s="175"/>
      <c r="B1643" s="176"/>
      <c r="C1643" s="176"/>
      <c r="D1643" s="1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157"/>
    </row>
    <row r="1644" spans="1:17" s="95" customFormat="1" x14ac:dyDescent="0.25">
      <c r="A1644" s="175"/>
      <c r="B1644" s="176"/>
      <c r="C1644" s="176"/>
      <c r="D1644" s="1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157"/>
    </row>
    <row r="1645" spans="1:17" s="95" customFormat="1" x14ac:dyDescent="0.25">
      <c r="A1645" s="175"/>
      <c r="B1645" s="176"/>
      <c r="C1645" s="176"/>
      <c r="D1645" s="1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157"/>
    </row>
    <row r="1646" spans="1:17" s="95" customFormat="1" x14ac:dyDescent="0.25">
      <c r="A1646" s="175"/>
      <c r="B1646" s="176"/>
      <c r="C1646" s="176"/>
      <c r="D1646" s="1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157"/>
    </row>
    <row r="1647" spans="1:17" s="95" customFormat="1" x14ac:dyDescent="0.25">
      <c r="A1647" s="175"/>
      <c r="B1647" s="176"/>
      <c r="C1647" s="176"/>
      <c r="D1647" s="1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157"/>
    </row>
    <row r="1648" spans="1:17" s="95" customFormat="1" x14ac:dyDescent="0.25">
      <c r="A1648" s="175"/>
      <c r="B1648" s="176"/>
      <c r="C1648" s="176"/>
      <c r="D1648" s="1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157"/>
    </row>
    <row r="1649" spans="1:17" s="95" customFormat="1" x14ac:dyDescent="0.25">
      <c r="A1649" s="175"/>
      <c r="B1649" s="176"/>
      <c r="C1649" s="176"/>
      <c r="D1649" s="1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157"/>
    </row>
    <row r="1650" spans="1:17" s="95" customFormat="1" x14ac:dyDescent="0.25">
      <c r="A1650" s="175"/>
      <c r="B1650" s="176"/>
      <c r="C1650" s="176"/>
      <c r="D1650" s="1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157"/>
    </row>
    <row r="1651" spans="1:17" s="95" customFormat="1" x14ac:dyDescent="0.25">
      <c r="A1651" s="175"/>
      <c r="B1651" s="176"/>
      <c r="C1651" s="176"/>
      <c r="D1651" s="1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157"/>
    </row>
    <row r="1652" spans="1:17" s="95" customFormat="1" x14ac:dyDescent="0.25">
      <c r="A1652" s="175"/>
      <c r="B1652" s="176"/>
      <c r="C1652" s="176"/>
      <c r="D1652" s="1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157"/>
    </row>
    <row r="1653" spans="1:17" s="95" customFormat="1" x14ac:dyDescent="0.25">
      <c r="A1653" s="175"/>
      <c r="B1653" s="176"/>
      <c r="C1653" s="176"/>
      <c r="D1653" s="1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157"/>
    </row>
    <row r="1654" spans="1:17" s="95" customFormat="1" x14ac:dyDescent="0.25">
      <c r="A1654" s="175"/>
      <c r="B1654" s="176"/>
      <c r="C1654" s="176"/>
      <c r="D1654" s="1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157"/>
    </row>
    <row r="1655" spans="1:17" s="95" customFormat="1" x14ac:dyDescent="0.25">
      <c r="A1655" s="175"/>
      <c r="B1655" s="176"/>
      <c r="C1655" s="176"/>
      <c r="D1655" s="1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157"/>
    </row>
    <row r="1656" spans="1:17" s="95" customFormat="1" x14ac:dyDescent="0.25">
      <c r="A1656" s="175"/>
      <c r="B1656" s="176"/>
      <c r="C1656" s="176"/>
      <c r="D1656" s="1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157"/>
    </row>
    <row r="1657" spans="1:17" s="95" customFormat="1" x14ac:dyDescent="0.25">
      <c r="A1657" s="175"/>
      <c r="B1657" s="176"/>
      <c r="C1657" s="176"/>
      <c r="D1657" s="1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157"/>
    </row>
    <row r="1658" spans="1:17" s="95" customFormat="1" x14ac:dyDescent="0.25">
      <c r="A1658" s="175"/>
      <c r="B1658" s="176"/>
      <c r="C1658" s="176"/>
      <c r="D1658" s="1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157"/>
    </row>
    <row r="1659" spans="1:17" s="95" customFormat="1" x14ac:dyDescent="0.25">
      <c r="A1659" s="175"/>
      <c r="B1659" s="176"/>
      <c r="C1659" s="176"/>
      <c r="D1659" s="1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157"/>
    </row>
    <row r="1660" spans="1:17" s="95" customFormat="1" x14ac:dyDescent="0.25">
      <c r="A1660" s="175"/>
      <c r="B1660" s="176"/>
      <c r="C1660" s="176"/>
      <c r="D1660" s="1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157"/>
    </row>
    <row r="1661" spans="1:17" s="95" customFormat="1" x14ac:dyDescent="0.25">
      <c r="A1661" s="175"/>
      <c r="B1661" s="176"/>
      <c r="C1661" s="176"/>
      <c r="D1661" s="1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157"/>
    </row>
    <row r="1662" spans="1:17" s="95" customFormat="1" x14ac:dyDescent="0.25">
      <c r="A1662" s="175"/>
      <c r="B1662" s="176"/>
      <c r="C1662" s="176"/>
      <c r="D1662" s="1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157"/>
    </row>
    <row r="1663" spans="1:17" s="95" customFormat="1" x14ac:dyDescent="0.25">
      <c r="A1663" s="175"/>
      <c r="B1663" s="176"/>
      <c r="C1663" s="176"/>
      <c r="D1663" s="1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157"/>
    </row>
    <row r="1664" spans="1:17" s="95" customFormat="1" x14ac:dyDescent="0.25">
      <c r="A1664" s="175"/>
      <c r="B1664" s="176"/>
      <c r="C1664" s="176"/>
      <c r="D1664" s="1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157"/>
    </row>
    <row r="1665" spans="1:17" s="95" customFormat="1" x14ac:dyDescent="0.25">
      <c r="A1665" s="175"/>
      <c r="B1665" s="176"/>
      <c r="C1665" s="176"/>
      <c r="D1665" s="1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157"/>
    </row>
    <row r="1666" spans="1:17" s="95" customFormat="1" x14ac:dyDescent="0.25">
      <c r="A1666" s="175"/>
      <c r="B1666" s="176"/>
      <c r="C1666" s="176"/>
      <c r="D1666" s="1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157"/>
    </row>
    <row r="1667" spans="1:17" s="95" customFormat="1" x14ac:dyDescent="0.25">
      <c r="A1667" s="175"/>
      <c r="B1667" s="176"/>
      <c r="C1667" s="176"/>
      <c r="D1667" s="1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157"/>
    </row>
    <row r="1668" spans="1:17" s="95" customFormat="1" x14ac:dyDescent="0.25">
      <c r="A1668" s="175"/>
      <c r="B1668" s="176"/>
      <c r="C1668" s="176"/>
      <c r="D1668" s="1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157"/>
    </row>
    <row r="1669" spans="1:17" s="95" customFormat="1" x14ac:dyDescent="0.25">
      <c r="A1669" s="175"/>
      <c r="B1669" s="176"/>
      <c r="C1669" s="176"/>
      <c r="D1669" s="1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157"/>
    </row>
    <row r="1670" spans="1:17" s="95" customFormat="1" x14ac:dyDescent="0.25">
      <c r="A1670" s="175"/>
      <c r="B1670" s="176"/>
      <c r="C1670" s="176"/>
      <c r="D1670" s="1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157"/>
    </row>
    <row r="1671" spans="1:17" s="95" customFormat="1" x14ac:dyDescent="0.25">
      <c r="A1671" s="175"/>
      <c r="B1671" s="176"/>
      <c r="C1671" s="176"/>
      <c r="D1671" s="1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157"/>
    </row>
    <row r="1672" spans="1:17" s="95" customFormat="1" x14ac:dyDescent="0.25">
      <c r="A1672" s="175"/>
      <c r="B1672" s="176"/>
      <c r="C1672" s="176"/>
      <c r="D1672" s="1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157"/>
    </row>
    <row r="1673" spans="1:17" s="95" customFormat="1" x14ac:dyDescent="0.25">
      <c r="A1673" s="175"/>
      <c r="B1673" s="176"/>
      <c r="C1673" s="176"/>
      <c r="D1673" s="1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157"/>
    </row>
    <row r="1674" spans="1:17" s="95" customFormat="1" x14ac:dyDescent="0.25">
      <c r="A1674" s="175"/>
      <c r="B1674" s="176"/>
      <c r="C1674" s="176"/>
      <c r="D1674" s="1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157"/>
    </row>
    <row r="1675" spans="1:17" s="95" customFormat="1" x14ac:dyDescent="0.25">
      <c r="A1675" s="175"/>
      <c r="B1675" s="176"/>
      <c r="C1675" s="176"/>
      <c r="D1675" s="1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157"/>
    </row>
    <row r="1676" spans="1:17" s="95" customFormat="1" x14ac:dyDescent="0.25">
      <c r="A1676" s="175"/>
      <c r="B1676" s="176"/>
      <c r="C1676" s="176"/>
      <c r="D1676" s="1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157"/>
    </row>
    <row r="1677" spans="1:17" s="95" customFormat="1" x14ac:dyDescent="0.25">
      <c r="A1677" s="175"/>
      <c r="B1677" s="176"/>
      <c r="C1677" s="176"/>
      <c r="D1677" s="1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157"/>
    </row>
    <row r="1678" spans="1:17" s="95" customFormat="1" x14ac:dyDescent="0.25">
      <c r="A1678" s="175"/>
      <c r="B1678" s="176"/>
      <c r="C1678" s="176"/>
      <c r="D1678" s="1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157"/>
    </row>
    <row r="1679" spans="1:17" s="95" customFormat="1" x14ac:dyDescent="0.25">
      <c r="A1679" s="175"/>
      <c r="B1679" s="176"/>
      <c r="C1679" s="176"/>
      <c r="D1679" s="1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157"/>
    </row>
    <row r="1680" spans="1:17" s="95" customFormat="1" x14ac:dyDescent="0.25">
      <c r="A1680" s="175"/>
      <c r="B1680" s="176"/>
      <c r="C1680" s="176"/>
      <c r="D1680" s="1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157"/>
    </row>
    <row r="1681" spans="1:17" s="95" customFormat="1" x14ac:dyDescent="0.25">
      <c r="A1681" s="175"/>
      <c r="B1681" s="176"/>
      <c r="C1681" s="176"/>
      <c r="D1681" s="1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157"/>
    </row>
    <row r="1682" spans="1:17" s="95" customFormat="1" x14ac:dyDescent="0.25">
      <c r="A1682" s="175"/>
      <c r="B1682" s="176"/>
      <c r="C1682" s="176"/>
      <c r="D1682" s="1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157"/>
    </row>
    <row r="1683" spans="1:17" s="95" customFormat="1" x14ac:dyDescent="0.25">
      <c r="A1683" s="175"/>
      <c r="B1683" s="176"/>
      <c r="C1683" s="176"/>
      <c r="D1683" s="1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157"/>
    </row>
    <row r="1684" spans="1:17" s="95" customFormat="1" x14ac:dyDescent="0.25">
      <c r="A1684" s="175"/>
      <c r="B1684" s="176"/>
      <c r="C1684" s="176"/>
      <c r="D1684" s="1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157"/>
    </row>
    <row r="1685" spans="1:17" s="95" customFormat="1" x14ac:dyDescent="0.25">
      <c r="A1685" s="175"/>
      <c r="B1685" s="176"/>
      <c r="C1685" s="176"/>
      <c r="D1685" s="1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157"/>
    </row>
    <row r="1686" spans="1:17" s="95" customFormat="1" x14ac:dyDescent="0.25">
      <c r="A1686" s="175"/>
      <c r="B1686" s="176"/>
      <c r="C1686" s="176"/>
      <c r="D1686" s="1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157"/>
    </row>
    <row r="1687" spans="1:17" s="95" customFormat="1" x14ac:dyDescent="0.25">
      <c r="A1687" s="175"/>
      <c r="B1687" s="176"/>
      <c r="C1687" s="176"/>
      <c r="D1687" s="1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157"/>
    </row>
    <row r="1688" spans="1:17" s="95" customFormat="1" x14ac:dyDescent="0.25">
      <c r="A1688" s="175"/>
      <c r="B1688" s="176"/>
      <c r="C1688" s="176"/>
      <c r="D1688" s="1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157"/>
    </row>
    <row r="1689" spans="1:17" s="95" customFormat="1" x14ac:dyDescent="0.25">
      <c r="A1689" s="175"/>
      <c r="B1689" s="176"/>
      <c r="C1689" s="176"/>
      <c r="D1689" s="1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157"/>
    </row>
    <row r="1690" spans="1:17" s="95" customFormat="1" x14ac:dyDescent="0.25">
      <c r="A1690" s="175"/>
      <c r="B1690" s="176"/>
      <c r="C1690" s="176"/>
      <c r="D1690" s="1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157"/>
    </row>
    <row r="1691" spans="1:17" s="95" customFormat="1" x14ac:dyDescent="0.25">
      <c r="A1691" s="175"/>
      <c r="B1691" s="176"/>
      <c r="C1691" s="176"/>
      <c r="D1691" s="1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157"/>
    </row>
    <row r="1692" spans="1:17" s="95" customFormat="1" x14ac:dyDescent="0.25">
      <c r="A1692" s="175"/>
      <c r="B1692" s="176"/>
      <c r="C1692" s="176"/>
      <c r="D1692" s="1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157"/>
    </row>
    <row r="1693" spans="1:17" s="95" customFormat="1" x14ac:dyDescent="0.25">
      <c r="A1693" s="175"/>
      <c r="B1693" s="176"/>
      <c r="C1693" s="176"/>
      <c r="D1693" s="1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157"/>
    </row>
    <row r="1694" spans="1:17" s="95" customFormat="1" x14ac:dyDescent="0.25">
      <c r="A1694" s="175"/>
      <c r="B1694" s="176"/>
      <c r="C1694" s="176"/>
      <c r="D1694" s="1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157"/>
    </row>
    <row r="1695" spans="1:17" s="95" customFormat="1" x14ac:dyDescent="0.25">
      <c r="A1695" s="175"/>
      <c r="B1695" s="176"/>
      <c r="C1695" s="176"/>
      <c r="D1695" s="1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157"/>
    </row>
    <row r="1696" spans="1:17" s="95" customFormat="1" x14ac:dyDescent="0.25">
      <c r="A1696" s="175"/>
      <c r="B1696" s="176"/>
      <c r="C1696" s="176"/>
      <c r="D1696" s="1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157"/>
    </row>
    <row r="1697" spans="1:17" s="95" customFormat="1" x14ac:dyDescent="0.25">
      <c r="A1697" s="175"/>
      <c r="B1697" s="176"/>
      <c r="C1697" s="176"/>
      <c r="D1697" s="1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157"/>
    </row>
    <row r="1698" spans="1:17" s="95" customFormat="1" x14ac:dyDescent="0.25">
      <c r="A1698" s="175"/>
      <c r="B1698" s="176"/>
      <c r="C1698" s="176"/>
      <c r="D1698" s="1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157"/>
    </row>
    <row r="1699" spans="1:17" s="95" customFormat="1" x14ac:dyDescent="0.25">
      <c r="A1699" s="175"/>
      <c r="B1699" s="176"/>
      <c r="C1699" s="176"/>
      <c r="D1699" s="1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157"/>
    </row>
    <row r="1700" spans="1:17" s="95" customFormat="1" x14ac:dyDescent="0.25">
      <c r="A1700" s="175"/>
      <c r="B1700" s="176"/>
      <c r="C1700" s="176"/>
      <c r="D1700" s="1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157"/>
    </row>
    <row r="1701" spans="1:17" s="95" customFormat="1" x14ac:dyDescent="0.25">
      <c r="A1701" s="175"/>
      <c r="B1701" s="176"/>
      <c r="C1701" s="176"/>
      <c r="D1701" s="1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157"/>
    </row>
    <row r="1702" spans="1:17" s="95" customFormat="1" x14ac:dyDescent="0.25">
      <c r="A1702" s="175"/>
      <c r="B1702" s="176"/>
      <c r="C1702" s="176"/>
      <c r="D1702" s="1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157"/>
    </row>
    <row r="1703" spans="1:17" s="95" customFormat="1" x14ac:dyDescent="0.25">
      <c r="A1703" s="175"/>
      <c r="B1703" s="176"/>
      <c r="C1703" s="176"/>
      <c r="D1703" s="1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157"/>
    </row>
    <row r="1704" spans="1:17" s="95" customFormat="1" x14ac:dyDescent="0.25">
      <c r="A1704" s="175"/>
      <c r="B1704" s="176"/>
      <c r="C1704" s="176"/>
      <c r="D1704" s="1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157"/>
    </row>
    <row r="1705" spans="1:17" s="95" customFormat="1" x14ac:dyDescent="0.25">
      <c r="A1705" s="175"/>
      <c r="B1705" s="176"/>
      <c r="C1705" s="176"/>
      <c r="D1705" s="1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157"/>
    </row>
    <row r="1706" spans="1:17" s="95" customFormat="1" x14ac:dyDescent="0.25">
      <c r="A1706" s="175"/>
      <c r="B1706" s="176"/>
      <c r="C1706" s="176"/>
      <c r="D1706" s="1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157"/>
    </row>
    <row r="1707" spans="1:17" s="95" customFormat="1" x14ac:dyDescent="0.25">
      <c r="A1707" s="175"/>
      <c r="B1707" s="176"/>
      <c r="C1707" s="176"/>
      <c r="D1707" s="1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157"/>
    </row>
    <row r="1708" spans="1:17" s="95" customFormat="1" x14ac:dyDescent="0.25">
      <c r="A1708" s="175"/>
      <c r="B1708" s="176"/>
      <c r="C1708" s="176"/>
      <c r="D1708" s="1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157"/>
    </row>
    <row r="1709" spans="1:17" s="95" customFormat="1" x14ac:dyDescent="0.25">
      <c r="A1709" s="175"/>
      <c r="B1709" s="176"/>
      <c r="C1709" s="176"/>
      <c r="D1709" s="1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157"/>
    </row>
    <row r="1710" spans="1:17" s="95" customFormat="1" x14ac:dyDescent="0.25">
      <c r="A1710" s="175"/>
      <c r="B1710" s="176"/>
      <c r="C1710" s="176"/>
      <c r="D1710" s="1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157"/>
    </row>
    <row r="1711" spans="1:17" s="95" customFormat="1" x14ac:dyDescent="0.25">
      <c r="A1711" s="175"/>
      <c r="B1711" s="176"/>
      <c r="C1711" s="176"/>
      <c r="D1711" s="1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157"/>
    </row>
    <row r="1712" spans="1:17" s="95" customFormat="1" x14ac:dyDescent="0.25">
      <c r="A1712" s="175"/>
      <c r="B1712" s="176"/>
      <c r="C1712" s="176"/>
      <c r="D1712" s="1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157"/>
    </row>
    <row r="1713" spans="1:17" s="95" customFormat="1" x14ac:dyDescent="0.25">
      <c r="A1713" s="175"/>
      <c r="B1713" s="176"/>
      <c r="C1713" s="176"/>
      <c r="D1713" s="1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157"/>
    </row>
    <row r="1714" spans="1:17" s="95" customFormat="1" x14ac:dyDescent="0.25">
      <c r="A1714" s="175"/>
      <c r="B1714" s="176"/>
      <c r="C1714" s="176"/>
      <c r="D1714" s="1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157"/>
    </row>
    <row r="1715" spans="1:17" s="95" customFormat="1" x14ac:dyDescent="0.25">
      <c r="A1715" s="175"/>
      <c r="B1715" s="176"/>
      <c r="C1715" s="176"/>
      <c r="D1715" s="1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157"/>
    </row>
    <row r="1716" spans="1:17" s="95" customFormat="1" x14ac:dyDescent="0.25">
      <c r="A1716" s="175"/>
      <c r="B1716" s="176"/>
      <c r="C1716" s="176"/>
      <c r="D1716" s="1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157"/>
    </row>
    <row r="1717" spans="1:17" s="95" customFormat="1" x14ac:dyDescent="0.25">
      <c r="A1717" s="175"/>
      <c r="B1717" s="176"/>
      <c r="C1717" s="176"/>
      <c r="D1717" s="1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157"/>
    </row>
    <row r="1718" spans="1:17" s="95" customFormat="1" x14ac:dyDescent="0.25">
      <c r="A1718" s="175"/>
      <c r="B1718" s="176"/>
      <c r="C1718" s="176"/>
      <c r="D1718" s="1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157"/>
    </row>
    <row r="1719" spans="1:17" s="95" customFormat="1" x14ac:dyDescent="0.25">
      <c r="A1719" s="175"/>
      <c r="B1719" s="176"/>
      <c r="C1719" s="176"/>
      <c r="D1719" s="1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157"/>
    </row>
    <row r="1720" spans="1:17" s="95" customFormat="1" x14ac:dyDescent="0.25">
      <c r="A1720" s="175"/>
      <c r="B1720" s="176"/>
      <c r="C1720" s="176"/>
      <c r="D1720" s="1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157"/>
    </row>
    <row r="1721" spans="1:17" s="95" customFormat="1" x14ac:dyDescent="0.25">
      <c r="A1721" s="175"/>
      <c r="B1721" s="176"/>
      <c r="C1721" s="176"/>
      <c r="D1721" s="1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157"/>
    </row>
    <row r="1722" spans="1:17" s="95" customFormat="1" x14ac:dyDescent="0.25">
      <c r="A1722" s="175"/>
      <c r="B1722" s="176"/>
      <c r="C1722" s="176"/>
      <c r="D1722" s="1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157"/>
    </row>
    <row r="1723" spans="1:17" s="95" customFormat="1" x14ac:dyDescent="0.25">
      <c r="A1723" s="175"/>
      <c r="B1723" s="176"/>
      <c r="C1723" s="176"/>
      <c r="D1723" s="1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157"/>
    </row>
    <row r="1724" spans="1:17" s="95" customFormat="1" x14ac:dyDescent="0.25">
      <c r="A1724" s="175"/>
      <c r="B1724" s="176"/>
      <c r="C1724" s="176"/>
      <c r="D1724" s="1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157"/>
    </row>
    <row r="1725" spans="1:17" s="95" customFormat="1" x14ac:dyDescent="0.25">
      <c r="A1725" s="175"/>
      <c r="B1725" s="176"/>
      <c r="C1725" s="176"/>
      <c r="D1725" s="1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157"/>
    </row>
    <row r="1726" spans="1:17" s="95" customFormat="1" x14ac:dyDescent="0.25">
      <c r="A1726" s="175"/>
      <c r="B1726" s="176"/>
      <c r="C1726" s="176"/>
      <c r="D1726" s="1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157"/>
    </row>
    <row r="1727" spans="1:17" s="95" customFormat="1" x14ac:dyDescent="0.25">
      <c r="A1727" s="175"/>
      <c r="B1727" s="176"/>
      <c r="C1727" s="176"/>
      <c r="D1727" s="1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157"/>
    </row>
    <row r="1728" spans="1:17" s="95" customFormat="1" x14ac:dyDescent="0.25">
      <c r="A1728" s="175"/>
      <c r="B1728" s="176"/>
      <c r="C1728" s="176"/>
      <c r="D1728" s="1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157"/>
    </row>
    <row r="1729" spans="1:17" s="95" customFormat="1" x14ac:dyDescent="0.25">
      <c r="A1729" s="175"/>
      <c r="B1729" s="176"/>
      <c r="C1729" s="176"/>
      <c r="D1729" s="1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157"/>
    </row>
    <row r="1730" spans="1:17" s="95" customFormat="1" x14ac:dyDescent="0.25">
      <c r="A1730" s="175"/>
      <c r="B1730" s="176"/>
      <c r="C1730" s="176"/>
      <c r="D1730" s="1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157"/>
    </row>
    <row r="1731" spans="1:17" s="95" customFormat="1" x14ac:dyDescent="0.25">
      <c r="A1731" s="175"/>
      <c r="B1731" s="176"/>
      <c r="C1731" s="176"/>
      <c r="D1731" s="1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157"/>
    </row>
    <row r="1732" spans="1:17" s="95" customFormat="1" x14ac:dyDescent="0.25">
      <c r="A1732" s="175"/>
      <c r="B1732" s="176"/>
      <c r="C1732" s="176"/>
      <c r="D1732" s="1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157"/>
    </row>
    <row r="1733" spans="1:17" s="95" customFormat="1" x14ac:dyDescent="0.25">
      <c r="A1733" s="175"/>
      <c r="B1733" s="176"/>
      <c r="C1733" s="176"/>
      <c r="D1733" s="1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157"/>
    </row>
    <row r="1734" spans="1:17" s="95" customFormat="1" x14ac:dyDescent="0.25">
      <c r="A1734" s="175"/>
      <c r="B1734" s="176"/>
      <c r="C1734" s="176"/>
      <c r="D1734" s="1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157"/>
    </row>
    <row r="1735" spans="1:17" s="95" customFormat="1" x14ac:dyDescent="0.25">
      <c r="A1735" s="175"/>
      <c r="B1735" s="176"/>
      <c r="C1735" s="176"/>
      <c r="D1735" s="1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157"/>
    </row>
    <row r="1736" spans="1:17" s="95" customFormat="1" x14ac:dyDescent="0.25">
      <c r="A1736" s="175"/>
      <c r="B1736" s="176"/>
      <c r="C1736" s="176"/>
      <c r="D1736" s="1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157"/>
    </row>
    <row r="1737" spans="1:17" s="95" customFormat="1" x14ac:dyDescent="0.25">
      <c r="A1737" s="175"/>
      <c r="B1737" s="176"/>
      <c r="C1737" s="176"/>
      <c r="D1737" s="1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157"/>
    </row>
    <row r="1738" spans="1:17" s="95" customFormat="1" x14ac:dyDescent="0.25">
      <c r="A1738" s="175"/>
      <c r="B1738" s="176"/>
      <c r="C1738" s="176"/>
      <c r="D1738" s="1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157"/>
    </row>
    <row r="1739" spans="1:17" s="95" customFormat="1" x14ac:dyDescent="0.25">
      <c r="A1739" s="175"/>
      <c r="B1739" s="176"/>
      <c r="C1739" s="176"/>
      <c r="D1739" s="1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157"/>
    </row>
    <row r="1740" spans="1:17" s="95" customFormat="1" x14ac:dyDescent="0.25">
      <c r="A1740" s="175"/>
      <c r="B1740" s="176"/>
      <c r="C1740" s="176"/>
      <c r="D1740" s="1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157"/>
    </row>
    <row r="1741" spans="1:17" s="95" customFormat="1" x14ac:dyDescent="0.25">
      <c r="A1741" s="175"/>
      <c r="B1741" s="176"/>
      <c r="C1741" s="176"/>
      <c r="D1741" s="1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157"/>
    </row>
    <row r="1742" spans="1:17" s="95" customFormat="1" x14ac:dyDescent="0.25">
      <c r="A1742" s="175"/>
      <c r="B1742" s="176"/>
      <c r="C1742" s="176"/>
      <c r="D1742" s="1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157"/>
    </row>
    <row r="1743" spans="1:17" s="95" customFormat="1" x14ac:dyDescent="0.25">
      <c r="A1743" s="175"/>
      <c r="B1743" s="176"/>
      <c r="C1743" s="176"/>
      <c r="D1743" s="1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157"/>
    </row>
    <row r="1744" spans="1:17" s="95" customFormat="1" x14ac:dyDescent="0.25">
      <c r="A1744" s="175"/>
      <c r="B1744" s="176"/>
      <c r="C1744" s="176"/>
      <c r="D1744" s="1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157"/>
    </row>
    <row r="1745" spans="1:17" s="95" customFormat="1" x14ac:dyDescent="0.25">
      <c r="A1745" s="175"/>
      <c r="B1745" s="176"/>
      <c r="C1745" s="176"/>
      <c r="D1745" s="1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157"/>
    </row>
    <row r="1746" spans="1:17" s="95" customFormat="1" x14ac:dyDescent="0.25">
      <c r="A1746" s="175"/>
      <c r="B1746" s="176"/>
      <c r="C1746" s="176"/>
      <c r="D1746" s="1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157"/>
    </row>
    <row r="1747" spans="1:17" s="95" customFormat="1" x14ac:dyDescent="0.25">
      <c r="A1747" s="175"/>
      <c r="B1747" s="176"/>
      <c r="C1747" s="176"/>
      <c r="D1747" s="1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157"/>
    </row>
    <row r="1748" spans="1:17" s="95" customFormat="1" x14ac:dyDescent="0.25">
      <c r="A1748" s="175"/>
      <c r="B1748" s="176"/>
      <c r="C1748" s="176"/>
      <c r="D1748" s="1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157"/>
    </row>
    <row r="1749" spans="1:17" s="95" customFormat="1" x14ac:dyDescent="0.25">
      <c r="A1749" s="175"/>
      <c r="B1749" s="176"/>
      <c r="C1749" s="176"/>
      <c r="D1749" s="1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157"/>
    </row>
    <row r="1750" spans="1:17" s="95" customFormat="1" x14ac:dyDescent="0.25">
      <c r="A1750" s="175"/>
      <c r="B1750" s="176"/>
      <c r="C1750" s="176"/>
      <c r="D1750" s="1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157"/>
    </row>
    <row r="1751" spans="1:17" s="95" customFormat="1" x14ac:dyDescent="0.25">
      <c r="A1751" s="175"/>
      <c r="B1751" s="176"/>
      <c r="C1751" s="176"/>
      <c r="D1751" s="1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157"/>
    </row>
    <row r="1752" spans="1:17" s="95" customFormat="1" x14ac:dyDescent="0.25">
      <c r="A1752" s="175"/>
      <c r="B1752" s="176"/>
      <c r="C1752" s="176"/>
      <c r="D1752" s="1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157"/>
    </row>
    <row r="1753" spans="1:17" s="95" customFormat="1" x14ac:dyDescent="0.25">
      <c r="A1753" s="175"/>
      <c r="B1753" s="176"/>
      <c r="C1753" s="176"/>
      <c r="D1753" s="1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157"/>
    </row>
    <row r="1754" spans="1:17" s="95" customFormat="1" x14ac:dyDescent="0.25">
      <c r="A1754" s="175"/>
      <c r="B1754" s="176"/>
      <c r="C1754" s="176"/>
      <c r="D1754" s="1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157"/>
    </row>
    <row r="1755" spans="1:17" s="95" customFormat="1" x14ac:dyDescent="0.25">
      <c r="A1755" s="175"/>
      <c r="B1755" s="176"/>
      <c r="C1755" s="176"/>
      <c r="D1755" s="1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157"/>
    </row>
    <row r="1756" spans="1:17" s="95" customFormat="1" x14ac:dyDescent="0.25">
      <c r="A1756" s="175"/>
      <c r="B1756" s="176"/>
      <c r="C1756" s="176"/>
      <c r="D1756" s="1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157"/>
    </row>
    <row r="1757" spans="1:17" s="95" customFormat="1" x14ac:dyDescent="0.25">
      <c r="A1757" s="175"/>
      <c r="B1757" s="176"/>
      <c r="C1757" s="176"/>
      <c r="D1757" s="1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157"/>
    </row>
    <row r="1758" spans="1:17" s="95" customFormat="1" x14ac:dyDescent="0.25">
      <c r="A1758" s="175"/>
      <c r="B1758" s="176"/>
      <c r="C1758" s="176"/>
      <c r="D1758" s="1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157"/>
    </row>
    <row r="1759" spans="1:17" s="95" customFormat="1" x14ac:dyDescent="0.25">
      <c r="A1759" s="175"/>
      <c r="B1759" s="176"/>
      <c r="C1759" s="176"/>
      <c r="D1759" s="1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157"/>
    </row>
    <row r="1760" spans="1:17" s="95" customFormat="1" x14ac:dyDescent="0.25">
      <c r="A1760" s="175"/>
      <c r="B1760" s="176"/>
      <c r="C1760" s="176"/>
      <c r="D1760" s="1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157"/>
    </row>
    <row r="1761" spans="1:17" s="95" customFormat="1" x14ac:dyDescent="0.25">
      <c r="A1761" s="175"/>
      <c r="B1761" s="176"/>
      <c r="C1761" s="176"/>
      <c r="D1761" s="1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157"/>
    </row>
    <row r="1762" spans="1:17" s="95" customFormat="1" x14ac:dyDescent="0.25">
      <c r="A1762" s="175"/>
      <c r="B1762" s="176"/>
      <c r="C1762" s="176"/>
      <c r="D1762" s="1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157"/>
    </row>
    <row r="1763" spans="1:17" s="95" customFormat="1" x14ac:dyDescent="0.25">
      <c r="A1763" s="175"/>
      <c r="B1763" s="176"/>
      <c r="C1763" s="176"/>
      <c r="D1763" s="1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157"/>
    </row>
    <row r="1764" spans="1:17" s="95" customFormat="1" x14ac:dyDescent="0.25">
      <c r="A1764" s="175"/>
      <c r="B1764" s="176"/>
      <c r="C1764" s="176"/>
      <c r="D1764" s="1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157"/>
    </row>
    <row r="1765" spans="1:17" s="95" customFormat="1" x14ac:dyDescent="0.25">
      <c r="A1765" s="175"/>
      <c r="B1765" s="176"/>
      <c r="C1765" s="176"/>
      <c r="D1765" s="1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157"/>
    </row>
    <row r="1766" spans="1:17" s="95" customFormat="1" x14ac:dyDescent="0.25">
      <c r="A1766" s="175"/>
      <c r="B1766" s="176"/>
      <c r="C1766" s="176"/>
      <c r="D1766" s="1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157"/>
    </row>
    <row r="1767" spans="1:17" s="95" customFormat="1" x14ac:dyDescent="0.25">
      <c r="A1767" s="175"/>
      <c r="B1767" s="176"/>
      <c r="C1767" s="176"/>
      <c r="D1767" s="1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157"/>
    </row>
    <row r="1768" spans="1:17" s="95" customFormat="1" x14ac:dyDescent="0.25">
      <c r="A1768" s="175"/>
      <c r="B1768" s="176"/>
      <c r="C1768" s="176"/>
      <c r="D1768" s="1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157"/>
    </row>
    <row r="1769" spans="1:17" s="95" customFormat="1" x14ac:dyDescent="0.25">
      <c r="A1769" s="175"/>
      <c r="B1769" s="176"/>
      <c r="C1769" s="176"/>
      <c r="D1769" s="1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157"/>
    </row>
    <row r="1770" spans="1:17" s="95" customFormat="1" x14ac:dyDescent="0.25">
      <c r="A1770" s="175"/>
      <c r="B1770" s="176"/>
      <c r="C1770" s="176"/>
      <c r="D1770" s="1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157"/>
    </row>
    <row r="1771" spans="1:17" s="95" customFormat="1" x14ac:dyDescent="0.25">
      <c r="A1771" s="175"/>
      <c r="B1771" s="176"/>
      <c r="C1771" s="176"/>
      <c r="D1771" s="1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157"/>
    </row>
    <row r="1772" spans="1:17" s="95" customFormat="1" x14ac:dyDescent="0.25">
      <c r="A1772" s="175"/>
      <c r="B1772" s="176"/>
      <c r="C1772" s="176"/>
      <c r="D1772" s="1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157"/>
    </row>
    <row r="1773" spans="1:17" s="95" customFormat="1" x14ac:dyDescent="0.25">
      <c r="A1773" s="175"/>
      <c r="B1773" s="176"/>
      <c r="C1773" s="176"/>
      <c r="D1773" s="1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157"/>
    </row>
    <row r="1774" spans="1:17" s="95" customFormat="1" x14ac:dyDescent="0.25">
      <c r="A1774" s="175"/>
      <c r="B1774" s="176"/>
      <c r="C1774" s="176"/>
      <c r="D1774" s="1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157"/>
    </row>
    <row r="1775" spans="1:17" s="95" customFormat="1" x14ac:dyDescent="0.25">
      <c r="A1775" s="175"/>
      <c r="B1775" s="176"/>
      <c r="C1775" s="176"/>
      <c r="D1775" s="1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157"/>
    </row>
    <row r="1776" spans="1:17" s="95" customFormat="1" x14ac:dyDescent="0.25">
      <c r="A1776" s="175"/>
      <c r="B1776" s="176"/>
      <c r="C1776" s="176"/>
      <c r="D1776" s="1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157"/>
    </row>
    <row r="1777" spans="1:17" s="95" customFormat="1" x14ac:dyDescent="0.25">
      <c r="A1777" s="175"/>
      <c r="B1777" s="176"/>
      <c r="C1777" s="176"/>
      <c r="D1777" s="1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157"/>
    </row>
    <row r="1778" spans="1:17" s="95" customFormat="1" x14ac:dyDescent="0.25">
      <c r="A1778" s="175"/>
      <c r="B1778" s="176"/>
      <c r="C1778" s="176"/>
      <c r="D1778" s="1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157"/>
    </row>
    <row r="1779" spans="1:17" s="95" customFormat="1" x14ac:dyDescent="0.25">
      <c r="A1779" s="175"/>
      <c r="B1779" s="176"/>
      <c r="C1779" s="176"/>
      <c r="D1779" s="1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157"/>
    </row>
    <row r="1780" spans="1:17" s="95" customFormat="1" x14ac:dyDescent="0.25">
      <c r="A1780" s="175"/>
      <c r="B1780" s="176"/>
      <c r="C1780" s="176"/>
      <c r="D1780" s="1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157"/>
    </row>
    <row r="1781" spans="1:17" s="95" customFormat="1" x14ac:dyDescent="0.25">
      <c r="A1781" s="175"/>
      <c r="B1781" s="176"/>
      <c r="C1781" s="176"/>
      <c r="D1781" s="1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157"/>
    </row>
    <row r="1782" spans="1:17" s="95" customFormat="1" x14ac:dyDescent="0.25">
      <c r="A1782" s="175"/>
      <c r="B1782" s="176"/>
      <c r="C1782" s="176"/>
      <c r="D1782" s="1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157"/>
    </row>
    <row r="1783" spans="1:17" s="95" customFormat="1" x14ac:dyDescent="0.25">
      <c r="A1783" s="175"/>
      <c r="B1783" s="176"/>
      <c r="C1783" s="176"/>
      <c r="D1783" s="1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157"/>
    </row>
    <row r="1784" spans="1:17" s="95" customFormat="1" x14ac:dyDescent="0.25">
      <c r="A1784" s="175"/>
      <c r="B1784" s="176"/>
      <c r="C1784" s="176"/>
      <c r="D1784" s="1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  <c r="Q1784" s="157"/>
    </row>
    <row r="1785" spans="1:17" s="95" customFormat="1" x14ac:dyDescent="0.25">
      <c r="A1785" s="175"/>
      <c r="B1785" s="176"/>
      <c r="C1785" s="176"/>
      <c r="D1785" s="1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  <c r="Q1785" s="157"/>
    </row>
    <row r="1786" spans="1:17" s="95" customFormat="1" x14ac:dyDescent="0.25">
      <c r="A1786" s="175"/>
      <c r="B1786" s="176"/>
      <c r="C1786" s="176"/>
      <c r="D1786" s="1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  <c r="Q1786" s="157"/>
    </row>
    <row r="1787" spans="1:17" s="95" customFormat="1" x14ac:dyDescent="0.25">
      <c r="A1787" s="175"/>
      <c r="B1787" s="176"/>
      <c r="C1787" s="176"/>
      <c r="D1787" s="1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  <c r="Q1787" s="157"/>
    </row>
  </sheetData>
  <mergeCells count="51">
    <mergeCell ref="A461:D461"/>
    <mergeCell ref="K3:N3"/>
    <mergeCell ref="Q415:Q461"/>
    <mergeCell ref="Q366:Q411"/>
    <mergeCell ref="Q313:Q361"/>
    <mergeCell ref="A8:P8"/>
    <mergeCell ref="M11:N11"/>
    <mergeCell ref="O11:O12"/>
    <mergeCell ref="F11:F12"/>
    <mergeCell ref="E10:I10"/>
    <mergeCell ref="L11:L12"/>
    <mergeCell ref="D429:D432"/>
    <mergeCell ref="H434:I434"/>
    <mergeCell ref="H435:I435"/>
    <mergeCell ref="H436:I436"/>
    <mergeCell ref="H437:I437"/>
    <mergeCell ref="F436:F437"/>
    <mergeCell ref="K4:P4"/>
    <mergeCell ref="A6:P6"/>
    <mergeCell ref="A10:A12"/>
    <mergeCell ref="C10:C12"/>
    <mergeCell ref="B10:B12"/>
    <mergeCell ref="D10:D12"/>
    <mergeCell ref="G11:H11"/>
    <mergeCell ref="J10:O10"/>
    <mergeCell ref="I11:I12"/>
    <mergeCell ref="P10:P12"/>
    <mergeCell ref="J11:J12"/>
    <mergeCell ref="K11:K12"/>
    <mergeCell ref="E11:E12"/>
    <mergeCell ref="A7:P7"/>
    <mergeCell ref="K5:N5"/>
    <mergeCell ref="H453:I453"/>
    <mergeCell ref="H446:I446"/>
    <mergeCell ref="H447:I447"/>
    <mergeCell ref="H448:I448"/>
    <mergeCell ref="H449:I449"/>
    <mergeCell ref="H450:I450"/>
    <mergeCell ref="H451:I451"/>
    <mergeCell ref="H452:I452"/>
    <mergeCell ref="H438:I438"/>
    <mergeCell ref="H440:I440"/>
    <mergeCell ref="H441:I441"/>
    <mergeCell ref="H444:I444"/>
    <mergeCell ref="H445:I445"/>
    <mergeCell ref="H439:I439"/>
    <mergeCell ref="Q1:Q35"/>
    <mergeCell ref="Q36:Q70"/>
    <mergeCell ref="Q83:Q108"/>
    <mergeCell ref="Q109:Q200"/>
    <mergeCell ref="Q201:Q239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0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showGridLines="0" showZeros="0" view="pageBreakPreview" zoomScale="55" zoomScaleNormal="87" zoomScaleSheetLayoutView="55" workbookViewId="0">
      <selection activeCell="I5" sqref="I5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4" customWidth="1"/>
    <col min="5" max="5" width="23.83203125" style="64" customWidth="1"/>
    <col min="6" max="6" width="23.6640625" style="64" customWidth="1"/>
    <col min="7" max="7" width="20.83203125" style="64" customWidth="1"/>
    <col min="8" max="8" width="21.1640625" style="64" customWidth="1"/>
    <col min="9" max="9" width="22.5" style="64" customWidth="1"/>
    <col min="10" max="10" width="22.33203125" style="64" customWidth="1"/>
    <col min="11" max="11" width="21.33203125" style="64" customWidth="1"/>
    <col min="12" max="12" width="18" style="64" customWidth="1"/>
    <col min="13" max="13" width="18.83203125" style="64" customWidth="1"/>
    <col min="14" max="14" width="23" style="64" customWidth="1"/>
    <col min="15" max="15" width="22.83203125" style="64" customWidth="1"/>
    <col min="16" max="16" width="7.6640625" style="76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69" t="s">
        <v>750</v>
      </c>
      <c r="K1" s="69"/>
      <c r="L1" s="69"/>
      <c r="M1" s="69"/>
      <c r="N1" s="69"/>
      <c r="O1" s="69"/>
      <c r="P1" s="285">
        <v>45</v>
      </c>
      <c r="Q1" s="285">
        <v>52</v>
      </c>
    </row>
    <row r="2" spans="1:17" ht="27.75" customHeight="1" x14ac:dyDescent="0.25">
      <c r="J2" s="235" t="s">
        <v>743</v>
      </c>
      <c r="K2" s="235"/>
      <c r="L2" s="235"/>
      <c r="M2" s="235"/>
      <c r="N2" s="235"/>
      <c r="O2" s="235"/>
      <c r="P2" s="285"/>
      <c r="Q2" s="285"/>
    </row>
    <row r="3" spans="1:17" ht="27.75" customHeight="1" x14ac:dyDescent="0.25">
      <c r="J3" s="235" t="s">
        <v>744</v>
      </c>
      <c r="K3" s="235"/>
      <c r="L3" s="235"/>
      <c r="M3" s="235"/>
      <c r="N3" s="235"/>
      <c r="O3" s="235"/>
      <c r="P3" s="285"/>
      <c r="Q3" s="285"/>
    </row>
    <row r="4" spans="1:17" ht="26.25" customHeight="1" x14ac:dyDescent="0.4">
      <c r="J4" s="286" t="s">
        <v>751</v>
      </c>
      <c r="K4" s="286"/>
      <c r="L4" s="286"/>
      <c r="M4" s="286"/>
      <c r="N4" s="286"/>
      <c r="O4" s="286"/>
      <c r="P4" s="285"/>
      <c r="Q4" s="285"/>
    </row>
    <row r="5" spans="1:17" ht="26.25" customHeight="1" x14ac:dyDescent="0.4">
      <c r="J5" s="294"/>
      <c r="K5" s="294"/>
      <c r="L5" s="294"/>
      <c r="M5" s="294"/>
      <c r="N5" s="243"/>
      <c r="O5" s="243"/>
      <c r="P5" s="285"/>
      <c r="Q5" s="285"/>
    </row>
    <row r="6" spans="1:17" ht="26.25" customHeight="1" x14ac:dyDescent="0.4">
      <c r="J6" s="69"/>
      <c r="K6" s="69"/>
      <c r="L6" s="69"/>
      <c r="M6" s="69"/>
      <c r="N6" s="69"/>
      <c r="O6" s="69"/>
      <c r="P6" s="285"/>
      <c r="Q6" s="285"/>
    </row>
    <row r="7" spans="1:17" ht="105.75" customHeight="1" x14ac:dyDescent="0.25">
      <c r="A7" s="291" t="s">
        <v>607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85"/>
      <c r="Q7" s="285"/>
    </row>
    <row r="8" spans="1:17" ht="23.25" customHeight="1" x14ac:dyDescent="0.25">
      <c r="A8" s="289" t="s">
        <v>690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5"/>
      <c r="Q8" s="285"/>
    </row>
    <row r="9" spans="1:17" ht="21" customHeight="1" x14ac:dyDescent="0.25">
      <c r="A9" s="290" t="s">
        <v>534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85"/>
      <c r="Q9" s="285"/>
    </row>
    <row r="10" spans="1:17" s="17" customFormat="1" ht="20.25" customHeight="1" x14ac:dyDescent="0.3">
      <c r="A10" s="14"/>
      <c r="B10" s="15"/>
      <c r="C10" s="1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 t="s">
        <v>353</v>
      </c>
      <c r="P10" s="285"/>
      <c r="Q10" s="285"/>
    </row>
    <row r="11" spans="1:17" s="26" customFormat="1" ht="21.75" customHeight="1" x14ac:dyDescent="0.25">
      <c r="A11" s="292" t="s">
        <v>332</v>
      </c>
      <c r="B11" s="292" t="s">
        <v>322</v>
      </c>
      <c r="C11" s="292" t="s">
        <v>334</v>
      </c>
      <c r="D11" s="288" t="s">
        <v>221</v>
      </c>
      <c r="E11" s="288"/>
      <c r="F11" s="288"/>
      <c r="G11" s="288"/>
      <c r="H11" s="288"/>
      <c r="I11" s="288" t="s">
        <v>222</v>
      </c>
      <c r="J11" s="288"/>
      <c r="K11" s="288"/>
      <c r="L11" s="288"/>
      <c r="M11" s="288"/>
      <c r="N11" s="288"/>
      <c r="O11" s="288" t="s">
        <v>223</v>
      </c>
      <c r="P11" s="285"/>
      <c r="Q11" s="285"/>
    </row>
    <row r="12" spans="1:17" s="26" customFormat="1" ht="29.25" customHeight="1" x14ac:dyDescent="0.25">
      <c r="A12" s="292"/>
      <c r="B12" s="292"/>
      <c r="C12" s="292"/>
      <c r="D12" s="287" t="s">
        <v>323</v>
      </c>
      <c r="E12" s="287" t="s">
        <v>224</v>
      </c>
      <c r="F12" s="293" t="s">
        <v>225</v>
      </c>
      <c r="G12" s="293"/>
      <c r="H12" s="287" t="s">
        <v>226</v>
      </c>
      <c r="I12" s="287" t="s">
        <v>323</v>
      </c>
      <c r="J12" s="287" t="s">
        <v>324</v>
      </c>
      <c r="K12" s="287" t="s">
        <v>224</v>
      </c>
      <c r="L12" s="293" t="s">
        <v>225</v>
      </c>
      <c r="M12" s="293"/>
      <c r="N12" s="287" t="s">
        <v>226</v>
      </c>
      <c r="O12" s="288"/>
      <c r="P12" s="285"/>
      <c r="Q12" s="285"/>
    </row>
    <row r="13" spans="1:17" s="26" customFormat="1" ht="60.75" customHeight="1" x14ac:dyDescent="0.25">
      <c r="A13" s="292"/>
      <c r="B13" s="292"/>
      <c r="C13" s="292"/>
      <c r="D13" s="287"/>
      <c r="E13" s="287"/>
      <c r="F13" s="70" t="s">
        <v>227</v>
      </c>
      <c r="G13" s="70" t="s">
        <v>228</v>
      </c>
      <c r="H13" s="287"/>
      <c r="I13" s="287"/>
      <c r="J13" s="287"/>
      <c r="K13" s="287"/>
      <c r="L13" s="70" t="s">
        <v>227</v>
      </c>
      <c r="M13" s="70" t="s">
        <v>228</v>
      </c>
      <c r="N13" s="287"/>
      <c r="O13" s="288"/>
      <c r="P13" s="285"/>
      <c r="Q13" s="285"/>
    </row>
    <row r="14" spans="1:17" s="26" customFormat="1" ht="21" customHeight="1" x14ac:dyDescent="0.25">
      <c r="A14" s="7" t="s">
        <v>42</v>
      </c>
      <c r="B14" s="8"/>
      <c r="C14" s="9" t="s">
        <v>43</v>
      </c>
      <c r="D14" s="25">
        <f>D16+D17+D18+D19</f>
        <v>263035074.44000003</v>
      </c>
      <c r="E14" s="25">
        <f t="shared" ref="E14:O14" si="0">E16+E17+E18+E19</f>
        <v>263035074.44000003</v>
      </c>
      <c r="F14" s="25">
        <f>F16+F17+F18+F19</f>
        <v>194102172.28</v>
      </c>
      <c r="G14" s="25">
        <f t="shared" si="0"/>
        <v>8596447.290000001</v>
      </c>
      <c r="H14" s="25">
        <f t="shared" si="0"/>
        <v>0</v>
      </c>
      <c r="I14" s="25">
        <f t="shared" si="0"/>
        <v>3726006</v>
      </c>
      <c r="J14" s="25">
        <f t="shared" si="0"/>
        <v>3573506</v>
      </c>
      <c r="K14" s="25">
        <f t="shared" si="0"/>
        <v>152500</v>
      </c>
      <c r="L14" s="25">
        <f t="shared" si="0"/>
        <v>0</v>
      </c>
      <c r="M14" s="25">
        <f t="shared" si="0"/>
        <v>0</v>
      </c>
      <c r="N14" s="25">
        <f t="shared" si="0"/>
        <v>3573506</v>
      </c>
      <c r="O14" s="25">
        <f t="shared" si="0"/>
        <v>266761080.44000003</v>
      </c>
      <c r="P14" s="285"/>
      <c r="Q14" s="285"/>
    </row>
    <row r="15" spans="1:17" s="26" customFormat="1" ht="61.5" hidden="1" customHeight="1" x14ac:dyDescent="0.25">
      <c r="A15" s="7"/>
      <c r="B15" s="8"/>
      <c r="C15" s="9" t="s">
        <v>426</v>
      </c>
      <c r="D15" s="25">
        <f>D20</f>
        <v>0</v>
      </c>
      <c r="E15" s="25">
        <f t="shared" ref="E15:O15" si="1">E20</f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85"/>
      <c r="Q15" s="285"/>
    </row>
    <row r="16" spans="1:17" ht="37.5" customHeight="1" x14ac:dyDescent="0.25">
      <c r="A16" s="19" t="s">
        <v>117</v>
      </c>
      <c r="B16" s="19" t="s">
        <v>45</v>
      </c>
      <c r="C16" s="6" t="s">
        <v>472</v>
      </c>
      <c r="D16" s="66">
        <f>'дод 3 '!E17+'дод 3 '!E83+'дод 3 '!E162+'дод 3 '!E198+'дод 3 '!E239+'дод 3 '!E247+'дод 3 '!E267+'дод 3 '!E323+'дод 3 '!E333+'дод 3 '!E360+'дод 3 '!E368+'дод 3 '!E375+'дод 3 '!E403+'дод 3 '!E326+'дод 3 '!E383+'дод 3 '!E391+'дод 3 '!E371+'дод 3 '!E414</f>
        <v>260963974.44000003</v>
      </c>
      <c r="E16" s="66">
        <f>'дод 3 '!F17+'дод 3 '!F83+'дод 3 '!F162+'дод 3 '!F198+'дод 3 '!F239+'дод 3 '!F247+'дод 3 '!F267+'дод 3 '!F323+'дод 3 '!F333+'дод 3 '!F360+'дод 3 '!F368+'дод 3 '!F375+'дод 3 '!F403+'дод 3 '!F326+'дод 3 '!F383+'дод 3 '!F391+'дод 3 '!F371+'дод 3 '!F414</f>
        <v>260963974.44000003</v>
      </c>
      <c r="F16" s="66">
        <f>'дод 3 '!G17+'дод 3 '!G83+'дод 3 '!G162+'дод 3 '!G198+'дод 3 '!G239+'дод 3 '!G247+'дод 3 '!G267+'дод 3 '!G323+'дод 3 '!G333+'дод 3 '!G360+'дод 3 '!G368+'дод 3 '!G375+'дод 3 '!G403+'дод 3 '!G326+'дод 3 '!G383+'дод 3 '!G391+'дод 3 '!G371+'дод 3 '!G414</f>
        <v>194102172.28</v>
      </c>
      <c r="G16" s="66">
        <f>'дод 3 '!H17+'дод 3 '!H83+'дод 3 '!H162+'дод 3 '!H198+'дод 3 '!H239+'дод 3 '!H247+'дод 3 '!H267+'дод 3 '!H323+'дод 3 '!H333+'дод 3 '!H360+'дод 3 '!H368+'дод 3 '!H375+'дод 3 '!H403+'дод 3 '!H326+'дод 3 '!H383+'дод 3 '!H391+'дод 3 '!H371+'дод 3 '!H414</f>
        <v>8596447.290000001</v>
      </c>
      <c r="H16" s="66">
        <f>'дод 3 '!I17+'дод 3 '!I83+'дод 3 '!I162+'дод 3 '!I198+'дод 3 '!I239+'дод 3 '!I247+'дод 3 '!I267+'дод 3 '!I323+'дод 3 '!I333+'дод 3 '!I360+'дод 3 '!I368+'дод 3 '!I375+'дод 3 '!I403+'дод 3 '!I326+'дод 3 '!I383+'дод 3 '!I391+'дод 3 '!I371+'дод 3 '!I414</f>
        <v>0</v>
      </c>
      <c r="I16" s="66">
        <f>'дод 3 '!J17+'дод 3 '!J83+'дод 3 '!J162+'дод 3 '!J198+'дод 3 '!J239+'дод 3 '!J247+'дод 3 '!J267+'дод 3 '!J323+'дод 3 '!J333+'дод 3 '!J360+'дод 3 '!J368+'дод 3 '!J375+'дод 3 '!J403+'дод 3 '!J326+'дод 3 '!J383+'дод 3 '!J391+'дод 3 '!J371+'дод 3 '!J414</f>
        <v>3726006</v>
      </c>
      <c r="J16" s="66">
        <f>'дод 3 '!K17+'дод 3 '!K83+'дод 3 '!K162+'дод 3 '!K198+'дод 3 '!K239+'дод 3 '!K247+'дод 3 '!K267+'дод 3 '!K323+'дод 3 '!K333+'дод 3 '!K360+'дод 3 '!K368+'дод 3 '!K375+'дод 3 '!K403+'дод 3 '!K326+'дод 3 '!K383+'дод 3 '!K391+'дод 3 '!K371+'дод 3 '!K414</f>
        <v>3573506</v>
      </c>
      <c r="K16" s="66">
        <f>'дод 3 '!L17+'дод 3 '!L83+'дод 3 '!L162+'дод 3 '!L198+'дод 3 '!L239+'дод 3 '!L247+'дод 3 '!L267+'дод 3 '!L323+'дод 3 '!L333+'дод 3 '!L360+'дод 3 '!L368+'дод 3 '!L375+'дод 3 '!L403+'дод 3 '!L326+'дод 3 '!L383+'дод 3 '!L391+'дод 3 '!L371+'дод 3 '!L414</f>
        <v>152500</v>
      </c>
      <c r="L16" s="66">
        <f>'дод 3 '!M17+'дод 3 '!M83+'дод 3 '!M162+'дод 3 '!M198+'дод 3 '!M239+'дод 3 '!M247+'дод 3 '!M267+'дод 3 '!M323+'дод 3 '!M333+'дод 3 '!M360+'дод 3 '!M368+'дод 3 '!M375+'дод 3 '!M403+'дод 3 '!M326+'дод 3 '!M383+'дод 3 '!M391+'дод 3 '!M371+'дод 3 '!M414</f>
        <v>0</v>
      </c>
      <c r="M16" s="66">
        <f>'дод 3 '!N17+'дод 3 '!N83+'дод 3 '!N162+'дод 3 '!N198+'дод 3 '!N239+'дод 3 '!N247+'дод 3 '!N267+'дод 3 '!N323+'дод 3 '!N333+'дод 3 '!N360+'дод 3 '!N368+'дод 3 '!N375+'дод 3 '!N403+'дод 3 '!N326+'дод 3 '!N383+'дод 3 '!N391+'дод 3 '!N371+'дод 3 '!N414</f>
        <v>0</v>
      </c>
      <c r="N16" s="66">
        <f>'дод 3 '!O17+'дод 3 '!O83+'дод 3 '!O162+'дод 3 '!O198+'дод 3 '!O239+'дод 3 '!O247+'дод 3 '!O267+'дод 3 '!O323+'дод 3 '!O333+'дод 3 '!O360+'дод 3 '!O368+'дод 3 '!O375+'дод 3 '!O403+'дод 3 '!O326+'дод 3 '!O383+'дод 3 '!O391+'дод 3 '!O371+'дод 3 '!O414</f>
        <v>3573506</v>
      </c>
      <c r="O16" s="66">
        <f>'дод 3 '!P17+'дод 3 '!P83+'дод 3 '!P162+'дод 3 '!P198+'дод 3 '!P239+'дод 3 '!P247+'дод 3 '!P267+'дод 3 '!P323+'дод 3 '!P333+'дод 3 '!P360+'дод 3 '!P368+'дод 3 '!P375+'дод 3 '!P403+'дод 3 '!P326+'дод 3 '!P383+'дод 3 '!P391+'дод 3 '!P371+'дод 3 '!P414</f>
        <v>264689980.44000003</v>
      </c>
      <c r="P16" s="285"/>
      <c r="Q16" s="285"/>
    </row>
    <row r="17" spans="1:17" ht="33" hidden="1" customHeight="1" x14ac:dyDescent="0.25">
      <c r="A17" s="29" t="s">
        <v>89</v>
      </c>
      <c r="B17" s="29" t="s">
        <v>443</v>
      </c>
      <c r="C17" s="6" t="s">
        <v>434</v>
      </c>
      <c r="D17" s="66">
        <f>'дод 3 '!E18</f>
        <v>0</v>
      </c>
      <c r="E17" s="66">
        <f>'дод 3 '!F18</f>
        <v>0</v>
      </c>
      <c r="F17" s="66">
        <f>'дод 3 '!G18</f>
        <v>0</v>
      </c>
      <c r="G17" s="66">
        <f>'дод 3 '!H18</f>
        <v>0</v>
      </c>
      <c r="H17" s="66">
        <f>'дод 3 '!I18</f>
        <v>0</v>
      </c>
      <c r="I17" s="66">
        <f>'дод 3 '!J18</f>
        <v>0</v>
      </c>
      <c r="J17" s="66">
        <f>'дод 3 '!K18</f>
        <v>0</v>
      </c>
      <c r="K17" s="66">
        <f>'дод 3 '!L18</f>
        <v>0</v>
      </c>
      <c r="L17" s="66">
        <f>'дод 3 '!M18</f>
        <v>0</v>
      </c>
      <c r="M17" s="66">
        <f>'дод 3 '!N18</f>
        <v>0</v>
      </c>
      <c r="N17" s="66">
        <f>'дод 3 '!O18</f>
        <v>0</v>
      </c>
      <c r="O17" s="66">
        <f>'дод 3 '!P18</f>
        <v>0</v>
      </c>
      <c r="P17" s="285"/>
      <c r="Q17" s="285"/>
    </row>
    <row r="18" spans="1:17" ht="22.5" customHeight="1" x14ac:dyDescent="0.25">
      <c r="A18" s="19" t="s">
        <v>44</v>
      </c>
      <c r="B18" s="19" t="s">
        <v>92</v>
      </c>
      <c r="C18" s="6" t="s">
        <v>239</v>
      </c>
      <c r="D18" s="66">
        <f>'дод 3 '!E19+'дод 3 '!E199+'дод 3 '!E268</f>
        <v>2071100</v>
      </c>
      <c r="E18" s="66">
        <f>'дод 3 '!F19+'дод 3 '!F199+'дод 3 '!F268</f>
        <v>2071100</v>
      </c>
      <c r="F18" s="66">
        <f>'дод 3 '!G19+'дод 3 '!G199+'дод 3 '!G268</f>
        <v>0</v>
      </c>
      <c r="G18" s="66">
        <f>'дод 3 '!H19+'дод 3 '!H199+'дод 3 '!H268</f>
        <v>0</v>
      </c>
      <c r="H18" s="66">
        <f>'дод 3 '!I19+'дод 3 '!I199+'дод 3 '!I268</f>
        <v>0</v>
      </c>
      <c r="I18" s="66">
        <f>'дод 3 '!J19+'дод 3 '!J199+'дод 3 '!J268</f>
        <v>0</v>
      </c>
      <c r="J18" s="66">
        <f>'дод 3 '!K19+'дод 3 '!K199+'дод 3 '!K268</f>
        <v>0</v>
      </c>
      <c r="K18" s="66">
        <f>'дод 3 '!L19+'дод 3 '!L199+'дод 3 '!L268</f>
        <v>0</v>
      </c>
      <c r="L18" s="66">
        <f>'дод 3 '!M19+'дод 3 '!M199+'дод 3 '!M268</f>
        <v>0</v>
      </c>
      <c r="M18" s="66">
        <f>'дод 3 '!N19+'дод 3 '!N199+'дод 3 '!N268</f>
        <v>0</v>
      </c>
      <c r="N18" s="66">
        <f>'дод 3 '!O19+'дод 3 '!O199+'дод 3 '!O268</f>
        <v>0</v>
      </c>
      <c r="O18" s="66">
        <f>'дод 3 '!P19+'дод 3 '!P199+'дод 3 '!P268</f>
        <v>2071100</v>
      </c>
      <c r="P18" s="285"/>
      <c r="Q18" s="285"/>
    </row>
    <row r="19" spans="1:17" ht="27" hidden="1" customHeight="1" x14ac:dyDescent="0.25">
      <c r="A19" s="29" t="s">
        <v>422</v>
      </c>
      <c r="B19" s="29" t="s">
        <v>117</v>
      </c>
      <c r="C19" s="6" t="s">
        <v>423</v>
      </c>
      <c r="D19" s="66">
        <f>'дод 3 '!E20</f>
        <v>0</v>
      </c>
      <c r="E19" s="66">
        <f>'дод 3 '!F20</f>
        <v>0</v>
      </c>
      <c r="F19" s="66">
        <f>'дод 3 '!G20</f>
        <v>0</v>
      </c>
      <c r="G19" s="66">
        <f>'дод 3 '!H20</f>
        <v>0</v>
      </c>
      <c r="H19" s="66">
        <f>'дод 3 '!I20</f>
        <v>0</v>
      </c>
      <c r="I19" s="66">
        <f>'дод 3 '!J20</f>
        <v>0</v>
      </c>
      <c r="J19" s="66">
        <f>'дод 3 '!K20</f>
        <v>0</v>
      </c>
      <c r="K19" s="66">
        <f>'дод 3 '!L20</f>
        <v>0</v>
      </c>
      <c r="L19" s="66">
        <f>'дод 3 '!M20</f>
        <v>0</v>
      </c>
      <c r="M19" s="66">
        <f>'дод 3 '!N20</f>
        <v>0</v>
      </c>
      <c r="N19" s="66">
        <f>'дод 3 '!O20</f>
        <v>0</v>
      </c>
      <c r="O19" s="66">
        <f>'дод 3 '!P20</f>
        <v>0</v>
      </c>
      <c r="P19" s="285"/>
      <c r="Q19" s="285"/>
    </row>
    <row r="20" spans="1:17" s="28" customFormat="1" ht="63" hidden="1" customHeight="1" x14ac:dyDescent="0.25">
      <c r="A20" s="38"/>
      <c r="B20" s="47"/>
      <c r="C20" s="39" t="s">
        <v>426</v>
      </c>
      <c r="D20" s="67">
        <f>'дод 3 '!E21</f>
        <v>0</v>
      </c>
      <c r="E20" s="67">
        <f>'дод 3 '!F21</f>
        <v>0</v>
      </c>
      <c r="F20" s="67">
        <f>'дод 3 '!G21</f>
        <v>0</v>
      </c>
      <c r="G20" s="67">
        <f>'дод 3 '!H21</f>
        <v>0</v>
      </c>
      <c r="H20" s="67">
        <f>'дод 3 '!I21</f>
        <v>0</v>
      </c>
      <c r="I20" s="67">
        <f>'дод 3 '!J21</f>
        <v>0</v>
      </c>
      <c r="J20" s="67">
        <f>'дод 3 '!K21</f>
        <v>0</v>
      </c>
      <c r="K20" s="67">
        <f>'дод 3 '!L21</f>
        <v>0</v>
      </c>
      <c r="L20" s="67">
        <f>'дод 3 '!M21</f>
        <v>0</v>
      </c>
      <c r="M20" s="67">
        <f>'дод 3 '!N21</f>
        <v>0</v>
      </c>
      <c r="N20" s="67">
        <f>'дод 3 '!O21</f>
        <v>0</v>
      </c>
      <c r="O20" s="67">
        <f>'дод 3 '!P21</f>
        <v>0</v>
      </c>
      <c r="P20" s="285"/>
      <c r="Q20" s="285"/>
    </row>
    <row r="21" spans="1:17" s="26" customFormat="1" ht="18.75" customHeight="1" x14ac:dyDescent="0.25">
      <c r="A21" s="20" t="s">
        <v>46</v>
      </c>
      <c r="B21" s="21"/>
      <c r="C21" s="9" t="s">
        <v>669</v>
      </c>
      <c r="D21" s="25">
        <f>D36+D38+D46+D48+D49+D52+D54+D56+D59+D61+D62+D67+D68+D69+D70+D72+D73+D74+D76+D78+D80+D82+D63+D65+D84+D85+D87+D88</f>
        <v>1334041279.3099999</v>
      </c>
      <c r="E21" s="25">
        <f t="shared" ref="E21:O21" si="2">E36+E38+E46+E48+E49+E52+E54+E56+E59+E61+E62+E67+E68+E69+E70+E72+E73+E74+E76+E78+E80+E82+E63+E65+E84+E85+E87+E88</f>
        <v>1334041279.3099999</v>
      </c>
      <c r="F21" s="25">
        <f t="shared" si="2"/>
        <v>928372328</v>
      </c>
      <c r="G21" s="25">
        <f t="shared" si="2"/>
        <v>118406980</v>
      </c>
      <c r="H21" s="25">
        <f t="shared" si="2"/>
        <v>0</v>
      </c>
      <c r="I21" s="25">
        <f t="shared" si="2"/>
        <v>268095928.02000001</v>
      </c>
      <c r="J21" s="25">
        <f t="shared" si="2"/>
        <v>171174248.02000001</v>
      </c>
      <c r="K21" s="25">
        <f t="shared" si="2"/>
        <v>95895616</v>
      </c>
      <c r="L21" s="25">
        <f t="shared" si="2"/>
        <v>8763102</v>
      </c>
      <c r="M21" s="25">
        <f t="shared" si="2"/>
        <v>6456855</v>
      </c>
      <c r="N21" s="25">
        <f t="shared" si="2"/>
        <v>172200312.02000001</v>
      </c>
      <c r="O21" s="25">
        <f t="shared" si="2"/>
        <v>1602137207.3299999</v>
      </c>
      <c r="P21" s="285"/>
      <c r="Q21" s="285"/>
    </row>
    <row r="22" spans="1:17" s="27" customFormat="1" ht="31.5" x14ac:dyDescent="0.25">
      <c r="A22" s="32"/>
      <c r="B22" s="35"/>
      <c r="C22" s="36" t="s">
        <v>384</v>
      </c>
      <c r="D22" s="68">
        <f>D50+D53+D55+D66</f>
        <v>473819800</v>
      </c>
      <c r="E22" s="68">
        <f t="shared" ref="E22:O22" si="3">E50+E53+E55+E66</f>
        <v>473819800</v>
      </c>
      <c r="F22" s="68">
        <f t="shared" si="3"/>
        <v>389369340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473819800</v>
      </c>
      <c r="P22" s="285"/>
      <c r="Q22" s="285"/>
    </row>
    <row r="23" spans="1:17" s="27" customFormat="1" ht="31.5" hidden="1" x14ac:dyDescent="0.25">
      <c r="A23" s="32"/>
      <c r="B23" s="35"/>
      <c r="C23" s="37" t="s">
        <v>603</v>
      </c>
      <c r="D23" s="68">
        <f>D60</f>
        <v>0</v>
      </c>
      <c r="E23" s="68">
        <f t="shared" ref="E23:O23" si="4">E60</f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285"/>
      <c r="Q23" s="285"/>
    </row>
    <row r="24" spans="1:17" s="27" customFormat="1" ht="47.25" customHeight="1" x14ac:dyDescent="0.25">
      <c r="A24" s="32"/>
      <c r="B24" s="35"/>
      <c r="C24" s="36" t="s">
        <v>379</v>
      </c>
      <c r="D24" s="68">
        <f>D51+D71+D89</f>
        <v>3348277.94</v>
      </c>
      <c r="E24" s="68">
        <f t="shared" ref="E24:O24" si="5">E51+E71+E89</f>
        <v>3348277.94</v>
      </c>
      <c r="F24" s="68">
        <f t="shared" si="5"/>
        <v>1429160</v>
      </c>
      <c r="G24" s="68">
        <f t="shared" si="5"/>
        <v>0</v>
      </c>
      <c r="H24" s="68">
        <f t="shared" si="5"/>
        <v>0</v>
      </c>
      <c r="I24" s="68">
        <f t="shared" si="5"/>
        <v>2797912</v>
      </c>
      <c r="J24" s="68">
        <f t="shared" si="5"/>
        <v>0</v>
      </c>
      <c r="K24" s="68">
        <f t="shared" si="5"/>
        <v>1922428</v>
      </c>
      <c r="L24" s="68">
        <f t="shared" si="5"/>
        <v>0</v>
      </c>
      <c r="M24" s="68">
        <f t="shared" si="5"/>
        <v>0</v>
      </c>
      <c r="N24" s="68">
        <f t="shared" si="5"/>
        <v>875484</v>
      </c>
      <c r="O24" s="68">
        <f t="shared" si="5"/>
        <v>6146189.9399999995</v>
      </c>
      <c r="P24" s="285"/>
      <c r="Q24" s="285"/>
    </row>
    <row r="25" spans="1:17" s="27" customFormat="1" ht="47.25" hidden="1" customHeight="1" x14ac:dyDescent="0.25">
      <c r="A25" s="32"/>
      <c r="B25" s="35"/>
      <c r="C25" s="36" t="s">
        <v>381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85"/>
      <c r="Q25" s="285"/>
    </row>
    <row r="26" spans="1:17" s="27" customFormat="1" ht="53.25" customHeight="1" x14ac:dyDescent="0.25">
      <c r="A26" s="32"/>
      <c r="B26" s="35"/>
      <c r="C26" s="37" t="s">
        <v>378</v>
      </c>
      <c r="D26" s="68">
        <f>D81</f>
        <v>1822724</v>
      </c>
      <c r="E26" s="68">
        <f t="shared" ref="E26:O26" si="6">E81</f>
        <v>1822724</v>
      </c>
      <c r="F26" s="68">
        <f t="shared" si="6"/>
        <v>1494036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8">
        <f t="shared" si="6"/>
        <v>1822724</v>
      </c>
      <c r="P26" s="285"/>
      <c r="Q26" s="285"/>
    </row>
    <row r="27" spans="1:17" s="27" customFormat="1" ht="63" hidden="1" x14ac:dyDescent="0.25">
      <c r="A27" s="32"/>
      <c r="B27" s="35"/>
      <c r="C27" s="36" t="s">
        <v>380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285"/>
      <c r="Q27" s="285"/>
    </row>
    <row r="28" spans="1:17" s="27" customFormat="1" ht="31.5" hidden="1" x14ac:dyDescent="0.25">
      <c r="A28" s="32"/>
      <c r="B28" s="32"/>
      <c r="C28" s="37" t="s">
        <v>505</v>
      </c>
      <c r="D28" s="68">
        <f>D58+D60</f>
        <v>0</v>
      </c>
      <c r="E28" s="68">
        <f t="shared" ref="E28:O28" si="7">E58+E60</f>
        <v>0</v>
      </c>
      <c r="F28" s="68">
        <f t="shared" si="7"/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8">
        <f t="shared" si="7"/>
        <v>0</v>
      </c>
      <c r="M28" s="68">
        <f t="shared" si="7"/>
        <v>0</v>
      </c>
      <c r="N28" s="68">
        <f t="shared" si="7"/>
        <v>0</v>
      </c>
      <c r="O28" s="68">
        <f t="shared" si="7"/>
        <v>0</v>
      </c>
      <c r="P28" s="285"/>
      <c r="Q28" s="285"/>
    </row>
    <row r="29" spans="1:17" s="27" customFormat="1" ht="47.25" hidden="1" x14ac:dyDescent="0.25">
      <c r="A29" s="32"/>
      <c r="B29" s="32"/>
      <c r="C29" s="37" t="s">
        <v>542</v>
      </c>
      <c r="D29" s="68">
        <f>D75</f>
        <v>0</v>
      </c>
      <c r="E29" s="68">
        <f t="shared" ref="E29:O29" si="8">E75</f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68">
        <f t="shared" si="8"/>
        <v>0</v>
      </c>
      <c r="N29" s="68">
        <f t="shared" si="8"/>
        <v>0</v>
      </c>
      <c r="O29" s="68">
        <f t="shared" si="8"/>
        <v>0</v>
      </c>
      <c r="P29" s="285"/>
      <c r="Q29" s="285"/>
    </row>
    <row r="30" spans="1:17" s="27" customFormat="1" ht="63" hidden="1" x14ac:dyDescent="0.25">
      <c r="A30" s="32"/>
      <c r="B30" s="32"/>
      <c r="C30" s="37" t="s">
        <v>522</v>
      </c>
      <c r="D30" s="68">
        <f>D79</f>
        <v>0</v>
      </c>
      <c r="E30" s="68">
        <f t="shared" ref="E30:O30" si="9">E79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8">
        <f t="shared" si="9"/>
        <v>0</v>
      </c>
      <c r="K30" s="68">
        <f t="shared" si="9"/>
        <v>0</v>
      </c>
      <c r="L30" s="68">
        <f t="shared" si="9"/>
        <v>0</v>
      </c>
      <c r="M30" s="68">
        <f t="shared" si="9"/>
        <v>0</v>
      </c>
      <c r="N30" s="68">
        <f t="shared" si="9"/>
        <v>0</v>
      </c>
      <c r="O30" s="68">
        <f t="shared" si="9"/>
        <v>0</v>
      </c>
      <c r="P30" s="285"/>
      <c r="Q30" s="285"/>
    </row>
    <row r="31" spans="1:17" s="27" customFormat="1" hidden="1" x14ac:dyDescent="0.25">
      <c r="A31" s="32"/>
      <c r="B31" s="32"/>
      <c r="C31" s="37" t="s">
        <v>389</v>
      </c>
      <c r="D31" s="68">
        <f>D77</f>
        <v>0</v>
      </c>
      <c r="E31" s="68">
        <f t="shared" ref="E31:O31" si="10">E77</f>
        <v>0</v>
      </c>
      <c r="F31" s="68">
        <f t="shared" si="10"/>
        <v>0</v>
      </c>
      <c r="G31" s="68">
        <f t="shared" si="10"/>
        <v>0</v>
      </c>
      <c r="H31" s="68">
        <f t="shared" si="10"/>
        <v>0</v>
      </c>
      <c r="I31" s="68">
        <f t="shared" si="10"/>
        <v>0</v>
      </c>
      <c r="J31" s="68">
        <f t="shared" si="10"/>
        <v>0</v>
      </c>
      <c r="K31" s="68">
        <f t="shared" si="10"/>
        <v>0</v>
      </c>
      <c r="L31" s="68">
        <f t="shared" si="10"/>
        <v>0</v>
      </c>
      <c r="M31" s="68">
        <f t="shared" si="10"/>
        <v>0</v>
      </c>
      <c r="N31" s="68">
        <f t="shared" si="10"/>
        <v>0</v>
      </c>
      <c r="O31" s="68">
        <f t="shared" si="10"/>
        <v>0</v>
      </c>
      <c r="P31" s="285"/>
      <c r="Q31" s="285"/>
    </row>
    <row r="32" spans="1:17" s="27" customFormat="1" ht="47.25" x14ac:dyDescent="0.25">
      <c r="A32" s="32"/>
      <c r="B32" s="32"/>
      <c r="C32" s="37" t="str">
        <f>'дод 3 '!D76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2" s="68">
        <f>D40</f>
        <v>0</v>
      </c>
      <c r="E32" s="68">
        <f t="shared" ref="E32:O32" si="11">E40</f>
        <v>0</v>
      </c>
      <c r="F32" s="68">
        <f t="shared" si="11"/>
        <v>0</v>
      </c>
      <c r="G32" s="68">
        <f t="shared" si="11"/>
        <v>0</v>
      </c>
      <c r="H32" s="68">
        <f t="shared" si="11"/>
        <v>0</v>
      </c>
      <c r="I32" s="68">
        <f t="shared" si="11"/>
        <v>8554.02</v>
      </c>
      <c r="J32" s="68">
        <f t="shared" si="11"/>
        <v>8554.02</v>
      </c>
      <c r="K32" s="68">
        <f t="shared" si="11"/>
        <v>0</v>
      </c>
      <c r="L32" s="68">
        <f t="shared" si="11"/>
        <v>0</v>
      </c>
      <c r="M32" s="68">
        <f t="shared" si="11"/>
        <v>0</v>
      </c>
      <c r="N32" s="68">
        <f t="shared" si="11"/>
        <v>8554.02</v>
      </c>
      <c r="O32" s="68">
        <f t="shared" si="11"/>
        <v>8554.02</v>
      </c>
      <c r="P32" s="285"/>
      <c r="Q32" s="285"/>
    </row>
    <row r="33" spans="1:17" s="27" customFormat="1" ht="48.75" customHeight="1" x14ac:dyDescent="0.25">
      <c r="A33" s="32"/>
      <c r="B33" s="32"/>
      <c r="C33" s="37" t="s">
        <v>704</v>
      </c>
      <c r="D33" s="68">
        <f>D86</f>
        <v>0</v>
      </c>
      <c r="E33" s="68">
        <f t="shared" ref="E33:O33" si="12">E86</f>
        <v>0</v>
      </c>
      <c r="F33" s="68">
        <f t="shared" si="12"/>
        <v>0</v>
      </c>
      <c r="G33" s="68">
        <f t="shared" si="12"/>
        <v>0</v>
      </c>
      <c r="H33" s="68">
        <f t="shared" si="12"/>
        <v>0</v>
      </c>
      <c r="I33" s="68">
        <f>I86</f>
        <v>28975500</v>
      </c>
      <c r="J33" s="68">
        <f t="shared" si="12"/>
        <v>28975500</v>
      </c>
      <c r="K33" s="68">
        <f t="shared" si="12"/>
        <v>0</v>
      </c>
      <c r="L33" s="68">
        <f t="shared" si="12"/>
        <v>0</v>
      </c>
      <c r="M33" s="68">
        <f t="shared" si="12"/>
        <v>0</v>
      </c>
      <c r="N33" s="68">
        <f t="shared" si="12"/>
        <v>28975500</v>
      </c>
      <c r="O33" s="68">
        <f t="shared" si="12"/>
        <v>28975500</v>
      </c>
      <c r="P33" s="285"/>
      <c r="Q33" s="285"/>
    </row>
    <row r="34" spans="1:17" s="27" customFormat="1" ht="63" x14ac:dyDescent="0.25">
      <c r="A34" s="32"/>
      <c r="B34" s="32"/>
      <c r="C34" s="37" t="s">
        <v>491</v>
      </c>
      <c r="D34" s="68">
        <f>D83</f>
        <v>208630.37</v>
      </c>
      <c r="E34" s="68">
        <f t="shared" ref="E34:O34" si="13">E83</f>
        <v>208630.37</v>
      </c>
      <c r="F34" s="68">
        <f t="shared" si="13"/>
        <v>171010</v>
      </c>
      <c r="G34" s="68">
        <f t="shared" si="13"/>
        <v>0</v>
      </c>
      <c r="H34" s="68">
        <f t="shared" si="13"/>
        <v>0</v>
      </c>
      <c r="I34" s="68">
        <f t="shared" si="13"/>
        <v>0</v>
      </c>
      <c r="J34" s="68">
        <f t="shared" si="13"/>
        <v>0</v>
      </c>
      <c r="K34" s="68">
        <f t="shared" si="13"/>
        <v>0</v>
      </c>
      <c r="L34" s="68">
        <f t="shared" si="13"/>
        <v>0</v>
      </c>
      <c r="M34" s="68">
        <f t="shared" si="13"/>
        <v>0</v>
      </c>
      <c r="N34" s="68">
        <f t="shared" si="13"/>
        <v>0</v>
      </c>
      <c r="O34" s="68">
        <f t="shared" si="13"/>
        <v>208630.37</v>
      </c>
      <c r="P34" s="285"/>
      <c r="Q34" s="285"/>
    </row>
    <row r="35" spans="1:17" s="27" customFormat="1" x14ac:dyDescent="0.25">
      <c r="A35" s="32"/>
      <c r="B35" s="32"/>
      <c r="C35" s="37" t="str">
        <f>C64</f>
        <v>іншої субвенції з місцевого бюджету</v>
      </c>
      <c r="D35" s="68">
        <f t="shared" ref="D35:O35" si="14">D64</f>
        <v>199919</v>
      </c>
      <c r="E35" s="68">
        <f t="shared" si="14"/>
        <v>199919</v>
      </c>
      <c r="F35" s="68">
        <f t="shared" si="14"/>
        <v>0</v>
      </c>
      <c r="G35" s="68">
        <f t="shared" si="14"/>
        <v>0</v>
      </c>
      <c r="H35" s="68">
        <f t="shared" si="14"/>
        <v>0</v>
      </c>
      <c r="I35" s="68">
        <f t="shared" si="14"/>
        <v>980400</v>
      </c>
      <c r="J35" s="68">
        <f t="shared" si="14"/>
        <v>980400</v>
      </c>
      <c r="K35" s="68">
        <f t="shared" si="14"/>
        <v>0</v>
      </c>
      <c r="L35" s="68">
        <f t="shared" si="14"/>
        <v>0</v>
      </c>
      <c r="M35" s="68">
        <f t="shared" si="14"/>
        <v>0</v>
      </c>
      <c r="N35" s="68">
        <f t="shared" si="14"/>
        <v>980400</v>
      </c>
      <c r="O35" s="68">
        <f t="shared" si="14"/>
        <v>1180319</v>
      </c>
      <c r="P35" s="285"/>
      <c r="Q35" s="285"/>
    </row>
    <row r="36" spans="1:17" ht="17.25" customHeight="1" x14ac:dyDescent="0.25">
      <c r="A36" s="19" t="s">
        <v>47</v>
      </c>
      <c r="B36" s="19" t="s">
        <v>48</v>
      </c>
      <c r="C36" s="6" t="s">
        <v>480</v>
      </c>
      <c r="D36" s="66">
        <f>'дод 3 '!E84+'дод 3 '!E334</f>
        <v>327930983</v>
      </c>
      <c r="E36" s="66">
        <f>'дод 3 '!F84+'дод 3 '!F334</f>
        <v>327930983</v>
      </c>
      <c r="F36" s="66">
        <f>'дод 3 '!G84+'дод 3 '!G334</f>
        <v>225823282</v>
      </c>
      <c r="G36" s="66">
        <f>'дод 3 '!H84+'дод 3 '!H334</f>
        <v>36678640</v>
      </c>
      <c r="H36" s="66">
        <f>'дод 3 '!I84+'дод 3 '!I334</f>
        <v>0</v>
      </c>
      <c r="I36" s="66">
        <f>'дод 3 '!J84+'дод 3 '!J334</f>
        <v>109083785</v>
      </c>
      <c r="J36" s="66">
        <f>'дод 3 '!K84+'дод 3 '!K334</f>
        <v>89029985</v>
      </c>
      <c r="K36" s="66">
        <f>'дод 3 '!L84+'дод 3 '!L334</f>
        <v>20053800</v>
      </c>
      <c r="L36" s="66">
        <f>'дод 3 '!M84+'дод 3 '!M334</f>
        <v>0</v>
      </c>
      <c r="M36" s="66">
        <f>'дод 3 '!N84+'дод 3 '!N334</f>
        <v>0</v>
      </c>
      <c r="N36" s="66">
        <f>'дод 3 '!O84+'дод 3 '!O334</f>
        <v>89029985</v>
      </c>
      <c r="O36" s="66">
        <f>'дод 3 '!P84+'дод 3 '!P334</f>
        <v>437014768</v>
      </c>
      <c r="P36" s="285"/>
      <c r="Q36" s="285"/>
    </row>
    <row r="37" spans="1:17" s="28" customFormat="1" ht="47.25" hidden="1" customHeight="1" x14ac:dyDescent="0.25">
      <c r="A37" s="38"/>
      <c r="B37" s="38"/>
      <c r="C37" s="39" t="s">
        <v>378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85"/>
      <c r="Q37" s="285"/>
    </row>
    <row r="38" spans="1:17" ht="38.25" customHeight="1" x14ac:dyDescent="0.25">
      <c r="A38" s="19">
        <v>1021</v>
      </c>
      <c r="B38" s="19" t="s">
        <v>50</v>
      </c>
      <c r="C38" s="31" t="s">
        <v>670</v>
      </c>
      <c r="D38" s="66">
        <f>'дод 3 '!E85+'дод 3 '!E335</f>
        <v>241238047</v>
      </c>
      <c r="E38" s="66">
        <f>'дод 3 '!F85+'дод 3 '!F335</f>
        <v>241238047</v>
      </c>
      <c r="F38" s="66">
        <f>'дод 3 '!G85+'дод 3 '!G335</f>
        <v>135074000</v>
      </c>
      <c r="G38" s="66">
        <f>'дод 3 '!H85+'дод 3 '!H335</f>
        <v>53015630</v>
      </c>
      <c r="H38" s="66">
        <f>'дод 3 '!I85+'дод 3 '!I335</f>
        <v>0</v>
      </c>
      <c r="I38" s="66">
        <f>'дод 3 '!J85+'дод 3 '!J335</f>
        <v>94970329.020000011</v>
      </c>
      <c r="J38" s="66">
        <f>'дод 3 '!K85+'дод 3 '!K335</f>
        <v>35860089.020000003</v>
      </c>
      <c r="K38" s="66">
        <f>'дод 3 '!L85+'дод 3 '!L335</f>
        <v>59110240</v>
      </c>
      <c r="L38" s="66">
        <f>'дод 3 '!M85+'дод 3 '!M335</f>
        <v>3250000</v>
      </c>
      <c r="M38" s="66">
        <f>'дод 3 '!N85+'дод 3 '!N335</f>
        <v>1318160</v>
      </c>
      <c r="N38" s="66">
        <f>'дод 3 '!O85+'дод 3 '!O335</f>
        <v>35860089.020000003</v>
      </c>
      <c r="O38" s="66">
        <f>'дод 3 '!P85+'дод 3 '!P335</f>
        <v>336208376.01999998</v>
      </c>
      <c r="P38" s="285"/>
      <c r="Q38" s="285"/>
    </row>
    <row r="39" spans="1:17" s="28" customFormat="1" ht="63" hidden="1" customHeight="1" x14ac:dyDescent="0.25">
      <c r="A39" s="38"/>
      <c r="B39" s="38"/>
      <c r="C39" s="39" t="s">
        <v>382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85"/>
      <c r="Q39" s="285"/>
    </row>
    <row r="40" spans="1:17" s="28" customFormat="1" ht="47.25" x14ac:dyDescent="0.25">
      <c r="A40" s="38"/>
      <c r="B40" s="38"/>
      <c r="C40" s="46" t="str">
        <f>'дод 3 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67">
        <f>'дод 3 '!E86</f>
        <v>0</v>
      </c>
      <c r="E40" s="67">
        <f>'дод 3 '!F86</f>
        <v>0</v>
      </c>
      <c r="F40" s="67">
        <f>'дод 3 '!G86</f>
        <v>0</v>
      </c>
      <c r="G40" s="67">
        <f>'дод 3 '!H86</f>
        <v>0</v>
      </c>
      <c r="H40" s="67">
        <f>'дод 3 '!I86</f>
        <v>0</v>
      </c>
      <c r="I40" s="67">
        <f>'дод 3 '!J86</f>
        <v>8554.02</v>
      </c>
      <c r="J40" s="67">
        <f>'дод 3 '!K86</f>
        <v>8554.02</v>
      </c>
      <c r="K40" s="67">
        <f>'дод 3 '!L86</f>
        <v>0</v>
      </c>
      <c r="L40" s="67">
        <f>'дод 3 '!M86</f>
        <v>0</v>
      </c>
      <c r="M40" s="67">
        <f>'дод 3 '!N86</f>
        <v>0</v>
      </c>
      <c r="N40" s="67">
        <f>'дод 3 '!O86</f>
        <v>8554.02</v>
      </c>
      <c r="O40" s="67">
        <f>'дод 3 '!P86</f>
        <v>8554.02</v>
      </c>
      <c r="P40" s="285"/>
      <c r="Q40" s="285"/>
    </row>
    <row r="41" spans="1:17" s="28" customFormat="1" ht="47.25" hidden="1" x14ac:dyDescent="0.25">
      <c r="A41" s="38"/>
      <c r="B41" s="38"/>
      <c r="C41" s="39" t="s">
        <v>379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85"/>
      <c r="Q41" s="285"/>
    </row>
    <row r="42" spans="1:17" s="28" customFormat="1" ht="47.25" hidden="1" x14ac:dyDescent="0.25">
      <c r="A42" s="38"/>
      <c r="B42" s="38"/>
      <c r="C42" s="39" t="s">
        <v>381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85"/>
      <c r="Q42" s="285"/>
    </row>
    <row r="43" spans="1:17" s="28" customFormat="1" ht="47.25" hidden="1" x14ac:dyDescent="0.25">
      <c r="A43" s="38"/>
      <c r="B43" s="38"/>
      <c r="C43" s="39" t="s">
        <v>378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85"/>
      <c r="Q43" s="285"/>
    </row>
    <row r="44" spans="1:17" s="28" customFormat="1" ht="31.5" hidden="1" x14ac:dyDescent="0.25">
      <c r="A44" s="38"/>
      <c r="B44" s="38"/>
      <c r="C44" s="39" t="s">
        <v>384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85"/>
      <c r="Q44" s="285"/>
    </row>
    <row r="45" spans="1:17" s="247" customFormat="1" ht="63" hidden="1" x14ac:dyDescent="0.25">
      <c r="A45" s="244"/>
      <c r="B45" s="244"/>
      <c r="C45" s="245" t="s">
        <v>380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85"/>
      <c r="Q45" s="285"/>
    </row>
    <row r="46" spans="1:17" ht="70.5" customHeight="1" x14ac:dyDescent="0.25">
      <c r="A46" s="19">
        <v>1022</v>
      </c>
      <c r="B46" s="30" t="s">
        <v>54</v>
      </c>
      <c r="C46" s="18" t="s">
        <v>671</v>
      </c>
      <c r="D46" s="66">
        <f>'дод 3 '!E87+'дод 3 '!E336</f>
        <v>16255341</v>
      </c>
      <c r="E46" s="66">
        <f>'дод 3 '!F87+'дод 3 '!F336</f>
        <v>16255341</v>
      </c>
      <c r="F46" s="66">
        <f>'дод 3 '!G87+'дод 3 '!G336</f>
        <v>10152900</v>
      </c>
      <c r="G46" s="66">
        <f>'дод 3 '!H87+'дод 3 '!H336</f>
        <v>2417000</v>
      </c>
      <c r="H46" s="66">
        <f>'дод 3 '!I87+'дод 3 '!I336</f>
        <v>0</v>
      </c>
      <c r="I46" s="66">
        <f>'дод 3 '!J87+'дод 3 '!J336</f>
        <v>0</v>
      </c>
      <c r="J46" s="66">
        <f>'дод 3 '!K87+'дод 3 '!K336</f>
        <v>0</v>
      </c>
      <c r="K46" s="66">
        <f>'дод 3 '!L87+'дод 3 '!L336</f>
        <v>0</v>
      </c>
      <c r="L46" s="66">
        <f>'дод 3 '!M87+'дод 3 '!M336</f>
        <v>0</v>
      </c>
      <c r="M46" s="66">
        <f>'дод 3 '!N87+'дод 3 '!N336</f>
        <v>0</v>
      </c>
      <c r="N46" s="66">
        <f>'дод 3 '!O87+'дод 3 '!O336</f>
        <v>0</v>
      </c>
      <c r="O46" s="66">
        <f>'дод 3 '!P87+'дод 3 '!P336</f>
        <v>16255341</v>
      </c>
      <c r="P46" s="285"/>
      <c r="Q46" s="285"/>
    </row>
    <row r="47" spans="1:17" ht="13.5" hidden="1" customHeight="1" x14ac:dyDescent="0.25">
      <c r="A47" s="19"/>
      <c r="B47" s="19"/>
      <c r="C47" s="39" t="s">
        <v>382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85"/>
      <c r="Q47" s="285"/>
    </row>
    <row r="48" spans="1:17" ht="80.25" customHeight="1" x14ac:dyDescent="0.25">
      <c r="A48" s="19">
        <v>1025</v>
      </c>
      <c r="B48" s="19" t="s">
        <v>54</v>
      </c>
      <c r="C48" s="3" t="s">
        <v>672</v>
      </c>
      <c r="D48" s="66">
        <f>'дод 3 '!E88</f>
        <v>12011900</v>
      </c>
      <c r="E48" s="66">
        <f>'дод 3 '!F88</f>
        <v>12011900</v>
      </c>
      <c r="F48" s="66">
        <f>'дод 3 '!G88</f>
        <v>8367700</v>
      </c>
      <c r="G48" s="66">
        <f>'дод 3 '!H88</f>
        <v>1106800</v>
      </c>
      <c r="H48" s="66">
        <f>'дод 3 '!I88</f>
        <v>0</v>
      </c>
      <c r="I48" s="66">
        <f>'дод 3 '!J88</f>
        <v>0</v>
      </c>
      <c r="J48" s="66">
        <f>'дод 3 '!K88</f>
        <v>0</v>
      </c>
      <c r="K48" s="66">
        <f>'дод 3 '!L88</f>
        <v>0</v>
      </c>
      <c r="L48" s="66">
        <f>'дод 3 '!M88</f>
        <v>0</v>
      </c>
      <c r="M48" s="66">
        <f>'дод 3 '!N88</f>
        <v>0</v>
      </c>
      <c r="N48" s="66">
        <f>'дод 3 '!O88</f>
        <v>0</v>
      </c>
      <c r="O48" s="66">
        <f>'дод 3 '!P88</f>
        <v>12011900</v>
      </c>
      <c r="P48" s="285"/>
      <c r="Q48" s="285"/>
    </row>
    <row r="49" spans="1:17" s="28" customFormat="1" ht="47.25" x14ac:dyDescent="0.25">
      <c r="A49" s="51">
        <v>1031</v>
      </c>
      <c r="B49" s="30" t="s">
        <v>50</v>
      </c>
      <c r="C49" s="31" t="s">
        <v>673</v>
      </c>
      <c r="D49" s="66">
        <f>'дод 3 '!E89</f>
        <v>439541077.94</v>
      </c>
      <c r="E49" s="66">
        <f>'дод 3 '!F89</f>
        <v>439541077.94</v>
      </c>
      <c r="F49" s="66">
        <f>'дод 3 '!G89</f>
        <v>359919340</v>
      </c>
      <c r="G49" s="66">
        <f>'дод 3 '!H89</f>
        <v>0</v>
      </c>
      <c r="H49" s="66">
        <f>'дод 3 '!I89</f>
        <v>0</v>
      </c>
      <c r="I49" s="66">
        <f>'дод 3 '!J89</f>
        <v>0</v>
      </c>
      <c r="J49" s="66">
        <f>'дод 3 '!K89</f>
        <v>0</v>
      </c>
      <c r="K49" s="66">
        <f>'дод 3 '!L89</f>
        <v>0</v>
      </c>
      <c r="L49" s="66">
        <f>'дод 3 '!M89</f>
        <v>0</v>
      </c>
      <c r="M49" s="66">
        <f>'дод 3 '!N89</f>
        <v>0</v>
      </c>
      <c r="N49" s="66">
        <f>'дод 3 '!O89</f>
        <v>0</v>
      </c>
      <c r="O49" s="66">
        <f>'дод 3 '!P89</f>
        <v>439541077.94</v>
      </c>
      <c r="P49" s="285"/>
      <c r="Q49" s="285"/>
    </row>
    <row r="50" spans="1:17" s="28" customFormat="1" ht="35.25" customHeight="1" x14ac:dyDescent="0.25">
      <c r="A50" s="38"/>
      <c r="B50" s="38"/>
      <c r="C50" s="46" t="s">
        <v>384</v>
      </c>
      <c r="D50" s="67">
        <f>'дод 3 '!E90</f>
        <v>437936360</v>
      </c>
      <c r="E50" s="67">
        <f>'дод 3 '!F90</f>
        <v>437936360</v>
      </c>
      <c r="F50" s="67">
        <f>'дод 3 '!G90</f>
        <v>359919340</v>
      </c>
      <c r="G50" s="67">
        <f>'дод 3 '!H90</f>
        <v>0</v>
      </c>
      <c r="H50" s="67">
        <f>'дод 3 '!I90</f>
        <v>0</v>
      </c>
      <c r="I50" s="67">
        <f>'дод 3 '!J90</f>
        <v>0</v>
      </c>
      <c r="J50" s="67">
        <f>'дод 3 '!K90</f>
        <v>0</v>
      </c>
      <c r="K50" s="67">
        <f>'дод 3 '!L90</f>
        <v>0</v>
      </c>
      <c r="L50" s="67">
        <f>'дод 3 '!M90</f>
        <v>0</v>
      </c>
      <c r="M50" s="67">
        <f>'дод 3 '!N90</f>
        <v>0</v>
      </c>
      <c r="N50" s="67">
        <f>'дод 3 '!O90</f>
        <v>0</v>
      </c>
      <c r="O50" s="67">
        <f>'дод 3 '!P90</f>
        <v>437936360</v>
      </c>
      <c r="P50" s="285"/>
      <c r="Q50" s="285"/>
    </row>
    <row r="51" spans="1:17" ht="58.5" customHeight="1" x14ac:dyDescent="0.25">
      <c r="A51" s="19"/>
      <c r="B51" s="19"/>
      <c r="C51" s="46" t="s">
        <v>379</v>
      </c>
      <c r="D51" s="67">
        <f>'дод 3 '!E91</f>
        <v>1604717.94</v>
      </c>
      <c r="E51" s="67">
        <f>'дод 3 '!F91</f>
        <v>1604717.94</v>
      </c>
      <c r="F51" s="67">
        <f>'дод 3 '!G91</f>
        <v>0</v>
      </c>
      <c r="G51" s="67">
        <f>'дод 3 '!H91</f>
        <v>0</v>
      </c>
      <c r="H51" s="67">
        <f>'дод 3 '!I91</f>
        <v>0</v>
      </c>
      <c r="I51" s="67">
        <f>'дод 3 '!J91</f>
        <v>0</v>
      </c>
      <c r="J51" s="67">
        <f>'дод 3 '!K91</f>
        <v>0</v>
      </c>
      <c r="K51" s="67">
        <f>'дод 3 '!L91</f>
        <v>0</v>
      </c>
      <c r="L51" s="67">
        <f>'дод 3 '!M91</f>
        <v>0</v>
      </c>
      <c r="M51" s="67">
        <f>'дод 3 '!N91</f>
        <v>0</v>
      </c>
      <c r="N51" s="67">
        <f>'дод 3 '!O91</f>
        <v>0</v>
      </c>
      <c r="O51" s="67">
        <f>'дод 3 '!P91</f>
        <v>1604717.94</v>
      </c>
      <c r="P51" s="285"/>
      <c r="Q51" s="285"/>
    </row>
    <row r="52" spans="1:17" ht="76.5" customHeight="1" x14ac:dyDescent="0.25">
      <c r="A52" s="30" t="s">
        <v>454</v>
      </c>
      <c r="B52" s="30" t="s">
        <v>54</v>
      </c>
      <c r="C52" s="31" t="s">
        <v>674</v>
      </c>
      <c r="D52" s="66">
        <f>'дод 3 '!E92</f>
        <v>15956780</v>
      </c>
      <c r="E52" s="66">
        <f>'дод 3 '!F92</f>
        <v>15956780</v>
      </c>
      <c r="F52" s="66">
        <f>'дод 3 '!G92</f>
        <v>13076000</v>
      </c>
      <c r="G52" s="66">
        <f>'дод 3 '!H92</f>
        <v>0</v>
      </c>
      <c r="H52" s="66">
        <f>'дод 3 '!I92</f>
        <v>0</v>
      </c>
      <c r="I52" s="66">
        <f>'дод 3 '!J92</f>
        <v>0</v>
      </c>
      <c r="J52" s="66">
        <f>'дод 3 '!K92</f>
        <v>0</v>
      </c>
      <c r="K52" s="66">
        <f>'дод 3 '!L92</f>
        <v>0</v>
      </c>
      <c r="L52" s="66">
        <f>'дод 3 '!M92</f>
        <v>0</v>
      </c>
      <c r="M52" s="66">
        <f>'дод 3 '!N92</f>
        <v>0</v>
      </c>
      <c r="N52" s="66">
        <f>'дод 3 '!O92</f>
        <v>0</v>
      </c>
      <c r="O52" s="66">
        <f>'дод 3 '!P92</f>
        <v>15956780</v>
      </c>
      <c r="P52" s="285"/>
      <c r="Q52" s="285"/>
    </row>
    <row r="53" spans="1:17" ht="31.5" customHeight="1" x14ac:dyDescent="0.25">
      <c r="A53" s="19"/>
      <c r="B53" s="19"/>
      <c r="C53" s="46" t="s">
        <v>384</v>
      </c>
      <c r="D53" s="67">
        <f>'дод 3 '!E93</f>
        <v>15956780</v>
      </c>
      <c r="E53" s="67">
        <f>'дод 3 '!F93</f>
        <v>15956780</v>
      </c>
      <c r="F53" s="67">
        <f>'дод 3 '!G93</f>
        <v>13076000</v>
      </c>
      <c r="G53" s="67">
        <f>'дод 3 '!H93</f>
        <v>0</v>
      </c>
      <c r="H53" s="67">
        <f>'дод 3 '!I93</f>
        <v>0</v>
      </c>
      <c r="I53" s="67">
        <f>'дод 3 '!J93</f>
        <v>0</v>
      </c>
      <c r="J53" s="67">
        <f>'дод 3 '!K93</f>
        <v>0</v>
      </c>
      <c r="K53" s="67">
        <f>'дод 3 '!L93</f>
        <v>0</v>
      </c>
      <c r="L53" s="67">
        <f>'дод 3 '!M93</f>
        <v>0</v>
      </c>
      <c r="M53" s="67">
        <f>'дод 3 '!N93</f>
        <v>0</v>
      </c>
      <c r="N53" s="67">
        <f>'дод 3 '!O93</f>
        <v>0</v>
      </c>
      <c r="O53" s="67">
        <f>'дод 3 '!P93</f>
        <v>15956780</v>
      </c>
      <c r="P53" s="284">
        <v>46</v>
      </c>
      <c r="Q53" s="285"/>
    </row>
    <row r="54" spans="1:17" ht="70.5" customHeight="1" x14ac:dyDescent="0.25">
      <c r="A54" s="19">
        <v>1035</v>
      </c>
      <c r="B54" s="19" t="s">
        <v>54</v>
      </c>
      <c r="C54" s="18" t="s">
        <v>675</v>
      </c>
      <c r="D54" s="66">
        <f>'дод 3 '!E94</f>
        <v>1176620</v>
      </c>
      <c r="E54" s="66">
        <f>'дод 3 '!F94</f>
        <v>1176620</v>
      </c>
      <c r="F54" s="66">
        <f>'дод 3 '!G94</f>
        <v>976000</v>
      </c>
      <c r="G54" s="66">
        <f>'дод 3 '!H94</f>
        <v>0</v>
      </c>
      <c r="H54" s="66">
        <f>'дод 3 '!I94</f>
        <v>0</v>
      </c>
      <c r="I54" s="66">
        <f>'дод 3 '!J94</f>
        <v>0</v>
      </c>
      <c r="J54" s="66">
        <f>'дод 3 '!K94</f>
        <v>0</v>
      </c>
      <c r="K54" s="66">
        <f>'дод 3 '!L94</f>
        <v>0</v>
      </c>
      <c r="L54" s="66">
        <f>'дод 3 '!M94</f>
        <v>0</v>
      </c>
      <c r="M54" s="66">
        <f>'дод 3 '!N94</f>
        <v>0</v>
      </c>
      <c r="N54" s="66">
        <f>'дод 3 '!O94</f>
        <v>0</v>
      </c>
      <c r="O54" s="66">
        <f>'дод 3 '!P94</f>
        <v>1176620</v>
      </c>
      <c r="P54" s="284"/>
      <c r="Q54" s="285"/>
    </row>
    <row r="55" spans="1:17" ht="31.5" customHeight="1" x14ac:dyDescent="0.25">
      <c r="A55" s="19"/>
      <c r="B55" s="19"/>
      <c r="C55" s="46" t="s">
        <v>384</v>
      </c>
      <c r="D55" s="67">
        <f>'дод 3 '!E95</f>
        <v>1176620</v>
      </c>
      <c r="E55" s="67">
        <f>'дод 3 '!F95</f>
        <v>1176620</v>
      </c>
      <c r="F55" s="67">
        <f>'дод 3 '!G95</f>
        <v>976000</v>
      </c>
      <c r="G55" s="67">
        <f>'дод 3 '!H95</f>
        <v>0</v>
      </c>
      <c r="H55" s="67">
        <f>'дод 3 '!I95</f>
        <v>0</v>
      </c>
      <c r="I55" s="67">
        <f>'дод 3 '!J95</f>
        <v>0</v>
      </c>
      <c r="J55" s="67">
        <f>'дод 3 '!K95</f>
        <v>0</v>
      </c>
      <c r="K55" s="67">
        <f>'дод 3 '!L95</f>
        <v>0</v>
      </c>
      <c r="L55" s="67">
        <f>'дод 3 '!M95</f>
        <v>0</v>
      </c>
      <c r="M55" s="67">
        <f>'дод 3 '!N95</f>
        <v>0</v>
      </c>
      <c r="N55" s="67">
        <f>'дод 3 '!O95</f>
        <v>0</v>
      </c>
      <c r="O55" s="67">
        <f>'дод 3 '!P95</f>
        <v>1176620</v>
      </c>
      <c r="P55" s="284"/>
      <c r="Q55" s="285"/>
    </row>
    <row r="56" spans="1:17" ht="31.5" hidden="1" customHeight="1" x14ac:dyDescent="0.25">
      <c r="A56" s="19">
        <v>1061</v>
      </c>
      <c r="B56" s="30" t="s">
        <v>50</v>
      </c>
      <c r="C56" s="18" t="s">
        <v>498</v>
      </c>
      <c r="D56" s="66">
        <f>'дод 3 '!E96</f>
        <v>0</v>
      </c>
      <c r="E56" s="66">
        <f>'дод 3 '!F96</f>
        <v>0</v>
      </c>
      <c r="F56" s="66">
        <f>'дод 3 '!G96</f>
        <v>0</v>
      </c>
      <c r="G56" s="66">
        <f>'дод 3 '!H96</f>
        <v>0</v>
      </c>
      <c r="H56" s="66">
        <f>'дод 3 '!I96</f>
        <v>0</v>
      </c>
      <c r="I56" s="66">
        <f>'дод 3 '!J96</f>
        <v>0</v>
      </c>
      <c r="J56" s="66">
        <f>'дод 3 '!K96</f>
        <v>0</v>
      </c>
      <c r="K56" s="66">
        <f>'дод 3 '!L96</f>
        <v>0</v>
      </c>
      <c r="L56" s="66">
        <f>'дод 3 '!M96</f>
        <v>0</v>
      </c>
      <c r="M56" s="66">
        <f>'дод 3 '!N96</f>
        <v>0</v>
      </c>
      <c r="N56" s="66">
        <f>'дод 3 '!O96</f>
        <v>0</v>
      </c>
      <c r="O56" s="66">
        <f>'дод 3 '!P96</f>
        <v>0</v>
      </c>
      <c r="P56" s="284"/>
      <c r="Q56" s="285"/>
    </row>
    <row r="57" spans="1:17" ht="47.25" hidden="1" customHeight="1" x14ac:dyDescent="0.25">
      <c r="A57" s="19"/>
      <c r="B57" s="30"/>
      <c r="C57" s="46" t="s">
        <v>508</v>
      </c>
      <c r="D57" s="67">
        <f>'дод 3 '!E97</f>
        <v>0</v>
      </c>
      <c r="E57" s="67">
        <f>'дод 3 '!F97</f>
        <v>0</v>
      </c>
      <c r="F57" s="67">
        <f>'дод 3 '!G97</f>
        <v>0</v>
      </c>
      <c r="G57" s="67">
        <f>'дод 3 '!H97</f>
        <v>0</v>
      </c>
      <c r="H57" s="67">
        <f>'дод 3 '!I97</f>
        <v>0</v>
      </c>
      <c r="I57" s="67">
        <f>'дод 3 '!J97</f>
        <v>0</v>
      </c>
      <c r="J57" s="67">
        <f>'дод 3 '!K97</f>
        <v>0</v>
      </c>
      <c r="K57" s="67">
        <f>'дод 3 '!L97</f>
        <v>0</v>
      </c>
      <c r="L57" s="67">
        <f>'дод 3 '!M97</f>
        <v>0</v>
      </c>
      <c r="M57" s="67">
        <f>'дод 3 '!N97</f>
        <v>0</v>
      </c>
      <c r="N57" s="67">
        <f>'дод 3 '!O97</f>
        <v>0</v>
      </c>
      <c r="O57" s="67">
        <f>'дод 3 '!P97</f>
        <v>0</v>
      </c>
      <c r="P57" s="284"/>
      <c r="Q57" s="285"/>
    </row>
    <row r="58" spans="1:17" s="28" customFormat="1" ht="31.5" hidden="1" customHeight="1" x14ac:dyDescent="0.25">
      <c r="A58" s="38"/>
      <c r="B58" s="43"/>
      <c r="C58" s="46" t="s">
        <v>505</v>
      </c>
      <c r="D58" s="67">
        <f>'дод 3 '!E98</f>
        <v>0</v>
      </c>
      <c r="E58" s="67">
        <f>'дод 3 '!F98</f>
        <v>0</v>
      </c>
      <c r="F58" s="67">
        <f>'дод 3 '!G98</f>
        <v>0</v>
      </c>
      <c r="G58" s="67">
        <f>'дод 3 '!H98</f>
        <v>0</v>
      </c>
      <c r="H58" s="67">
        <f>'дод 3 '!I98</f>
        <v>0</v>
      </c>
      <c r="I58" s="67">
        <f>'дод 3 '!J98</f>
        <v>0</v>
      </c>
      <c r="J58" s="67">
        <f>'дод 3 '!K98</f>
        <v>0</v>
      </c>
      <c r="K58" s="67">
        <f>'дод 3 '!L98</f>
        <v>0</v>
      </c>
      <c r="L58" s="67">
        <f>'дод 3 '!M98</f>
        <v>0</v>
      </c>
      <c r="M58" s="67">
        <f>'дод 3 '!N98</f>
        <v>0</v>
      </c>
      <c r="N58" s="67">
        <f>'дод 3 '!O98</f>
        <v>0</v>
      </c>
      <c r="O58" s="67">
        <f>'дод 3 '!P98</f>
        <v>0</v>
      </c>
      <c r="P58" s="284"/>
      <c r="Q58" s="285"/>
    </row>
    <row r="59" spans="1:17" s="28" customFormat="1" ht="63" hidden="1" customHeight="1" x14ac:dyDescent="0.25">
      <c r="A59" s="19">
        <v>1062</v>
      </c>
      <c r="B59" s="30" t="s">
        <v>54</v>
      </c>
      <c r="C59" s="31" t="s">
        <v>481</v>
      </c>
      <c r="D59" s="66">
        <f>'дод 3 '!E99</f>
        <v>0</v>
      </c>
      <c r="E59" s="66">
        <f>'дод 3 '!F99</f>
        <v>0</v>
      </c>
      <c r="F59" s="66">
        <f>'дод 3 '!G99</f>
        <v>0</v>
      </c>
      <c r="G59" s="66">
        <f>'дод 3 '!H99</f>
        <v>0</v>
      </c>
      <c r="H59" s="66">
        <f>'дод 3 '!I99</f>
        <v>0</v>
      </c>
      <c r="I59" s="66">
        <f>'дод 3 '!J99</f>
        <v>0</v>
      </c>
      <c r="J59" s="66">
        <f>'дод 3 '!K99</f>
        <v>0</v>
      </c>
      <c r="K59" s="66">
        <f>'дод 3 '!L99</f>
        <v>0</v>
      </c>
      <c r="L59" s="66">
        <f>'дод 3 '!M99</f>
        <v>0</v>
      </c>
      <c r="M59" s="66">
        <f>'дод 3 '!N99</f>
        <v>0</v>
      </c>
      <c r="N59" s="66">
        <f>'дод 3 '!O99</f>
        <v>0</v>
      </c>
      <c r="O59" s="66">
        <f>'дод 3 '!P99</f>
        <v>0</v>
      </c>
      <c r="P59" s="284"/>
      <c r="Q59" s="285"/>
    </row>
    <row r="60" spans="1:17" s="28" customFormat="1" ht="31.5" hidden="1" customHeight="1" x14ac:dyDescent="0.25">
      <c r="A60" s="38"/>
      <c r="B60" s="43"/>
      <c r="C60" s="46" t="str">
        <f>'дод 3 '!D100</f>
        <v>залишку коштів освітньої субвенції , що утворився на початок бюджетного періоду</v>
      </c>
      <c r="D60" s="67">
        <f>'дод 3 '!E100</f>
        <v>0</v>
      </c>
      <c r="E60" s="67">
        <f>'дод 3 '!F100</f>
        <v>0</v>
      </c>
      <c r="F60" s="67">
        <f>'дод 3 '!G100</f>
        <v>0</v>
      </c>
      <c r="G60" s="67">
        <f>'дод 3 '!H100</f>
        <v>0</v>
      </c>
      <c r="H60" s="67">
        <f>'дод 3 '!I100</f>
        <v>0</v>
      </c>
      <c r="I60" s="67">
        <f>'дод 3 '!J100</f>
        <v>0</v>
      </c>
      <c r="J60" s="67">
        <f>'дод 3 '!K100</f>
        <v>0</v>
      </c>
      <c r="K60" s="67">
        <f>'дод 3 '!L100</f>
        <v>0</v>
      </c>
      <c r="L60" s="67">
        <f>'дод 3 '!M100</f>
        <v>0</v>
      </c>
      <c r="M60" s="67">
        <f>'дод 3 '!N100</f>
        <v>0</v>
      </c>
      <c r="N60" s="67">
        <f>'дод 3 '!O100</f>
        <v>0</v>
      </c>
      <c r="O60" s="67">
        <f>'дод 3 '!P100</f>
        <v>0</v>
      </c>
      <c r="P60" s="284"/>
      <c r="Q60" s="285"/>
    </row>
    <row r="61" spans="1:17" s="28" customFormat="1" ht="38.25" customHeight="1" x14ac:dyDescent="0.25">
      <c r="A61" s="30" t="s">
        <v>53</v>
      </c>
      <c r="B61" s="30" t="s">
        <v>56</v>
      </c>
      <c r="C61" s="31" t="s">
        <v>360</v>
      </c>
      <c r="D61" s="66">
        <f>'дод 3 '!E101</f>
        <v>41978210</v>
      </c>
      <c r="E61" s="66">
        <f>'дод 3 '!F101</f>
        <v>41978210</v>
      </c>
      <c r="F61" s="66">
        <f>'дод 3 '!G101</f>
        <v>29446000</v>
      </c>
      <c r="G61" s="66">
        <f>'дод 3 '!H101</f>
        <v>5091410</v>
      </c>
      <c r="H61" s="66">
        <f>'дод 3 '!I101</f>
        <v>0</v>
      </c>
      <c r="I61" s="66">
        <f>'дод 3 '!J101</f>
        <v>3200000</v>
      </c>
      <c r="J61" s="66">
        <f>'дод 3 '!K101</f>
        <v>3200000</v>
      </c>
      <c r="K61" s="66">
        <f>'дод 3 '!L101</f>
        <v>0</v>
      </c>
      <c r="L61" s="66">
        <f>'дод 3 '!M101</f>
        <v>0</v>
      </c>
      <c r="M61" s="66">
        <f>'дод 3 '!N101</f>
        <v>0</v>
      </c>
      <c r="N61" s="66">
        <f>'дод 3 '!O101</f>
        <v>3200000</v>
      </c>
      <c r="O61" s="66">
        <f>'дод 3 '!P101</f>
        <v>45178210</v>
      </c>
      <c r="P61" s="284"/>
      <c r="Q61" s="285"/>
    </row>
    <row r="62" spans="1:17" s="28" customFormat="1" ht="27.75" customHeight="1" x14ac:dyDescent="0.25">
      <c r="A62" s="51">
        <v>1080</v>
      </c>
      <c r="B62" s="30" t="s">
        <v>56</v>
      </c>
      <c r="C62" s="31" t="s">
        <v>549</v>
      </c>
      <c r="D62" s="66">
        <f>'дод 3 '!E248</f>
        <v>49333300</v>
      </c>
      <c r="E62" s="66">
        <f>'дод 3 '!F248</f>
        <v>49333300</v>
      </c>
      <c r="F62" s="66">
        <f>'дод 3 '!G248</f>
        <v>38763800</v>
      </c>
      <c r="G62" s="66">
        <f>'дод 3 '!H248</f>
        <v>1458100</v>
      </c>
      <c r="H62" s="66">
        <f>'дод 3 '!I248</f>
        <v>0</v>
      </c>
      <c r="I62" s="66">
        <f>'дод 3 '!J248</f>
        <v>3183090</v>
      </c>
      <c r="J62" s="66">
        <f>'дод 3 '!K248</f>
        <v>250000</v>
      </c>
      <c r="K62" s="66">
        <f>'дод 3 '!L248</f>
        <v>2930890</v>
      </c>
      <c r="L62" s="66">
        <f>'дод 3 '!M248</f>
        <v>2397600</v>
      </c>
      <c r="M62" s="66">
        <f>'дод 3 '!N248</f>
        <v>0</v>
      </c>
      <c r="N62" s="66">
        <f>'дод 3 '!O248</f>
        <v>252200</v>
      </c>
      <c r="O62" s="66">
        <f>'дод 3 '!P248</f>
        <v>52516390</v>
      </c>
      <c r="P62" s="284"/>
      <c r="Q62" s="285"/>
    </row>
    <row r="63" spans="1:17" s="28" customFormat="1" ht="47.25" x14ac:dyDescent="0.25">
      <c r="A63" s="51">
        <v>1091</v>
      </c>
      <c r="B63" s="30" t="s">
        <v>571</v>
      </c>
      <c r="C63" s="31" t="s">
        <v>572</v>
      </c>
      <c r="D63" s="66">
        <f>'дод 3 '!E102</f>
        <v>149141967</v>
      </c>
      <c r="E63" s="66">
        <f>'дод 3 '!F102</f>
        <v>149141967</v>
      </c>
      <c r="F63" s="66">
        <f>'дод 3 '!G102</f>
        <v>77072200</v>
      </c>
      <c r="G63" s="66">
        <f>'дод 3 '!H102</f>
        <v>17201300</v>
      </c>
      <c r="H63" s="66">
        <f>'дод 3 '!I102</f>
        <v>0</v>
      </c>
      <c r="I63" s="66">
        <f>'дод 3 '!J102</f>
        <v>13007038</v>
      </c>
      <c r="J63" s="66">
        <f>'дод 3 '!K102</f>
        <v>980400</v>
      </c>
      <c r="K63" s="66">
        <f>'дод 3 '!L102</f>
        <v>11878258</v>
      </c>
      <c r="L63" s="66">
        <f>'дод 3 '!M102</f>
        <v>3115502</v>
      </c>
      <c r="M63" s="66">
        <f>'дод 3 '!N102</f>
        <v>5138695</v>
      </c>
      <c r="N63" s="66">
        <f>'дод 3 '!O102</f>
        <v>1128780</v>
      </c>
      <c r="O63" s="66">
        <f>'дод 3 '!P102</f>
        <v>162149005</v>
      </c>
      <c r="P63" s="284"/>
      <c r="Q63" s="285"/>
    </row>
    <row r="64" spans="1:17" s="28" customFormat="1" x14ac:dyDescent="0.25">
      <c r="A64" s="51"/>
      <c r="B64" s="30"/>
      <c r="C64" s="237" t="str">
        <f>'дод 3 '!D103</f>
        <v>іншої субвенції з місцевого бюджету</v>
      </c>
      <c r="D64" s="238">
        <f>'дод 3 '!E103</f>
        <v>199919</v>
      </c>
      <c r="E64" s="238">
        <f>'дод 3 '!F103</f>
        <v>199919</v>
      </c>
      <c r="F64" s="238">
        <f>'дод 3 '!G103</f>
        <v>0</v>
      </c>
      <c r="G64" s="238">
        <f>'дод 3 '!H103</f>
        <v>0</v>
      </c>
      <c r="H64" s="238">
        <f>'дод 3 '!I103</f>
        <v>0</v>
      </c>
      <c r="I64" s="238">
        <f>'дод 3 '!J103</f>
        <v>980400</v>
      </c>
      <c r="J64" s="238">
        <f>'дод 3 '!K103</f>
        <v>980400</v>
      </c>
      <c r="K64" s="238">
        <f>'дод 3 '!L103</f>
        <v>0</v>
      </c>
      <c r="L64" s="238">
        <f>'дод 3 '!M103</f>
        <v>0</v>
      </c>
      <c r="M64" s="238">
        <f>'дод 3 '!N103</f>
        <v>0</v>
      </c>
      <c r="N64" s="238">
        <f>'дод 3 '!O103</f>
        <v>980400</v>
      </c>
      <c r="O64" s="238">
        <f>'дод 3 '!P103</f>
        <v>1180319</v>
      </c>
      <c r="P64" s="284"/>
      <c r="Q64" s="285"/>
    </row>
    <row r="65" spans="1:17" s="28" customFormat="1" ht="62.25" customHeight="1" x14ac:dyDescent="0.25">
      <c r="A65" s="51">
        <v>1092</v>
      </c>
      <c r="B65" s="30" t="s">
        <v>571</v>
      </c>
      <c r="C65" s="31" t="s">
        <v>574</v>
      </c>
      <c r="D65" s="66">
        <f>'дод 3 '!E104</f>
        <v>18750040</v>
      </c>
      <c r="E65" s="66">
        <f>'дод 3 '!F104</f>
        <v>18750040</v>
      </c>
      <c r="F65" s="66">
        <f>'дод 3 '!G104</f>
        <v>15398000</v>
      </c>
      <c r="G65" s="66">
        <f>'дод 3 '!H104</f>
        <v>0</v>
      </c>
      <c r="H65" s="66">
        <f>'дод 3 '!I104</f>
        <v>0</v>
      </c>
      <c r="I65" s="66">
        <f>'дод 3 '!J104</f>
        <v>0</v>
      </c>
      <c r="J65" s="66">
        <f>'дод 3 '!K104</f>
        <v>0</v>
      </c>
      <c r="K65" s="66">
        <f>'дод 3 '!L104</f>
        <v>0</v>
      </c>
      <c r="L65" s="66">
        <f>'дод 3 '!M104</f>
        <v>0</v>
      </c>
      <c r="M65" s="66">
        <f>'дод 3 '!N104</f>
        <v>0</v>
      </c>
      <c r="N65" s="66">
        <f>'дод 3 '!O104</f>
        <v>0</v>
      </c>
      <c r="O65" s="66">
        <f>'дод 3 '!P104</f>
        <v>18750040</v>
      </c>
      <c r="P65" s="284"/>
      <c r="Q65" s="285"/>
    </row>
    <row r="66" spans="1:17" s="28" customFormat="1" ht="31.5" customHeight="1" x14ac:dyDescent="0.25">
      <c r="A66" s="57"/>
      <c r="B66" s="43"/>
      <c r="C66" s="46" t="s">
        <v>384</v>
      </c>
      <c r="D66" s="67">
        <f>'дод 3 '!E105</f>
        <v>18750040</v>
      </c>
      <c r="E66" s="67">
        <f>'дод 3 '!F105</f>
        <v>18750040</v>
      </c>
      <c r="F66" s="67">
        <f>'дод 3 '!G105</f>
        <v>15398000</v>
      </c>
      <c r="G66" s="67">
        <f>'дод 3 '!H105</f>
        <v>0</v>
      </c>
      <c r="H66" s="67">
        <f>'дод 3 '!I105</f>
        <v>0</v>
      </c>
      <c r="I66" s="67">
        <f>'дод 3 '!J105</f>
        <v>0</v>
      </c>
      <c r="J66" s="67">
        <f>'дод 3 '!K105</f>
        <v>0</v>
      </c>
      <c r="K66" s="67">
        <f>'дод 3 '!L105</f>
        <v>0</v>
      </c>
      <c r="L66" s="67">
        <f>'дод 3 '!M105</f>
        <v>0</v>
      </c>
      <c r="M66" s="67">
        <f>'дод 3 '!N105</f>
        <v>0</v>
      </c>
      <c r="N66" s="67">
        <f>'дод 3 '!O105</f>
        <v>0</v>
      </c>
      <c r="O66" s="67">
        <f>'дод 3 '!P105</f>
        <v>18750040</v>
      </c>
      <c r="P66" s="284"/>
      <c r="Q66" s="285"/>
    </row>
    <row r="67" spans="1:17" s="28" customFormat="1" ht="24.75" customHeight="1" x14ac:dyDescent="0.25">
      <c r="A67" s="30" t="s">
        <v>457</v>
      </c>
      <c r="B67" s="30" t="s">
        <v>57</v>
      </c>
      <c r="C67" s="18" t="s">
        <v>484</v>
      </c>
      <c r="D67" s="66">
        <f>'дод 3 '!E106</f>
        <v>12601000</v>
      </c>
      <c r="E67" s="66">
        <f>'дод 3 '!F106</f>
        <v>12601000</v>
      </c>
      <c r="F67" s="66">
        <f>'дод 3 '!G106</f>
        <v>8889800</v>
      </c>
      <c r="G67" s="66">
        <f>'дод 3 '!H106</f>
        <v>1071700</v>
      </c>
      <c r="H67" s="66">
        <f>'дод 3 '!I106</f>
        <v>0</v>
      </c>
      <c r="I67" s="66">
        <f>'дод 3 '!J106</f>
        <v>0</v>
      </c>
      <c r="J67" s="66">
        <f>'дод 3 '!K106</f>
        <v>0</v>
      </c>
      <c r="K67" s="66">
        <f>'дод 3 '!L106</f>
        <v>0</v>
      </c>
      <c r="L67" s="66">
        <f>'дод 3 '!M106</f>
        <v>0</v>
      </c>
      <c r="M67" s="66">
        <f>'дод 3 '!N106</f>
        <v>0</v>
      </c>
      <c r="N67" s="66">
        <f>'дод 3 '!O106</f>
        <v>0</v>
      </c>
      <c r="O67" s="66">
        <f>'дод 3 '!P106</f>
        <v>12601000</v>
      </c>
      <c r="P67" s="284"/>
      <c r="Q67" s="285"/>
    </row>
    <row r="68" spans="1:17" ht="24" customHeight="1" x14ac:dyDescent="0.25">
      <c r="A68" s="30" t="s">
        <v>459</v>
      </c>
      <c r="B68" s="30" t="s">
        <v>57</v>
      </c>
      <c r="C68" s="18" t="s">
        <v>278</v>
      </c>
      <c r="D68" s="66">
        <f>'дод 3 '!E107</f>
        <v>119000</v>
      </c>
      <c r="E68" s="66">
        <f>'дод 3 '!F107</f>
        <v>119000</v>
      </c>
      <c r="F68" s="66">
        <f>'дод 3 '!G107</f>
        <v>0</v>
      </c>
      <c r="G68" s="66">
        <f>'дод 3 '!H107</f>
        <v>0</v>
      </c>
      <c r="H68" s="66">
        <f>'дод 3 '!I107</f>
        <v>0</v>
      </c>
      <c r="I68" s="66">
        <f>'дод 3 '!J107</f>
        <v>0</v>
      </c>
      <c r="J68" s="66">
        <f>'дод 3 '!K107</f>
        <v>0</v>
      </c>
      <c r="K68" s="66">
        <f>'дод 3 '!L107</f>
        <v>0</v>
      </c>
      <c r="L68" s="66">
        <f>'дод 3 '!M107</f>
        <v>0</v>
      </c>
      <c r="M68" s="66">
        <f>'дод 3 '!N107</f>
        <v>0</v>
      </c>
      <c r="N68" s="66">
        <f>'дод 3 '!O107</f>
        <v>0</v>
      </c>
      <c r="O68" s="66">
        <f>'дод 3 '!P107</f>
        <v>119000</v>
      </c>
      <c r="P68" s="284"/>
      <c r="Q68" s="285"/>
    </row>
    <row r="69" spans="1:17" ht="31.5" x14ac:dyDescent="0.25">
      <c r="A69" s="30" t="s">
        <v>461</v>
      </c>
      <c r="B69" s="30" t="s">
        <v>57</v>
      </c>
      <c r="C69" s="31" t="s">
        <v>462</v>
      </c>
      <c r="D69" s="66">
        <f>'дод 3 '!E108</f>
        <v>527800</v>
      </c>
      <c r="E69" s="66">
        <f>'дод 3 '!F108</f>
        <v>527800</v>
      </c>
      <c r="F69" s="66">
        <f>'дод 3 '!G108</f>
        <v>319800</v>
      </c>
      <c r="G69" s="66">
        <f>'дод 3 '!H108</f>
        <v>86800</v>
      </c>
      <c r="H69" s="66">
        <f>'дод 3 '!I108</f>
        <v>0</v>
      </c>
      <c r="I69" s="66">
        <f>'дод 3 '!J108</f>
        <v>0</v>
      </c>
      <c r="J69" s="66">
        <f>'дод 3 '!K108</f>
        <v>0</v>
      </c>
      <c r="K69" s="66">
        <f>'дод 3 '!L108</f>
        <v>0</v>
      </c>
      <c r="L69" s="66">
        <f>'дод 3 '!M108</f>
        <v>0</v>
      </c>
      <c r="M69" s="66">
        <f>'дод 3 '!N108</f>
        <v>0</v>
      </c>
      <c r="N69" s="66">
        <f>'дод 3 '!O108</f>
        <v>0</v>
      </c>
      <c r="O69" s="66">
        <f>'дод 3 '!P108</f>
        <v>527800</v>
      </c>
      <c r="P69" s="284"/>
      <c r="Q69" s="285"/>
    </row>
    <row r="70" spans="1:17" ht="45" customHeight="1" x14ac:dyDescent="0.25">
      <c r="A70" s="30" t="s">
        <v>464</v>
      </c>
      <c r="B70" s="30" t="s">
        <v>57</v>
      </c>
      <c r="C70" s="31" t="s">
        <v>485</v>
      </c>
      <c r="D70" s="66">
        <f>'дод 3 '!E109</f>
        <v>1743560</v>
      </c>
      <c r="E70" s="66">
        <f>'дод 3 '!F109</f>
        <v>1743560</v>
      </c>
      <c r="F70" s="66">
        <f>'дод 3 '!G109</f>
        <v>1429160</v>
      </c>
      <c r="G70" s="66">
        <f>'дод 3 '!H109</f>
        <v>0</v>
      </c>
      <c r="H70" s="66">
        <f>'дод 3 '!I109</f>
        <v>0</v>
      </c>
      <c r="I70" s="66">
        <f>'дод 3 '!J109</f>
        <v>0</v>
      </c>
      <c r="J70" s="66">
        <f>'дод 3 '!K109</f>
        <v>0</v>
      </c>
      <c r="K70" s="66">
        <f>'дод 3 '!L109</f>
        <v>0</v>
      </c>
      <c r="L70" s="66">
        <f>'дод 3 '!M109</f>
        <v>0</v>
      </c>
      <c r="M70" s="66">
        <f>'дод 3 '!N109</f>
        <v>0</v>
      </c>
      <c r="N70" s="66">
        <f>'дод 3 '!O109</f>
        <v>0</v>
      </c>
      <c r="O70" s="66">
        <f>'дод 3 '!P109</f>
        <v>1743560</v>
      </c>
      <c r="P70" s="284"/>
      <c r="Q70" s="285"/>
    </row>
    <row r="71" spans="1:17" ht="45" customHeight="1" x14ac:dyDescent="0.25">
      <c r="A71" s="19"/>
      <c r="B71" s="19"/>
      <c r="C71" s="46" t="s">
        <v>379</v>
      </c>
      <c r="D71" s="67">
        <f>'дод 3 '!E110</f>
        <v>1743560</v>
      </c>
      <c r="E71" s="67">
        <f>'дод 3 '!F110</f>
        <v>1743560</v>
      </c>
      <c r="F71" s="67">
        <f>'дод 3 '!G110</f>
        <v>1429160</v>
      </c>
      <c r="G71" s="67">
        <f>'дод 3 '!H110</f>
        <v>0</v>
      </c>
      <c r="H71" s="67">
        <f>'дод 3 '!I110</f>
        <v>0</v>
      </c>
      <c r="I71" s="67">
        <f>'дод 3 '!J110</f>
        <v>0</v>
      </c>
      <c r="J71" s="67">
        <f>'дод 3 '!K110</f>
        <v>0</v>
      </c>
      <c r="K71" s="67">
        <f>'дод 3 '!L110</f>
        <v>0</v>
      </c>
      <c r="L71" s="67">
        <f>'дод 3 '!M110</f>
        <v>0</v>
      </c>
      <c r="M71" s="67">
        <f>'дод 3 '!N110</f>
        <v>0</v>
      </c>
      <c r="N71" s="67">
        <f>'дод 3 '!O110</f>
        <v>0</v>
      </c>
      <c r="O71" s="67">
        <f>'дод 3 '!P110</f>
        <v>1743560</v>
      </c>
      <c r="P71" s="284"/>
      <c r="Q71" s="285"/>
    </row>
    <row r="72" spans="1:17" s="28" customFormat="1" ht="31.5" x14ac:dyDescent="0.25">
      <c r="A72" s="30" t="s">
        <v>466</v>
      </c>
      <c r="B72" s="30" t="str">
        <f>'дод 6'!A16</f>
        <v>0160</v>
      </c>
      <c r="C72" s="31" t="s">
        <v>467</v>
      </c>
      <c r="D72" s="66">
        <f>'дод 3 '!E111</f>
        <v>2880400</v>
      </c>
      <c r="E72" s="66">
        <f>'дод 3 '!F111</f>
        <v>2880400</v>
      </c>
      <c r="F72" s="66">
        <f>'дод 3 '!G111</f>
        <v>1999300</v>
      </c>
      <c r="G72" s="66">
        <f>'дод 3 '!H111</f>
        <v>279600</v>
      </c>
      <c r="H72" s="66">
        <f>'дод 3 '!I111</f>
        <v>0</v>
      </c>
      <c r="I72" s="66">
        <f>'дод 3 '!J111</f>
        <v>0</v>
      </c>
      <c r="J72" s="66">
        <f>'дод 3 '!K111</f>
        <v>0</v>
      </c>
      <c r="K72" s="66">
        <f>'дод 3 '!L111</f>
        <v>0</v>
      </c>
      <c r="L72" s="66">
        <f>'дод 3 '!M111</f>
        <v>0</v>
      </c>
      <c r="M72" s="66">
        <f>'дод 3 '!N111</f>
        <v>0</v>
      </c>
      <c r="N72" s="66">
        <f>'дод 3 '!O111</f>
        <v>0</v>
      </c>
      <c r="O72" s="66">
        <f>'дод 3 '!P111</f>
        <v>2880400</v>
      </c>
      <c r="P72" s="284"/>
      <c r="Q72" s="285"/>
    </row>
    <row r="73" spans="1:17" s="28" customFormat="1" ht="66" hidden="1" customHeight="1" x14ac:dyDescent="0.25">
      <c r="A73" s="30" t="s">
        <v>528</v>
      </c>
      <c r="B73" s="30" t="s">
        <v>57</v>
      </c>
      <c r="C73" s="31" t="s">
        <v>531</v>
      </c>
      <c r="D73" s="66">
        <f>'дод 3 '!E112</f>
        <v>0</v>
      </c>
      <c r="E73" s="66">
        <f>'дод 3 '!F112</f>
        <v>0</v>
      </c>
      <c r="F73" s="66">
        <f>'дод 3 '!G112</f>
        <v>0</v>
      </c>
      <c r="G73" s="66">
        <f>'дод 3 '!H112</f>
        <v>0</v>
      </c>
      <c r="H73" s="66">
        <f>'дод 3 '!I112</f>
        <v>0</v>
      </c>
      <c r="I73" s="66">
        <f>'дод 3 '!J112</f>
        <v>0</v>
      </c>
      <c r="J73" s="66">
        <f>'дод 3 '!K112</f>
        <v>0</v>
      </c>
      <c r="K73" s="66">
        <f>'дод 3 '!L112</f>
        <v>0</v>
      </c>
      <c r="L73" s="66">
        <f>'дод 3 '!M112</f>
        <v>0</v>
      </c>
      <c r="M73" s="66">
        <f>'дод 3 '!N112</f>
        <v>0</v>
      </c>
      <c r="N73" s="66">
        <f>'дод 3 '!O112</f>
        <v>0</v>
      </c>
      <c r="O73" s="66">
        <f>'дод 3 '!P112</f>
        <v>0</v>
      </c>
      <c r="P73" s="284"/>
      <c r="Q73" s="285"/>
    </row>
    <row r="74" spans="1:17" s="28" customFormat="1" ht="65.25" hidden="1" customHeight="1" x14ac:dyDescent="0.25">
      <c r="A74" s="30" t="s">
        <v>520</v>
      </c>
      <c r="B74" s="30" t="s">
        <v>57</v>
      </c>
      <c r="C74" s="31" t="s">
        <v>547</v>
      </c>
      <c r="D74" s="62">
        <f>'дод 3 '!E113</f>
        <v>0</v>
      </c>
      <c r="E74" s="62">
        <f>'дод 3 '!F113</f>
        <v>0</v>
      </c>
      <c r="F74" s="62">
        <f>'дод 3 '!G113</f>
        <v>0</v>
      </c>
      <c r="G74" s="62">
        <f>'дод 3 '!H113</f>
        <v>0</v>
      </c>
      <c r="H74" s="62">
        <f>'дод 3 '!I113</f>
        <v>0</v>
      </c>
      <c r="I74" s="62">
        <f>'дод 3 '!J113</f>
        <v>0</v>
      </c>
      <c r="J74" s="62">
        <f>'дод 3 '!K113</f>
        <v>0</v>
      </c>
      <c r="K74" s="62">
        <f>'дод 3 '!L113</f>
        <v>0</v>
      </c>
      <c r="L74" s="62">
        <f>'дод 3 '!M113</f>
        <v>0</v>
      </c>
      <c r="M74" s="62">
        <f>'дод 3 '!N113</f>
        <v>0</v>
      </c>
      <c r="N74" s="62">
        <f>'дод 3 '!O113</f>
        <v>0</v>
      </c>
      <c r="O74" s="62">
        <f>'дод 3 '!P113</f>
        <v>0</v>
      </c>
      <c r="P74" s="284"/>
      <c r="Q74" s="285"/>
    </row>
    <row r="75" spans="1:17" s="28" customFormat="1" ht="47.25" hidden="1" customHeight="1" x14ac:dyDescent="0.25">
      <c r="A75" s="43"/>
      <c r="B75" s="43"/>
      <c r="C75" s="46" t="s">
        <v>542</v>
      </c>
      <c r="D75" s="63">
        <f>'дод 3 '!E114</f>
        <v>0</v>
      </c>
      <c r="E75" s="63">
        <f>'дод 3 '!F114</f>
        <v>0</v>
      </c>
      <c r="F75" s="63">
        <f>'дод 3 '!G114</f>
        <v>0</v>
      </c>
      <c r="G75" s="63">
        <f>'дод 3 '!H114</f>
        <v>0</v>
      </c>
      <c r="H75" s="63">
        <f>'дод 3 '!I114</f>
        <v>0</v>
      </c>
      <c r="I75" s="63">
        <f>'дод 3 '!J114</f>
        <v>0</v>
      </c>
      <c r="J75" s="63">
        <f>'дод 3 '!K114</f>
        <v>0</v>
      </c>
      <c r="K75" s="63">
        <f>'дод 3 '!L114</f>
        <v>0</v>
      </c>
      <c r="L75" s="63">
        <f>'дод 3 '!M114</f>
        <v>0</v>
      </c>
      <c r="M75" s="63">
        <f>'дод 3 '!N114</f>
        <v>0</v>
      </c>
      <c r="N75" s="63">
        <f>'дод 3 '!O114</f>
        <v>0</v>
      </c>
      <c r="O75" s="63">
        <f>'дод 3 '!P114</f>
        <v>0</v>
      </c>
      <c r="P75" s="284"/>
      <c r="Q75" s="285"/>
    </row>
    <row r="76" spans="1:17" s="28" customFormat="1" ht="63" hidden="1" customHeight="1" x14ac:dyDescent="0.25">
      <c r="A76" s="30" t="s">
        <v>530</v>
      </c>
      <c r="B76" s="30" t="s">
        <v>57</v>
      </c>
      <c r="C76" s="31" t="s">
        <v>559</v>
      </c>
      <c r="D76" s="62">
        <f>'дод 3 '!E115</f>
        <v>0</v>
      </c>
      <c r="E76" s="62">
        <f>'дод 3 '!F115</f>
        <v>0</v>
      </c>
      <c r="F76" s="62">
        <f>'дод 3 '!G115</f>
        <v>0</v>
      </c>
      <c r="G76" s="62">
        <f>'дод 3 '!H115</f>
        <v>0</v>
      </c>
      <c r="H76" s="62">
        <f>'дод 3 '!I115</f>
        <v>0</v>
      </c>
      <c r="I76" s="62">
        <f>'дод 3 '!J115</f>
        <v>0</v>
      </c>
      <c r="J76" s="62">
        <f>'дод 3 '!K115</f>
        <v>0</v>
      </c>
      <c r="K76" s="62">
        <f>'дод 3 '!L115</f>
        <v>0</v>
      </c>
      <c r="L76" s="62">
        <f>'дод 3 '!M115</f>
        <v>0</v>
      </c>
      <c r="M76" s="62">
        <f>'дод 3 '!N115</f>
        <v>0</v>
      </c>
      <c r="N76" s="62">
        <f>'дод 3 '!O115</f>
        <v>0</v>
      </c>
      <c r="O76" s="62">
        <f>'дод 3 '!P115</f>
        <v>0</v>
      </c>
      <c r="P76" s="284"/>
      <c r="Q76" s="285"/>
    </row>
    <row r="77" spans="1:17" s="28" customFormat="1" ht="15.75" hidden="1" customHeight="1" x14ac:dyDescent="0.25">
      <c r="A77" s="43"/>
      <c r="B77" s="43"/>
      <c r="C77" s="46" t="s">
        <v>389</v>
      </c>
      <c r="D77" s="63">
        <f>'дод 3 '!E116</f>
        <v>0</v>
      </c>
      <c r="E77" s="63">
        <f>'дод 3 '!F116</f>
        <v>0</v>
      </c>
      <c r="F77" s="63">
        <f>'дод 3 '!G116</f>
        <v>0</v>
      </c>
      <c r="G77" s="63">
        <f>'дод 3 '!H116</f>
        <v>0</v>
      </c>
      <c r="H77" s="63">
        <f>'дод 3 '!I116</f>
        <v>0</v>
      </c>
      <c r="I77" s="63">
        <f>'дод 3 '!J116</f>
        <v>0</v>
      </c>
      <c r="J77" s="63">
        <f>'дод 3 '!K116</f>
        <v>0</v>
      </c>
      <c r="K77" s="63">
        <f>'дод 3 '!L116</f>
        <v>0</v>
      </c>
      <c r="L77" s="63">
        <f>'дод 3 '!M116</f>
        <v>0</v>
      </c>
      <c r="M77" s="63">
        <f>'дод 3 '!N116</f>
        <v>0</v>
      </c>
      <c r="N77" s="63">
        <f>'дод 3 '!O116</f>
        <v>0</v>
      </c>
      <c r="O77" s="63">
        <f>'дод 3 '!P116</f>
        <v>0</v>
      </c>
      <c r="P77" s="284"/>
      <c r="Q77" s="285"/>
    </row>
    <row r="78" spans="1:17" s="28" customFormat="1" ht="78.75" hidden="1" customHeight="1" x14ac:dyDescent="0.25">
      <c r="A78" s="30" t="s">
        <v>521</v>
      </c>
      <c r="B78" s="30" t="s">
        <v>57</v>
      </c>
      <c r="C78" s="31" t="s">
        <v>543</v>
      </c>
      <c r="D78" s="66">
        <f>'дод 3 '!E117</f>
        <v>0</v>
      </c>
      <c r="E78" s="66">
        <f>'дод 3 '!F117</f>
        <v>0</v>
      </c>
      <c r="F78" s="66">
        <f>'дод 3 '!G117</f>
        <v>0</v>
      </c>
      <c r="G78" s="66">
        <f>'дод 3 '!H117</f>
        <v>0</v>
      </c>
      <c r="H78" s="66">
        <f>'дод 3 '!I117</f>
        <v>0</v>
      </c>
      <c r="I78" s="66">
        <f>'дод 3 '!J117</f>
        <v>0</v>
      </c>
      <c r="J78" s="66">
        <f>'дод 3 '!K117</f>
        <v>0</v>
      </c>
      <c r="K78" s="66">
        <f>'дод 3 '!L117</f>
        <v>0</v>
      </c>
      <c r="L78" s="66">
        <f>'дод 3 '!M117</f>
        <v>0</v>
      </c>
      <c r="M78" s="66">
        <f>'дод 3 '!N117</f>
        <v>0</v>
      </c>
      <c r="N78" s="66">
        <f>'дод 3 '!O117</f>
        <v>0</v>
      </c>
      <c r="O78" s="66">
        <f>'дод 3 '!P117</f>
        <v>0</v>
      </c>
      <c r="P78" s="284"/>
      <c r="Q78" s="285"/>
    </row>
    <row r="79" spans="1:17" s="28" customFormat="1" ht="68.25" hidden="1" customHeight="1" x14ac:dyDescent="0.25">
      <c r="A79" s="43"/>
      <c r="B79" s="43"/>
      <c r="C79" s="46" t="s">
        <v>522</v>
      </c>
      <c r="D79" s="67">
        <f>'дод 3 '!E118</f>
        <v>0</v>
      </c>
      <c r="E79" s="67">
        <f>'дод 3 '!F118</f>
        <v>0</v>
      </c>
      <c r="F79" s="67">
        <f>'дод 3 '!G118</f>
        <v>0</v>
      </c>
      <c r="G79" s="67">
        <f>'дод 3 '!H118</f>
        <v>0</v>
      </c>
      <c r="H79" s="67">
        <f>'дод 3 '!I118</f>
        <v>0</v>
      </c>
      <c r="I79" s="67">
        <f>'дод 3 '!J118</f>
        <v>0</v>
      </c>
      <c r="J79" s="67">
        <f>'дод 3 '!K118</f>
        <v>0</v>
      </c>
      <c r="K79" s="67">
        <f>'дод 3 '!L118</f>
        <v>0</v>
      </c>
      <c r="L79" s="67">
        <f>'дод 3 '!M118</f>
        <v>0</v>
      </c>
      <c r="M79" s="67">
        <f>'дод 3 '!N118</f>
        <v>0</v>
      </c>
      <c r="N79" s="67">
        <f>'дод 3 '!O118</f>
        <v>0</v>
      </c>
      <c r="O79" s="67">
        <f>'дод 3 '!P118</f>
        <v>0</v>
      </c>
      <c r="P79" s="284"/>
      <c r="Q79" s="285"/>
    </row>
    <row r="80" spans="1:17" s="28" customFormat="1" ht="63" customHeight="1" x14ac:dyDescent="0.25">
      <c r="A80" s="30" t="s">
        <v>469</v>
      </c>
      <c r="B80" s="30" t="s">
        <v>57</v>
      </c>
      <c r="C80" s="52" t="s">
        <v>486</v>
      </c>
      <c r="D80" s="66">
        <f>'дод 3 '!E119</f>
        <v>1822724</v>
      </c>
      <c r="E80" s="66">
        <f>'дод 3 '!F119</f>
        <v>1822724</v>
      </c>
      <c r="F80" s="66">
        <f>'дод 3 '!G119</f>
        <v>1494036</v>
      </c>
      <c r="G80" s="66">
        <f>'дод 3 '!H119</f>
        <v>0</v>
      </c>
      <c r="H80" s="66">
        <f>'дод 3 '!I119</f>
        <v>0</v>
      </c>
      <c r="I80" s="66">
        <f>'дод 3 '!J119</f>
        <v>0</v>
      </c>
      <c r="J80" s="66">
        <f>'дод 3 '!K119</f>
        <v>0</v>
      </c>
      <c r="K80" s="66">
        <f>'дод 3 '!L119</f>
        <v>0</v>
      </c>
      <c r="L80" s="66">
        <f>'дод 3 '!M119</f>
        <v>0</v>
      </c>
      <c r="M80" s="66">
        <f>'дод 3 '!N119</f>
        <v>0</v>
      </c>
      <c r="N80" s="66">
        <f>'дод 3 '!O119</f>
        <v>0</v>
      </c>
      <c r="O80" s="66">
        <f>'дод 3 '!P119</f>
        <v>1822724</v>
      </c>
      <c r="P80" s="284"/>
      <c r="Q80" s="285"/>
    </row>
    <row r="81" spans="1:17" s="28" customFormat="1" ht="65.25" customHeight="1" x14ac:dyDescent="0.25">
      <c r="A81" s="30"/>
      <c r="B81" s="30"/>
      <c r="C81" s="46" t="s">
        <v>378</v>
      </c>
      <c r="D81" s="67">
        <f>'дод 3 '!E120</f>
        <v>1822724</v>
      </c>
      <c r="E81" s="67">
        <f>'дод 3 '!F120</f>
        <v>1822724</v>
      </c>
      <c r="F81" s="67">
        <f>'дод 3 '!G120</f>
        <v>1494036</v>
      </c>
      <c r="G81" s="67">
        <f>'дод 3 '!H120</f>
        <v>0</v>
      </c>
      <c r="H81" s="67">
        <f>'дод 3 '!I120</f>
        <v>0</v>
      </c>
      <c r="I81" s="67">
        <f>'дод 3 '!J120</f>
        <v>0</v>
      </c>
      <c r="J81" s="67">
        <f>'дод 3 '!K120</f>
        <v>0</v>
      </c>
      <c r="K81" s="67">
        <f>'дод 3 '!L120</f>
        <v>0</v>
      </c>
      <c r="L81" s="67">
        <f>'дод 3 '!M120</f>
        <v>0</v>
      </c>
      <c r="M81" s="67">
        <f>'дод 3 '!N120</f>
        <v>0</v>
      </c>
      <c r="N81" s="67">
        <f>'дод 3 '!O120</f>
        <v>0</v>
      </c>
      <c r="O81" s="67">
        <f>'дод 3 '!P120</f>
        <v>1822724</v>
      </c>
      <c r="P81" s="284"/>
      <c r="Q81" s="285"/>
    </row>
    <row r="82" spans="1:17" s="28" customFormat="1" ht="63" customHeight="1" x14ac:dyDescent="0.25">
      <c r="A82" s="30" t="s">
        <v>492</v>
      </c>
      <c r="B82" s="30" t="s">
        <v>57</v>
      </c>
      <c r="C82" s="18" t="s">
        <v>490</v>
      </c>
      <c r="D82" s="66">
        <f>'дод 3 '!E121</f>
        <v>208630.37</v>
      </c>
      <c r="E82" s="66">
        <f>'дод 3 '!F121</f>
        <v>208630.37</v>
      </c>
      <c r="F82" s="66">
        <f>'дод 3 '!G121</f>
        <v>171010</v>
      </c>
      <c r="G82" s="66">
        <f>'дод 3 '!H121</f>
        <v>0</v>
      </c>
      <c r="H82" s="66">
        <f>'дод 3 '!I121</f>
        <v>0</v>
      </c>
      <c r="I82" s="66">
        <f>'дод 3 '!J121</f>
        <v>0</v>
      </c>
      <c r="J82" s="66">
        <f>'дод 3 '!K121</f>
        <v>0</v>
      </c>
      <c r="K82" s="66">
        <f>'дод 3 '!L121</f>
        <v>0</v>
      </c>
      <c r="L82" s="66">
        <f>'дод 3 '!M121</f>
        <v>0</v>
      </c>
      <c r="M82" s="66">
        <f>'дод 3 '!N121</f>
        <v>0</v>
      </c>
      <c r="N82" s="66">
        <f>'дод 3 '!O121</f>
        <v>0</v>
      </c>
      <c r="O82" s="66">
        <f>'дод 3 '!P121</f>
        <v>208630.37</v>
      </c>
      <c r="P82" s="284"/>
      <c r="Q82" s="285"/>
    </row>
    <row r="83" spans="1:17" s="28" customFormat="1" ht="63" customHeight="1" x14ac:dyDescent="0.25">
      <c r="A83" s="30"/>
      <c r="B83" s="30"/>
      <c r="C83" s="46" t="s">
        <v>491</v>
      </c>
      <c r="D83" s="67">
        <f>'дод 3 '!E122</f>
        <v>208630.37</v>
      </c>
      <c r="E83" s="67">
        <f>'дод 3 '!F122</f>
        <v>208630.37</v>
      </c>
      <c r="F83" s="67">
        <f>'дод 3 '!G122</f>
        <v>171010</v>
      </c>
      <c r="G83" s="67">
        <f>'дод 3 '!H122</f>
        <v>0</v>
      </c>
      <c r="H83" s="67">
        <f>'дод 3 '!I122</f>
        <v>0</v>
      </c>
      <c r="I83" s="67">
        <f>'дод 3 '!J122</f>
        <v>0</v>
      </c>
      <c r="J83" s="67">
        <f>'дод 3 '!K122</f>
        <v>0</v>
      </c>
      <c r="K83" s="67">
        <f>'дод 3 '!L122</f>
        <v>0</v>
      </c>
      <c r="L83" s="67">
        <f>'дод 3 '!M122</f>
        <v>0</v>
      </c>
      <c r="M83" s="67">
        <f>'дод 3 '!N122</f>
        <v>0</v>
      </c>
      <c r="N83" s="67">
        <f>'дод 3 '!O122</f>
        <v>0</v>
      </c>
      <c r="O83" s="67">
        <f>'дод 3 '!P122</f>
        <v>208630.37</v>
      </c>
      <c r="P83" s="284"/>
      <c r="Q83" s="285"/>
    </row>
    <row r="84" spans="1:17" s="28" customFormat="1" ht="63" customHeight="1" x14ac:dyDescent="0.25">
      <c r="A84" s="30" t="s">
        <v>705</v>
      </c>
      <c r="B84" s="30" t="s">
        <v>57</v>
      </c>
      <c r="C84" s="18" t="s">
        <v>700</v>
      </c>
      <c r="D84" s="67">
        <f>'дод 3 '!E124+'дод 3 '!E339</f>
        <v>0</v>
      </c>
      <c r="E84" s="67">
        <f>'дод 3 '!F124+'дод 3 '!F339</f>
        <v>0</v>
      </c>
      <c r="F84" s="67">
        <f>'дод 3 '!G124+'дод 3 '!G339</f>
        <v>0</v>
      </c>
      <c r="G84" s="67">
        <f>'дод 3 '!H124+'дод 3 '!H339</f>
        <v>0</v>
      </c>
      <c r="H84" s="67">
        <f>'дод 3 '!I124+'дод 3 '!I339</f>
        <v>0</v>
      </c>
      <c r="I84" s="66">
        <f>'дод 3 '!J124+'дод 3 '!J339</f>
        <v>12642560</v>
      </c>
      <c r="J84" s="66">
        <f>'дод 3 '!K124+'дод 3 '!K339</f>
        <v>12642560</v>
      </c>
      <c r="K84" s="66">
        <f>'дод 3 '!L124+'дод 3 '!L339</f>
        <v>0</v>
      </c>
      <c r="L84" s="66">
        <f>'дод 3 '!M124+'дод 3 '!M339</f>
        <v>0</v>
      </c>
      <c r="M84" s="66">
        <f>'дод 3 '!N124+'дод 3 '!N339</f>
        <v>0</v>
      </c>
      <c r="N84" s="66">
        <f>'дод 3 '!O124+'дод 3 '!O339</f>
        <v>12642560</v>
      </c>
      <c r="O84" s="66">
        <f>'дод 3 '!P124+'дод 3 '!P339</f>
        <v>12642560</v>
      </c>
      <c r="P84" s="284"/>
      <c r="Q84" s="285"/>
    </row>
    <row r="85" spans="1:17" s="28" customFormat="1" ht="48" customHeight="1" x14ac:dyDescent="0.25">
      <c r="A85" s="30" t="s">
        <v>706</v>
      </c>
      <c r="B85" s="30" t="s">
        <v>57</v>
      </c>
      <c r="C85" s="208" t="s">
        <v>703</v>
      </c>
      <c r="D85" s="67">
        <f>'дод 3 '!E125+'дод 3 '!E340</f>
        <v>0</v>
      </c>
      <c r="E85" s="67">
        <f>'дод 3 '!F125+'дод 3 '!F340</f>
        <v>0</v>
      </c>
      <c r="F85" s="67">
        <f>'дод 3 '!G125+'дод 3 '!G340</f>
        <v>0</v>
      </c>
      <c r="G85" s="67">
        <f>'дод 3 '!H125+'дод 3 '!H340</f>
        <v>0</v>
      </c>
      <c r="H85" s="67">
        <f>'дод 3 '!I125+'дод 3 '!I340</f>
        <v>0</v>
      </c>
      <c r="I85" s="66">
        <f>'дод 3 '!J125+'дод 3 '!J340</f>
        <v>28975500</v>
      </c>
      <c r="J85" s="66">
        <f>'дод 3 '!K125+'дод 3 '!K340</f>
        <v>28975500</v>
      </c>
      <c r="K85" s="66">
        <f>'дод 3 '!L125+'дод 3 '!L340</f>
        <v>0</v>
      </c>
      <c r="L85" s="66">
        <f>'дод 3 '!M125+'дод 3 '!M340</f>
        <v>0</v>
      </c>
      <c r="M85" s="66">
        <f>'дод 3 '!N125+'дод 3 '!N340</f>
        <v>0</v>
      </c>
      <c r="N85" s="66">
        <f>'дод 3 '!O125+'дод 3 '!O340</f>
        <v>28975500</v>
      </c>
      <c r="O85" s="66">
        <f>'дод 3 '!P125+'дод 3 '!P340</f>
        <v>28975500</v>
      </c>
      <c r="P85" s="284"/>
      <c r="Q85" s="285"/>
    </row>
    <row r="86" spans="1:17" s="28" customFormat="1" ht="63" customHeight="1" x14ac:dyDescent="0.25">
      <c r="A86" s="30"/>
      <c r="B86" s="30"/>
      <c r="C86" s="46" t="s">
        <v>704</v>
      </c>
      <c r="D86" s="67">
        <f>'дод 3 '!E126+'дод 3 '!E341</f>
        <v>0</v>
      </c>
      <c r="E86" s="67">
        <f>'дод 3 '!F126+'дод 3 '!F341</f>
        <v>0</v>
      </c>
      <c r="F86" s="67">
        <f>'дод 3 '!G126+'дод 3 '!G341</f>
        <v>0</v>
      </c>
      <c r="G86" s="67">
        <f>'дод 3 '!H126+'дод 3 '!H341</f>
        <v>0</v>
      </c>
      <c r="H86" s="67">
        <f>'дод 3 '!I126+'дод 3 '!I341</f>
        <v>0</v>
      </c>
      <c r="I86" s="67">
        <f>'дод 3 '!J126+'дод 3 '!J341</f>
        <v>28975500</v>
      </c>
      <c r="J86" s="67">
        <f>'дод 3 '!K126+'дод 3 '!K341</f>
        <v>28975500</v>
      </c>
      <c r="K86" s="67">
        <f>'дод 3 '!L126+'дод 3 '!L341</f>
        <v>0</v>
      </c>
      <c r="L86" s="67">
        <f>'дод 3 '!M126+'дод 3 '!M341</f>
        <v>0</v>
      </c>
      <c r="M86" s="67">
        <f>'дод 3 '!N126+'дод 3 '!N341</f>
        <v>0</v>
      </c>
      <c r="N86" s="67">
        <f>'дод 3 '!O126+'дод 3 '!O341</f>
        <v>28975500</v>
      </c>
      <c r="O86" s="67">
        <f>'дод 3 '!P126+'дод 3 '!P341</f>
        <v>28975500</v>
      </c>
      <c r="P86" s="284"/>
      <c r="Q86" s="285"/>
    </row>
    <row r="87" spans="1:17" s="28" customFormat="1" ht="47.25" customHeight="1" x14ac:dyDescent="0.25">
      <c r="A87" s="30" t="s">
        <v>728</v>
      </c>
      <c r="B87" s="30" t="s">
        <v>57</v>
      </c>
      <c r="C87" s="18" t="s">
        <v>730</v>
      </c>
      <c r="D87" s="66">
        <f>'дод 3 '!E127</f>
        <v>823899</v>
      </c>
      <c r="E87" s="66">
        <f>'дод 3 '!F127</f>
        <v>823899</v>
      </c>
      <c r="F87" s="66">
        <f>'дод 3 '!G127</f>
        <v>0</v>
      </c>
      <c r="G87" s="66">
        <f>'дод 3 '!H127</f>
        <v>0</v>
      </c>
      <c r="H87" s="66">
        <f>'дод 3 '!I127</f>
        <v>0</v>
      </c>
      <c r="I87" s="66">
        <f>'дод 3 '!J127</f>
        <v>235714</v>
      </c>
      <c r="J87" s="66">
        <f>'дод 3 '!K127</f>
        <v>235714</v>
      </c>
      <c r="K87" s="66">
        <f>'дод 3 '!L127</f>
        <v>0</v>
      </c>
      <c r="L87" s="66">
        <f>'дод 3 '!M127</f>
        <v>0</v>
      </c>
      <c r="M87" s="66">
        <f>'дод 3 '!N127</f>
        <v>0</v>
      </c>
      <c r="N87" s="66">
        <f>'дод 3 '!O127</f>
        <v>235714</v>
      </c>
      <c r="O87" s="66">
        <f>'дод 3 '!P127</f>
        <v>1059613</v>
      </c>
      <c r="P87" s="284"/>
      <c r="Q87" s="285"/>
    </row>
    <row r="88" spans="1:17" s="28" customFormat="1" ht="48.75" customHeight="1" x14ac:dyDescent="0.25">
      <c r="A88" s="30" t="s">
        <v>729</v>
      </c>
      <c r="B88" s="30" t="s">
        <v>57</v>
      </c>
      <c r="C88" s="18" t="s">
        <v>733</v>
      </c>
      <c r="D88" s="67">
        <f>'дод 3 '!E128</f>
        <v>0</v>
      </c>
      <c r="E88" s="67">
        <f>'дод 3 '!F128</f>
        <v>0</v>
      </c>
      <c r="F88" s="66">
        <f>'дод 3 '!G128</f>
        <v>0</v>
      </c>
      <c r="G88" s="66">
        <f>'дод 3 '!H128</f>
        <v>0</v>
      </c>
      <c r="H88" s="66">
        <f>'дод 3 '!I128</f>
        <v>0</v>
      </c>
      <c r="I88" s="66">
        <f>'дод 3 '!J128</f>
        <v>2797912</v>
      </c>
      <c r="J88" s="66">
        <f>'дод 3 '!K128</f>
        <v>0</v>
      </c>
      <c r="K88" s="66">
        <f>'дод 3 '!L128</f>
        <v>1922428</v>
      </c>
      <c r="L88" s="66">
        <f>'дод 3 '!M128</f>
        <v>0</v>
      </c>
      <c r="M88" s="66">
        <f>'дод 3 '!N128</f>
        <v>0</v>
      </c>
      <c r="N88" s="66">
        <f>'дод 3 '!O128</f>
        <v>875484</v>
      </c>
      <c r="O88" s="66">
        <f>'дод 3 '!P128</f>
        <v>2797912</v>
      </c>
      <c r="P88" s="284"/>
      <c r="Q88" s="285"/>
    </row>
    <row r="89" spans="1:17" s="28" customFormat="1" ht="48.75" customHeight="1" x14ac:dyDescent="0.25">
      <c r="A89" s="30"/>
      <c r="B89" s="30"/>
      <c r="C89" s="46" t="s">
        <v>379</v>
      </c>
      <c r="D89" s="67">
        <f>'дод 3 '!E129</f>
        <v>0</v>
      </c>
      <c r="E89" s="67">
        <f>'дод 3 '!F129</f>
        <v>0</v>
      </c>
      <c r="F89" s="67">
        <f>'дод 3 '!G129</f>
        <v>0</v>
      </c>
      <c r="G89" s="67">
        <f>'дод 3 '!H129</f>
        <v>0</v>
      </c>
      <c r="H89" s="67">
        <f>'дод 3 '!I129</f>
        <v>0</v>
      </c>
      <c r="I89" s="67">
        <f>'дод 3 '!J129</f>
        <v>2797912</v>
      </c>
      <c r="J89" s="67">
        <f>'дод 3 '!K129</f>
        <v>0</v>
      </c>
      <c r="K89" s="67">
        <f>'дод 3 '!L129</f>
        <v>1922428</v>
      </c>
      <c r="L89" s="67">
        <f>'дод 3 '!M129</f>
        <v>0</v>
      </c>
      <c r="M89" s="67">
        <f>'дод 3 '!N129</f>
        <v>0</v>
      </c>
      <c r="N89" s="67">
        <f>'дод 3 '!O129</f>
        <v>875484</v>
      </c>
      <c r="O89" s="67">
        <f>'дод 3 '!P129</f>
        <v>2797912</v>
      </c>
      <c r="P89" s="284"/>
      <c r="Q89" s="285"/>
    </row>
    <row r="90" spans="1:17" s="26" customFormat="1" ht="19.5" customHeight="1" x14ac:dyDescent="0.25">
      <c r="A90" s="20" t="s">
        <v>58</v>
      </c>
      <c r="B90" s="21"/>
      <c r="C90" s="9" t="s">
        <v>748</v>
      </c>
      <c r="D90" s="25">
        <f>D97+D103+D106+D108+D110+D113+D114+D101+D105</f>
        <v>117087427</v>
      </c>
      <c r="E90" s="25">
        <f t="shared" ref="E90:O90" si="15">E97+E103+E106+E108+E110+E113+E114+E101+E105</f>
        <v>117087427</v>
      </c>
      <c r="F90" s="25">
        <f t="shared" si="15"/>
        <v>2621900</v>
      </c>
      <c r="G90" s="25">
        <f t="shared" si="15"/>
        <v>115800</v>
      </c>
      <c r="H90" s="25">
        <f t="shared" si="15"/>
        <v>0</v>
      </c>
      <c r="I90" s="25">
        <f t="shared" si="15"/>
        <v>246181281</v>
      </c>
      <c r="J90" s="25">
        <f t="shared" si="15"/>
        <v>246181281</v>
      </c>
      <c r="K90" s="25">
        <f t="shared" si="15"/>
        <v>0</v>
      </c>
      <c r="L90" s="25">
        <f t="shared" si="15"/>
        <v>0</v>
      </c>
      <c r="M90" s="25">
        <f t="shared" si="15"/>
        <v>0</v>
      </c>
      <c r="N90" s="25">
        <f t="shared" si="15"/>
        <v>246181281</v>
      </c>
      <c r="O90" s="25">
        <f t="shared" si="15"/>
        <v>363268708</v>
      </c>
      <c r="P90" s="284"/>
      <c r="Q90" s="285"/>
    </row>
    <row r="91" spans="1:17" s="27" customFormat="1" ht="31.5" hidden="1" customHeight="1" x14ac:dyDescent="0.25">
      <c r="A91" s="32"/>
      <c r="B91" s="35"/>
      <c r="C91" s="36" t="s">
        <v>385</v>
      </c>
      <c r="D91" s="68">
        <f>D98+D104+D107</f>
        <v>0</v>
      </c>
      <c r="E91" s="68">
        <f t="shared" ref="E91:O91" si="16">E98+E104+E107</f>
        <v>0</v>
      </c>
      <c r="F91" s="68">
        <f t="shared" si="16"/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284"/>
      <c r="Q91" s="285"/>
    </row>
    <row r="92" spans="1:17" s="27" customFormat="1" ht="47.25" hidden="1" customHeight="1" x14ac:dyDescent="0.25">
      <c r="A92" s="32"/>
      <c r="B92" s="35"/>
      <c r="C92" s="36" t="s">
        <v>386</v>
      </c>
      <c r="D92" s="68">
        <f>D99+D111</f>
        <v>0</v>
      </c>
      <c r="E92" s="68">
        <f t="shared" ref="E92:O92" si="17">E99+E111</f>
        <v>0</v>
      </c>
      <c r="F92" s="68">
        <f t="shared" si="17"/>
        <v>0</v>
      </c>
      <c r="G92" s="68">
        <f t="shared" si="17"/>
        <v>0</v>
      </c>
      <c r="H92" s="68">
        <f t="shared" si="17"/>
        <v>0</v>
      </c>
      <c r="I92" s="68">
        <f t="shared" si="17"/>
        <v>0</v>
      </c>
      <c r="J92" s="68">
        <f t="shared" si="17"/>
        <v>0</v>
      </c>
      <c r="K92" s="68">
        <f t="shared" si="17"/>
        <v>0</v>
      </c>
      <c r="L92" s="68">
        <f t="shared" si="17"/>
        <v>0</v>
      </c>
      <c r="M92" s="68">
        <f t="shared" si="17"/>
        <v>0</v>
      </c>
      <c r="N92" s="68">
        <f t="shared" si="17"/>
        <v>0</v>
      </c>
      <c r="O92" s="68">
        <f t="shared" si="17"/>
        <v>0</v>
      </c>
      <c r="P92" s="284"/>
      <c r="Q92" s="285"/>
    </row>
    <row r="93" spans="1:17" s="27" customFormat="1" ht="66.75" hidden="1" customHeight="1" x14ac:dyDescent="0.25">
      <c r="A93" s="32"/>
      <c r="B93" s="35"/>
      <c r="C93" s="36" t="s">
        <v>387</v>
      </c>
      <c r="D93" s="68">
        <f>D109+D112</f>
        <v>0</v>
      </c>
      <c r="E93" s="68">
        <f t="shared" ref="E93:O93" si="18">E109+E112</f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  <c r="M93" s="68">
        <f t="shared" si="18"/>
        <v>0</v>
      </c>
      <c r="N93" s="68">
        <f t="shared" si="18"/>
        <v>0</v>
      </c>
      <c r="O93" s="68">
        <f t="shared" si="18"/>
        <v>0</v>
      </c>
      <c r="P93" s="284"/>
      <c r="Q93" s="285"/>
    </row>
    <row r="94" spans="1:17" s="27" customFormat="1" ht="15.75" customHeight="1" x14ac:dyDescent="0.25">
      <c r="A94" s="32"/>
      <c r="B94" s="35"/>
      <c r="C94" s="36" t="s">
        <v>388</v>
      </c>
      <c r="D94" s="68">
        <f>D100</f>
        <v>252571</v>
      </c>
      <c r="E94" s="68">
        <f t="shared" ref="E94:O94" si="19">E100</f>
        <v>252571</v>
      </c>
      <c r="F94" s="68">
        <f t="shared" si="19"/>
        <v>0</v>
      </c>
      <c r="G94" s="68">
        <f t="shared" si="19"/>
        <v>0</v>
      </c>
      <c r="H94" s="68">
        <f t="shared" si="19"/>
        <v>0</v>
      </c>
      <c r="I94" s="68">
        <f t="shared" si="19"/>
        <v>0</v>
      </c>
      <c r="J94" s="68">
        <f t="shared" si="19"/>
        <v>0</v>
      </c>
      <c r="K94" s="68">
        <f t="shared" si="19"/>
        <v>0</v>
      </c>
      <c r="L94" s="68">
        <f t="shared" si="19"/>
        <v>0</v>
      </c>
      <c r="M94" s="68">
        <f t="shared" si="19"/>
        <v>0</v>
      </c>
      <c r="N94" s="68">
        <f t="shared" si="19"/>
        <v>0</v>
      </c>
      <c r="O94" s="68">
        <f t="shared" si="19"/>
        <v>252571</v>
      </c>
      <c r="P94" s="284"/>
      <c r="Q94" s="285"/>
    </row>
    <row r="95" spans="1:17" s="27" customFormat="1" ht="15.75" hidden="1" customHeight="1" x14ac:dyDescent="0.25">
      <c r="A95" s="32"/>
      <c r="B95" s="35"/>
      <c r="C95" s="72" t="str">
        <f>'дод 3 '!D160</f>
        <v>місцевого запозичення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284"/>
      <c r="Q95" s="285"/>
    </row>
    <row r="96" spans="1:17" s="27" customFormat="1" ht="94.5" hidden="1" customHeight="1" x14ac:dyDescent="0.25">
      <c r="A96" s="32"/>
      <c r="B96" s="35"/>
      <c r="C96" s="74" t="s">
        <v>605</v>
      </c>
      <c r="D96" s="68">
        <f>D102</f>
        <v>0</v>
      </c>
      <c r="E96" s="68">
        <f t="shared" ref="E96:O96" si="20">E102</f>
        <v>0</v>
      </c>
      <c r="F96" s="68">
        <f t="shared" si="20"/>
        <v>0</v>
      </c>
      <c r="G96" s="68">
        <f t="shared" si="20"/>
        <v>0</v>
      </c>
      <c r="H96" s="68">
        <f t="shared" si="20"/>
        <v>0</v>
      </c>
      <c r="I96" s="68">
        <f t="shared" si="20"/>
        <v>0</v>
      </c>
      <c r="J96" s="68">
        <f t="shared" si="20"/>
        <v>0</v>
      </c>
      <c r="K96" s="68">
        <f t="shared" si="20"/>
        <v>0</v>
      </c>
      <c r="L96" s="68">
        <f t="shared" si="20"/>
        <v>0</v>
      </c>
      <c r="M96" s="68">
        <f t="shared" si="20"/>
        <v>0</v>
      </c>
      <c r="N96" s="68">
        <f t="shared" si="20"/>
        <v>0</v>
      </c>
      <c r="O96" s="68">
        <f t="shared" si="20"/>
        <v>0</v>
      </c>
      <c r="P96" s="284"/>
      <c r="Q96" s="285"/>
    </row>
    <row r="97" spans="1:17" ht="33" customHeight="1" x14ac:dyDescent="0.25">
      <c r="A97" s="19" t="s">
        <v>59</v>
      </c>
      <c r="B97" s="19" t="s">
        <v>60</v>
      </c>
      <c r="C97" s="6" t="s">
        <v>747</v>
      </c>
      <c r="D97" s="66">
        <f>'дод 3 '!E163+'дод 3 '!E337</f>
        <v>68321161</v>
      </c>
      <c r="E97" s="66">
        <f>'дод 3 '!F163+'дод 3 '!F337</f>
        <v>68321161</v>
      </c>
      <c r="F97" s="66">
        <f>'дод 3 '!G163+'дод 3 '!G337</f>
        <v>0</v>
      </c>
      <c r="G97" s="66">
        <f>'дод 3 '!H163+'дод 3 '!H337</f>
        <v>0</v>
      </c>
      <c r="H97" s="66">
        <f>'дод 3 '!I163+'дод 3 '!I337</f>
        <v>0</v>
      </c>
      <c r="I97" s="66">
        <f>'дод 3 '!J163+'дод 3 '!J337</f>
        <v>125693391</v>
      </c>
      <c r="J97" s="66">
        <f>'дод 3 '!K163+'дод 3 '!K337</f>
        <v>125693391</v>
      </c>
      <c r="K97" s="66">
        <f>'дод 3 '!L163+'дод 3 '!L337</f>
        <v>0</v>
      </c>
      <c r="L97" s="66">
        <f>'дод 3 '!M163+'дод 3 '!M337</f>
        <v>0</v>
      </c>
      <c r="M97" s="66">
        <f>'дод 3 '!N163+'дод 3 '!N337</f>
        <v>0</v>
      </c>
      <c r="N97" s="66">
        <f>'дод 3 '!O163+'дод 3 '!O337</f>
        <v>125693391</v>
      </c>
      <c r="O97" s="66">
        <f>'дод 3 '!P163+'дод 3 '!P337</f>
        <v>194014552</v>
      </c>
      <c r="P97" s="284"/>
      <c r="Q97" s="285"/>
    </row>
    <row r="98" spans="1:17" s="28" customFormat="1" ht="31.5" hidden="1" customHeight="1" x14ac:dyDescent="0.25">
      <c r="A98" s="38"/>
      <c r="B98" s="38"/>
      <c r="C98" s="39" t="s">
        <v>385</v>
      </c>
      <c r="D98" s="67">
        <f>'дод 3 '!E164</f>
        <v>0</v>
      </c>
      <c r="E98" s="67">
        <f>'дод 3 '!F164</f>
        <v>0</v>
      </c>
      <c r="F98" s="67">
        <f>'дод 3 '!G164</f>
        <v>0</v>
      </c>
      <c r="G98" s="67">
        <f>'дод 3 '!H164</f>
        <v>0</v>
      </c>
      <c r="H98" s="67">
        <f>'дод 3 '!I164</f>
        <v>0</v>
      </c>
      <c r="I98" s="67">
        <f>'дод 3 '!J164</f>
        <v>0</v>
      </c>
      <c r="J98" s="67">
        <f>'дод 3 '!K164</f>
        <v>0</v>
      </c>
      <c r="K98" s="67">
        <f>'дод 3 '!L164</f>
        <v>0</v>
      </c>
      <c r="L98" s="67">
        <f>'дод 3 '!M164</f>
        <v>0</v>
      </c>
      <c r="M98" s="67">
        <f>'дод 3 '!N164</f>
        <v>0</v>
      </c>
      <c r="N98" s="67">
        <f>'дод 3 '!O164</f>
        <v>0</v>
      </c>
      <c r="O98" s="67">
        <f>'дод 3 '!P164</f>
        <v>0</v>
      </c>
      <c r="P98" s="284"/>
      <c r="Q98" s="285"/>
    </row>
    <row r="99" spans="1:17" s="28" customFormat="1" ht="47.25" hidden="1" customHeight="1" x14ac:dyDescent="0.25">
      <c r="A99" s="38"/>
      <c r="B99" s="38"/>
      <c r="C99" s="39" t="s">
        <v>386</v>
      </c>
      <c r="D99" s="67">
        <f>'дод 3 '!E165</f>
        <v>0</v>
      </c>
      <c r="E99" s="67">
        <f>'дод 3 '!F165</f>
        <v>0</v>
      </c>
      <c r="F99" s="67">
        <f>'дод 3 '!G165</f>
        <v>0</v>
      </c>
      <c r="G99" s="67">
        <f>'дод 3 '!H165</f>
        <v>0</v>
      </c>
      <c r="H99" s="67">
        <f>'дод 3 '!I165</f>
        <v>0</v>
      </c>
      <c r="I99" s="67">
        <f>'дод 3 '!J165</f>
        <v>0</v>
      </c>
      <c r="J99" s="67">
        <f>'дод 3 '!K165</f>
        <v>0</v>
      </c>
      <c r="K99" s="67">
        <f>'дод 3 '!L165</f>
        <v>0</v>
      </c>
      <c r="L99" s="67">
        <f>'дод 3 '!M165</f>
        <v>0</v>
      </c>
      <c r="M99" s="67">
        <f>'дод 3 '!N165</f>
        <v>0</v>
      </c>
      <c r="N99" s="67">
        <f>'дод 3 '!O165</f>
        <v>0</v>
      </c>
      <c r="O99" s="67">
        <f>'дод 3 '!P165</f>
        <v>0</v>
      </c>
      <c r="P99" s="284"/>
      <c r="Q99" s="285"/>
    </row>
    <row r="100" spans="1:17" s="28" customFormat="1" ht="15.75" customHeight="1" x14ac:dyDescent="0.25">
      <c r="A100" s="38"/>
      <c r="B100" s="38"/>
      <c r="C100" s="39" t="s">
        <v>388</v>
      </c>
      <c r="D100" s="67">
        <f>'дод 3 '!E166+'дод 3 '!E169</f>
        <v>252571</v>
      </c>
      <c r="E100" s="67">
        <f>'дод 3 '!F166+'дод 3 '!F169</f>
        <v>252571</v>
      </c>
      <c r="F100" s="67">
        <f>'дод 3 '!G166+'дод 3 '!G169</f>
        <v>0</v>
      </c>
      <c r="G100" s="67">
        <f>'дод 3 '!H166+'дод 3 '!H169</f>
        <v>0</v>
      </c>
      <c r="H100" s="67">
        <f>'дод 3 '!I166+'дод 3 '!I169</f>
        <v>0</v>
      </c>
      <c r="I100" s="67">
        <f>'дод 3 '!J166+'дод 3 '!J169</f>
        <v>0</v>
      </c>
      <c r="J100" s="67">
        <f>'дод 3 '!K166+'дод 3 '!K169</f>
        <v>0</v>
      </c>
      <c r="K100" s="67">
        <f>'дод 3 '!L166+'дод 3 '!L169</f>
        <v>0</v>
      </c>
      <c r="L100" s="67">
        <f>'дод 3 '!M166+'дод 3 '!M169</f>
        <v>0</v>
      </c>
      <c r="M100" s="67">
        <f>'дод 3 '!N166+'дод 3 '!N169</f>
        <v>0</v>
      </c>
      <c r="N100" s="67">
        <f>'дод 3 '!O166+'дод 3 '!O169</f>
        <v>0</v>
      </c>
      <c r="O100" s="67">
        <f>'дод 3 '!P166+'дод 3 '!P169</f>
        <v>252571</v>
      </c>
      <c r="P100" s="284"/>
      <c r="Q100" s="285"/>
    </row>
    <row r="101" spans="1:17" ht="31.5" hidden="1" customHeight="1" x14ac:dyDescent="0.25">
      <c r="A101" s="19">
        <v>2020</v>
      </c>
      <c r="B101" s="29" t="s">
        <v>431</v>
      </c>
      <c r="C101" s="6" t="s">
        <v>432</v>
      </c>
      <c r="D101" s="66">
        <f>'дод 3 '!E168</f>
        <v>0</v>
      </c>
      <c r="E101" s="66">
        <f>'дод 3 '!F168</f>
        <v>0</v>
      </c>
      <c r="F101" s="66">
        <f>'дод 3 '!G168</f>
        <v>0</v>
      </c>
      <c r="G101" s="66">
        <f>'дод 3 '!H168</f>
        <v>0</v>
      </c>
      <c r="H101" s="66">
        <f>'дод 3 '!I168</f>
        <v>0</v>
      </c>
      <c r="I101" s="66">
        <f>'дод 3 '!J168</f>
        <v>0</v>
      </c>
      <c r="J101" s="66">
        <f>'дод 3 '!K168</f>
        <v>0</v>
      </c>
      <c r="K101" s="66">
        <f>'дод 3 '!L168</f>
        <v>0</v>
      </c>
      <c r="L101" s="66">
        <f>'дод 3 '!M168</f>
        <v>0</v>
      </c>
      <c r="M101" s="66">
        <f>'дод 3 '!N168</f>
        <v>0</v>
      </c>
      <c r="N101" s="66">
        <f>'дод 3 '!O168</f>
        <v>0</v>
      </c>
      <c r="O101" s="66">
        <f>'дод 3 '!P168</f>
        <v>0</v>
      </c>
      <c r="P101" s="284"/>
      <c r="Q101" s="285"/>
    </row>
    <row r="102" spans="1:17" s="28" customFormat="1" ht="96.75" hidden="1" customHeight="1" x14ac:dyDescent="0.25">
      <c r="A102" s="38"/>
      <c r="B102" s="48"/>
      <c r="C102" s="73" t="str">
        <f>'дод 3 '!D167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2" s="67">
        <f>'дод 3 '!E167</f>
        <v>0</v>
      </c>
      <c r="E102" s="67">
        <f>'дод 3 '!F167</f>
        <v>0</v>
      </c>
      <c r="F102" s="67">
        <f>'дод 3 '!G167</f>
        <v>0</v>
      </c>
      <c r="G102" s="67">
        <f>'дод 3 '!H167</f>
        <v>0</v>
      </c>
      <c r="H102" s="67">
        <f>'дод 3 '!I167</f>
        <v>0</v>
      </c>
      <c r="I102" s="67">
        <f>'дод 3 '!J167</f>
        <v>0</v>
      </c>
      <c r="J102" s="67">
        <f>'дод 3 '!K167</f>
        <v>0</v>
      </c>
      <c r="K102" s="67">
        <f>'дод 3 '!L167</f>
        <v>0</v>
      </c>
      <c r="L102" s="67">
        <f>'дод 3 '!M167</f>
        <v>0</v>
      </c>
      <c r="M102" s="67">
        <f>'дод 3 '!N167</f>
        <v>0</v>
      </c>
      <c r="N102" s="67">
        <f>'дод 3 '!O167</f>
        <v>0</v>
      </c>
      <c r="O102" s="67">
        <f>'дод 3 '!P167</f>
        <v>0</v>
      </c>
      <c r="P102" s="284"/>
      <c r="Q102" s="285"/>
    </row>
    <row r="103" spans="1:17" ht="36.75" customHeight="1" x14ac:dyDescent="0.25">
      <c r="A103" s="19" t="s">
        <v>118</v>
      </c>
      <c r="B103" s="19" t="s">
        <v>61</v>
      </c>
      <c r="C103" s="6" t="s">
        <v>445</v>
      </c>
      <c r="D103" s="66">
        <f>'дод 3 '!E170</f>
        <v>4309900</v>
      </c>
      <c r="E103" s="66">
        <f>'дод 3 '!F170</f>
        <v>4309900</v>
      </c>
      <c r="F103" s="66">
        <f>'дод 3 '!G170</f>
        <v>0</v>
      </c>
      <c r="G103" s="66">
        <f>'дод 3 '!H170</f>
        <v>0</v>
      </c>
      <c r="H103" s="66">
        <f>'дод 3 '!I170</f>
        <v>0</v>
      </c>
      <c r="I103" s="66">
        <f>'дод 3 '!J170</f>
        <v>0</v>
      </c>
      <c r="J103" s="66">
        <f>'дод 3 '!K170</f>
        <v>0</v>
      </c>
      <c r="K103" s="66">
        <f>'дод 3 '!L170</f>
        <v>0</v>
      </c>
      <c r="L103" s="66">
        <f>'дод 3 '!M170</f>
        <v>0</v>
      </c>
      <c r="M103" s="66">
        <f>'дод 3 '!N170</f>
        <v>0</v>
      </c>
      <c r="N103" s="66">
        <f>'дод 3 '!O170</f>
        <v>0</v>
      </c>
      <c r="O103" s="66">
        <f>'дод 3 '!P170</f>
        <v>4309900</v>
      </c>
      <c r="P103" s="284"/>
      <c r="Q103" s="285"/>
    </row>
    <row r="104" spans="1:17" s="28" customFormat="1" ht="31.5" hidden="1" customHeight="1" x14ac:dyDescent="0.25">
      <c r="A104" s="38"/>
      <c r="B104" s="38"/>
      <c r="C104" s="39" t="s">
        <v>385</v>
      </c>
      <c r="D104" s="67">
        <f>'дод 3 '!E171</f>
        <v>0</v>
      </c>
      <c r="E104" s="67">
        <f>'дод 3 '!F171</f>
        <v>0</v>
      </c>
      <c r="F104" s="67">
        <f>'дод 3 '!G171</f>
        <v>0</v>
      </c>
      <c r="G104" s="67">
        <f>'дод 3 '!H171</f>
        <v>0</v>
      </c>
      <c r="H104" s="67">
        <f>'дод 3 '!I171</f>
        <v>0</v>
      </c>
      <c r="I104" s="67">
        <f>'дод 3 '!J171</f>
        <v>0</v>
      </c>
      <c r="J104" s="67">
        <f>'дод 3 '!K171</f>
        <v>0</v>
      </c>
      <c r="K104" s="67">
        <f>'дод 3 '!L171</f>
        <v>0</v>
      </c>
      <c r="L104" s="67">
        <f>'дод 3 '!M171</f>
        <v>0</v>
      </c>
      <c r="M104" s="67">
        <f>'дод 3 '!N171</f>
        <v>0</v>
      </c>
      <c r="N104" s="67">
        <f>'дод 3 '!O171</f>
        <v>0</v>
      </c>
      <c r="O104" s="67">
        <f>'дод 3 '!P171</f>
        <v>0</v>
      </c>
      <c r="P104" s="284"/>
      <c r="Q104" s="285"/>
    </row>
    <row r="105" spans="1:17" ht="24" hidden="1" customHeight="1" x14ac:dyDescent="0.25">
      <c r="A105" s="19">
        <v>2070</v>
      </c>
      <c r="B105" s="19" t="s">
        <v>582</v>
      </c>
      <c r="C105" s="6" t="s">
        <v>583</v>
      </c>
      <c r="D105" s="66">
        <f>'дод 3 '!E172</f>
        <v>0</v>
      </c>
      <c r="E105" s="66">
        <f>'дод 3 '!F172</f>
        <v>0</v>
      </c>
      <c r="F105" s="66">
        <f>'дод 3 '!G172</f>
        <v>0</v>
      </c>
      <c r="G105" s="66">
        <f>'дод 3 '!H172</f>
        <v>0</v>
      </c>
      <c r="H105" s="66">
        <f>'дод 3 '!I172</f>
        <v>0</v>
      </c>
      <c r="I105" s="66">
        <f>'дод 3 '!J172</f>
        <v>0</v>
      </c>
      <c r="J105" s="66">
        <f>'дод 3 '!K172</f>
        <v>0</v>
      </c>
      <c r="K105" s="66">
        <f>'дод 3 '!L172</f>
        <v>0</v>
      </c>
      <c r="L105" s="66">
        <f>'дод 3 '!M172</f>
        <v>0</v>
      </c>
      <c r="M105" s="66">
        <f>'дод 3 '!N172</f>
        <v>0</v>
      </c>
      <c r="N105" s="66">
        <f>'дод 3 '!O172</f>
        <v>0</v>
      </c>
      <c r="O105" s="66">
        <f>'дод 3 '!P172</f>
        <v>0</v>
      </c>
      <c r="P105" s="284"/>
      <c r="Q105" s="285"/>
    </row>
    <row r="106" spans="1:17" ht="19.5" customHeight="1" x14ac:dyDescent="0.25">
      <c r="A106" s="19" t="s">
        <v>119</v>
      </c>
      <c r="B106" s="19" t="s">
        <v>62</v>
      </c>
      <c r="C106" s="6" t="s">
        <v>446</v>
      </c>
      <c r="D106" s="66">
        <f>'дод 3 '!E173</f>
        <v>12756400</v>
      </c>
      <c r="E106" s="66">
        <f>'дод 3 '!F173</f>
        <v>12756400</v>
      </c>
      <c r="F106" s="66">
        <f>'дод 3 '!G173</f>
        <v>0</v>
      </c>
      <c r="G106" s="66">
        <f>'дод 3 '!H173</f>
        <v>0</v>
      </c>
      <c r="H106" s="66">
        <f>'дод 3 '!I173</f>
        <v>0</v>
      </c>
      <c r="I106" s="66">
        <f>'дод 3 '!J173</f>
        <v>200000</v>
      </c>
      <c r="J106" s="66">
        <f>'дод 3 '!K173</f>
        <v>200000</v>
      </c>
      <c r="K106" s="66">
        <f>'дод 3 '!L173</f>
        <v>0</v>
      </c>
      <c r="L106" s="66">
        <f>'дод 3 '!M173</f>
        <v>0</v>
      </c>
      <c r="M106" s="66">
        <f>'дод 3 '!N173</f>
        <v>0</v>
      </c>
      <c r="N106" s="66">
        <f>'дод 3 '!O173</f>
        <v>200000</v>
      </c>
      <c r="O106" s="66">
        <f>'дод 3 '!P173</f>
        <v>12956400</v>
      </c>
      <c r="P106" s="284"/>
      <c r="Q106" s="285"/>
    </row>
    <row r="107" spans="1:17" s="28" customFormat="1" ht="31.5" hidden="1" customHeight="1" x14ac:dyDescent="0.25">
      <c r="A107" s="38"/>
      <c r="B107" s="38"/>
      <c r="C107" s="39" t="s">
        <v>385</v>
      </c>
      <c r="D107" s="67">
        <f>'дод 3 '!E174</f>
        <v>0</v>
      </c>
      <c r="E107" s="67">
        <f>'дод 3 '!F174</f>
        <v>0</v>
      </c>
      <c r="F107" s="67">
        <f>'дод 3 '!G174</f>
        <v>0</v>
      </c>
      <c r="G107" s="67">
        <f>'дод 3 '!H174</f>
        <v>0</v>
      </c>
      <c r="H107" s="67">
        <f>'дод 3 '!I174</f>
        <v>0</v>
      </c>
      <c r="I107" s="67">
        <f>'дод 3 '!J174</f>
        <v>0</v>
      </c>
      <c r="J107" s="67">
        <f>'дод 3 '!K174</f>
        <v>0</v>
      </c>
      <c r="K107" s="67">
        <f>'дод 3 '!L174</f>
        <v>0</v>
      </c>
      <c r="L107" s="67">
        <f>'дод 3 '!M174</f>
        <v>0</v>
      </c>
      <c r="M107" s="67">
        <f>'дод 3 '!N174</f>
        <v>0</v>
      </c>
      <c r="N107" s="67">
        <f>'дод 3 '!O174</f>
        <v>0</v>
      </c>
      <c r="O107" s="67">
        <f>'дод 3 '!P174</f>
        <v>0</v>
      </c>
      <c r="P107" s="284"/>
      <c r="Q107" s="285"/>
    </row>
    <row r="108" spans="1:17" ht="48.75" customHeight="1" x14ac:dyDescent="0.25">
      <c r="A108" s="19" t="s">
        <v>120</v>
      </c>
      <c r="B108" s="19" t="s">
        <v>308</v>
      </c>
      <c r="C108" s="6" t="s">
        <v>447</v>
      </c>
      <c r="D108" s="66">
        <f>'дод 3 '!E175</f>
        <v>4555000</v>
      </c>
      <c r="E108" s="66">
        <f>'дод 3 '!F175</f>
        <v>4555000</v>
      </c>
      <c r="F108" s="66">
        <f>'дод 3 '!G175</f>
        <v>0</v>
      </c>
      <c r="G108" s="66">
        <f>'дод 3 '!H175</f>
        <v>0</v>
      </c>
      <c r="H108" s="66">
        <f>'дод 3 '!I175</f>
        <v>0</v>
      </c>
      <c r="I108" s="66">
        <f>'дод 3 '!J175</f>
        <v>8841300</v>
      </c>
      <c r="J108" s="66">
        <f>'дод 3 '!K175</f>
        <v>8841300</v>
      </c>
      <c r="K108" s="66">
        <f>'дод 3 '!L175</f>
        <v>0</v>
      </c>
      <c r="L108" s="66">
        <f>'дод 3 '!M175</f>
        <v>0</v>
      </c>
      <c r="M108" s="66">
        <f>'дод 3 '!N175</f>
        <v>0</v>
      </c>
      <c r="N108" s="66">
        <f>'дод 3 '!O175</f>
        <v>8841300</v>
      </c>
      <c r="O108" s="66">
        <f>'дод 3 '!P175</f>
        <v>13396300</v>
      </c>
      <c r="P108" s="284"/>
      <c r="Q108" s="285"/>
    </row>
    <row r="109" spans="1:17" s="28" customFormat="1" ht="47.25" hidden="1" customHeight="1" x14ac:dyDescent="0.25">
      <c r="A109" s="38"/>
      <c r="B109" s="38"/>
      <c r="C109" s="40" t="s">
        <v>387</v>
      </c>
      <c r="D109" s="67">
        <f>'дод 3 '!E176</f>
        <v>0</v>
      </c>
      <c r="E109" s="67">
        <f>'дод 3 '!F176</f>
        <v>0</v>
      </c>
      <c r="F109" s="67">
        <f>'дод 3 '!G176</f>
        <v>0</v>
      </c>
      <c r="G109" s="67">
        <f>'дод 3 '!H176</f>
        <v>0</v>
      </c>
      <c r="H109" s="67">
        <f>'дод 3 '!I176</f>
        <v>0</v>
      </c>
      <c r="I109" s="67">
        <f>'дод 3 '!J176</f>
        <v>0</v>
      </c>
      <c r="J109" s="67">
        <f>'дод 3 '!K176</f>
        <v>0</v>
      </c>
      <c r="K109" s="67">
        <f>'дод 3 '!L176</f>
        <v>0</v>
      </c>
      <c r="L109" s="67">
        <f>'дод 3 '!M176</f>
        <v>0</v>
      </c>
      <c r="M109" s="67">
        <f>'дод 3 '!N176</f>
        <v>0</v>
      </c>
      <c r="N109" s="67">
        <f>'дод 3 '!O176</f>
        <v>0</v>
      </c>
      <c r="O109" s="67">
        <f>'дод 3 '!P176</f>
        <v>0</v>
      </c>
      <c r="P109" s="284"/>
    </row>
    <row r="110" spans="1:17" ht="31.5" hidden="1" customHeight="1" x14ac:dyDescent="0.25">
      <c r="A110" s="22">
        <v>2144</v>
      </c>
      <c r="B110" s="19" t="s">
        <v>63</v>
      </c>
      <c r="C110" s="6" t="s">
        <v>396</v>
      </c>
      <c r="D110" s="66">
        <f>'дод 3 '!E177</f>
        <v>0</v>
      </c>
      <c r="E110" s="66">
        <f>'дод 3 '!F177</f>
        <v>0</v>
      </c>
      <c r="F110" s="66">
        <f>'дод 3 '!G177</f>
        <v>0</v>
      </c>
      <c r="G110" s="66">
        <f>'дод 3 '!H177</f>
        <v>0</v>
      </c>
      <c r="H110" s="66">
        <f>'дод 3 '!I177</f>
        <v>0</v>
      </c>
      <c r="I110" s="66">
        <f>'дод 3 '!J177</f>
        <v>0</v>
      </c>
      <c r="J110" s="66">
        <f>'дод 3 '!K177</f>
        <v>0</v>
      </c>
      <c r="K110" s="66">
        <f>'дод 3 '!L177</f>
        <v>0</v>
      </c>
      <c r="L110" s="66">
        <f>'дод 3 '!M177</f>
        <v>0</v>
      </c>
      <c r="M110" s="66">
        <f>'дод 3 '!N177</f>
        <v>0</v>
      </c>
      <c r="N110" s="66">
        <f>'дод 3 '!O177</f>
        <v>0</v>
      </c>
      <c r="O110" s="66">
        <f>'дод 3 '!P177</f>
        <v>0</v>
      </c>
      <c r="P110" s="284"/>
    </row>
    <row r="111" spans="1:17" s="28" customFormat="1" ht="47.25" hidden="1" customHeight="1" x14ac:dyDescent="0.25">
      <c r="A111" s="41"/>
      <c r="B111" s="38"/>
      <c r="C111" s="39" t="s">
        <v>386</v>
      </c>
      <c r="D111" s="67">
        <f>'дод 3 '!E178</f>
        <v>0</v>
      </c>
      <c r="E111" s="67">
        <f>'дод 3 '!F178</f>
        <v>0</v>
      </c>
      <c r="F111" s="67">
        <f>'дод 3 '!G178</f>
        <v>0</v>
      </c>
      <c r="G111" s="67">
        <f>'дод 3 '!H178</f>
        <v>0</v>
      </c>
      <c r="H111" s="67">
        <f>'дод 3 '!I178</f>
        <v>0</v>
      </c>
      <c r="I111" s="67">
        <f>'дод 3 '!J178</f>
        <v>0</v>
      </c>
      <c r="J111" s="67">
        <f>'дод 3 '!K178</f>
        <v>0</v>
      </c>
      <c r="K111" s="67">
        <f>'дод 3 '!L178</f>
        <v>0</v>
      </c>
      <c r="L111" s="67">
        <f>'дод 3 '!M178</f>
        <v>0</v>
      </c>
      <c r="M111" s="67">
        <f>'дод 3 '!N178</f>
        <v>0</v>
      </c>
      <c r="N111" s="67">
        <f>'дод 3 '!O178</f>
        <v>0</v>
      </c>
      <c r="O111" s="67">
        <f>'дод 3 '!P178</f>
        <v>0</v>
      </c>
      <c r="P111" s="284"/>
    </row>
    <row r="112" spans="1:17" s="28" customFormat="1" ht="63" hidden="1" customHeight="1" x14ac:dyDescent="0.25">
      <c r="A112" s="41"/>
      <c r="B112" s="38"/>
      <c r="C112" s="39" t="s">
        <v>387</v>
      </c>
      <c r="D112" s="67">
        <f>'дод 3 '!E179</f>
        <v>0</v>
      </c>
      <c r="E112" s="67">
        <f>'дод 3 '!F179</f>
        <v>0</v>
      </c>
      <c r="F112" s="67">
        <f>'дод 3 '!G179</f>
        <v>0</v>
      </c>
      <c r="G112" s="67">
        <f>'дод 3 '!H179</f>
        <v>0</v>
      </c>
      <c r="H112" s="67">
        <f>'дод 3 '!I179</f>
        <v>0</v>
      </c>
      <c r="I112" s="67">
        <f>'дод 3 '!J179</f>
        <v>0</v>
      </c>
      <c r="J112" s="67">
        <f>'дод 3 '!K179</f>
        <v>0</v>
      </c>
      <c r="K112" s="67">
        <f>'дод 3 '!L179</f>
        <v>0</v>
      </c>
      <c r="L112" s="67">
        <f>'дод 3 '!M179</f>
        <v>0</v>
      </c>
      <c r="M112" s="67">
        <f>'дод 3 '!N179</f>
        <v>0</v>
      </c>
      <c r="N112" s="67">
        <f>'дод 3 '!O179</f>
        <v>0</v>
      </c>
      <c r="O112" s="67">
        <f>'дод 3 '!P179</f>
        <v>0</v>
      </c>
      <c r="P112" s="284"/>
    </row>
    <row r="113" spans="1:16" ht="33.75" customHeight="1" x14ac:dyDescent="0.25">
      <c r="A113" s="19" t="s">
        <v>279</v>
      </c>
      <c r="B113" s="19" t="s">
        <v>63</v>
      </c>
      <c r="C113" s="3" t="s">
        <v>565</v>
      </c>
      <c r="D113" s="66">
        <f>'дод 3 '!E180</f>
        <v>3789166</v>
      </c>
      <c r="E113" s="66">
        <f>'дод 3 '!F180</f>
        <v>3789166</v>
      </c>
      <c r="F113" s="66">
        <f>'дод 3 '!G180</f>
        <v>2621900</v>
      </c>
      <c r="G113" s="66">
        <f>'дод 3 '!H180</f>
        <v>115800</v>
      </c>
      <c r="H113" s="66">
        <f>'дод 3 '!I180</f>
        <v>0</v>
      </c>
      <c r="I113" s="66">
        <f>'дод 3 '!J180</f>
        <v>0</v>
      </c>
      <c r="J113" s="66">
        <f>'дод 3 '!K180</f>
        <v>0</v>
      </c>
      <c r="K113" s="66">
        <f>'дод 3 '!L180</f>
        <v>0</v>
      </c>
      <c r="L113" s="66">
        <f>'дод 3 '!M180</f>
        <v>0</v>
      </c>
      <c r="M113" s="66">
        <f>'дод 3 '!N180</f>
        <v>0</v>
      </c>
      <c r="N113" s="66">
        <f>'дод 3 '!O180</f>
        <v>0</v>
      </c>
      <c r="O113" s="66">
        <f>'дод 3 '!P180</f>
        <v>3789166</v>
      </c>
      <c r="P113" s="284"/>
    </row>
    <row r="114" spans="1:16" ht="21.75" customHeight="1" x14ac:dyDescent="0.25">
      <c r="A114" s="19" t="s">
        <v>280</v>
      </c>
      <c r="B114" s="19" t="s">
        <v>63</v>
      </c>
      <c r="C114" s="3" t="s">
        <v>566</v>
      </c>
      <c r="D114" s="66">
        <f>'дод 3 '!E181</f>
        <v>23355800</v>
      </c>
      <c r="E114" s="66">
        <f>'дод 3 '!F181</f>
        <v>23355800</v>
      </c>
      <c r="F114" s="66">
        <f>'дод 3 '!G181</f>
        <v>0</v>
      </c>
      <c r="G114" s="66">
        <f>'дод 3 '!H181</f>
        <v>0</v>
      </c>
      <c r="H114" s="66">
        <f>'дод 3 '!I181</f>
        <v>0</v>
      </c>
      <c r="I114" s="66">
        <f>'дод 3 '!J181</f>
        <v>111446590</v>
      </c>
      <c r="J114" s="66">
        <f>'дод 3 '!K181</f>
        <v>111446590</v>
      </c>
      <c r="K114" s="66">
        <f>'дод 3 '!L181</f>
        <v>0</v>
      </c>
      <c r="L114" s="66">
        <f>'дод 3 '!M181</f>
        <v>0</v>
      </c>
      <c r="M114" s="66">
        <f>'дод 3 '!N181</f>
        <v>0</v>
      </c>
      <c r="N114" s="66">
        <f>'дод 3 '!O181</f>
        <v>111446590</v>
      </c>
      <c r="O114" s="66">
        <f>'дод 3 '!P181</f>
        <v>134802390</v>
      </c>
      <c r="P114" s="284"/>
    </row>
    <row r="115" spans="1:16" s="26" customFormat="1" ht="33" customHeight="1" x14ac:dyDescent="0.25">
      <c r="A115" s="20" t="s">
        <v>64</v>
      </c>
      <c r="B115" s="23"/>
      <c r="C115" s="2" t="s">
        <v>657</v>
      </c>
      <c r="D115" s="25">
        <f>D120+D121+D122+D124+D125+D126+D128+D130+D131+D132+D133+D134+D136+D137+D138+D140+D142+D143+D144+D145+D146+D147+D149+D153+D154+D135</f>
        <v>404815606.51999998</v>
      </c>
      <c r="E115" s="25">
        <f>E120+E121+E122+E124+E125+E126+E128+E130+E131+E132+E133+E134+E136+E137+E138+E140+E142+E143+E144+E145+E146+E147+E149+E153+E154+E135</f>
        <v>404815606.51999998</v>
      </c>
      <c r="F115" s="25">
        <f>F120+F121+F122+F124+F125+F126+F128+F130+F131+F132+F133+F134+F136+F137+F138+F140+F142+F143+F144+F145+F146+F147+F149+F153+F154+F135</f>
        <v>24941700</v>
      </c>
      <c r="G115" s="25">
        <f>G120+G121+G122+G124+G125+G126+G128+G130+G131+G132+G133+G134+G136+G137+G138+G140+G142+G143+G144+G145+G146+G147+G149+G153+G154+G135</f>
        <v>2433500</v>
      </c>
      <c r="H115" s="25">
        <f>H120+H121+H122+H124+H125+H126+H128+H130+H131+H132+H133+H134+H136+H137+H138+H140+H142+H143+H144+H145+H146+H147+H149+H153+H154+H135</f>
        <v>0</v>
      </c>
      <c r="I115" s="25">
        <f>I120+I121+I122+I124+I125+I126+I128+I130+I131+I132+I133+I134+I136+I137+I138+I140+I142+I143+I144+I145+I146+I147+I149+I153+I154+I135+I151</f>
        <v>35276423.789999999</v>
      </c>
      <c r="J115" s="25">
        <f t="shared" ref="J115:O115" si="21">J120+J121+J122+J124+J125+J126+J128+J130+J131+J132+J133+J134+J136+J137+J138+J140+J142+J143+J144+J145+J146+J147+J149+J153+J154+J135+J151</f>
        <v>35170223.789999999</v>
      </c>
      <c r="K115" s="25">
        <f t="shared" si="21"/>
        <v>106200</v>
      </c>
      <c r="L115" s="25">
        <f t="shared" si="21"/>
        <v>78600</v>
      </c>
      <c r="M115" s="25">
        <f t="shared" si="21"/>
        <v>3330</v>
      </c>
      <c r="N115" s="25">
        <f t="shared" si="21"/>
        <v>35170223.789999999</v>
      </c>
      <c r="O115" s="25">
        <f t="shared" si="21"/>
        <v>440092030.31</v>
      </c>
      <c r="P115" s="284"/>
    </row>
    <row r="116" spans="1:16" s="27" customFormat="1" ht="262.5" customHeight="1" x14ac:dyDescent="0.25">
      <c r="A116" s="32"/>
      <c r="B116" s="33"/>
      <c r="C116" s="36" t="s">
        <v>715</v>
      </c>
      <c r="D116" s="68">
        <f>D148</f>
        <v>0</v>
      </c>
      <c r="E116" s="68">
        <f t="shared" ref="E116:O116" si="22">E148</f>
        <v>0</v>
      </c>
      <c r="F116" s="68">
        <f t="shared" si="22"/>
        <v>0</v>
      </c>
      <c r="G116" s="68">
        <f t="shared" si="22"/>
        <v>0</v>
      </c>
      <c r="H116" s="68">
        <f t="shared" si="22"/>
        <v>0</v>
      </c>
      <c r="I116" s="68">
        <f t="shared" si="22"/>
        <v>11655220.930000002</v>
      </c>
      <c r="J116" s="68">
        <f t="shared" si="22"/>
        <v>11655220.930000002</v>
      </c>
      <c r="K116" s="68">
        <f t="shared" si="22"/>
        <v>0</v>
      </c>
      <c r="L116" s="68">
        <f t="shared" si="22"/>
        <v>0</v>
      </c>
      <c r="M116" s="68">
        <f t="shared" si="22"/>
        <v>0</v>
      </c>
      <c r="N116" s="68">
        <f t="shared" si="22"/>
        <v>11655220.930000002</v>
      </c>
      <c r="O116" s="68">
        <f t="shared" si="22"/>
        <v>11655220.930000002</v>
      </c>
      <c r="P116" s="284"/>
    </row>
    <row r="117" spans="1:16" s="27" customFormat="1" ht="258" customHeight="1" x14ac:dyDescent="0.25">
      <c r="A117" s="32"/>
      <c r="B117" s="33"/>
      <c r="C117" s="207" t="s">
        <v>717</v>
      </c>
      <c r="D117" s="68">
        <f>'дод 3 '!E195</f>
        <v>0</v>
      </c>
      <c r="E117" s="68">
        <f>'дод 3 '!F195</f>
        <v>0</v>
      </c>
      <c r="F117" s="68">
        <f>'дод 3 '!G195</f>
        <v>0</v>
      </c>
      <c r="G117" s="68">
        <f>'дод 3 '!H195</f>
        <v>0</v>
      </c>
      <c r="H117" s="68">
        <f>'дод 3 '!I195</f>
        <v>0</v>
      </c>
      <c r="I117" s="68">
        <f>'дод 3 '!J195</f>
        <v>14037705.65</v>
      </c>
      <c r="J117" s="68">
        <f>'дод 3 '!K195</f>
        <v>14037705.65</v>
      </c>
      <c r="K117" s="68">
        <f>'дод 3 '!L195</f>
        <v>0</v>
      </c>
      <c r="L117" s="68">
        <f>'дод 3 '!M195</f>
        <v>0</v>
      </c>
      <c r="M117" s="68">
        <f>'дод 3 '!N195</f>
        <v>0</v>
      </c>
      <c r="N117" s="68">
        <f>'дод 3 '!O195</f>
        <v>14037705.65</v>
      </c>
      <c r="O117" s="68">
        <f>'дод 3 '!P195</f>
        <v>14037705.65</v>
      </c>
      <c r="P117" s="284"/>
    </row>
    <row r="118" spans="1:16" s="27" customFormat="1" x14ac:dyDescent="0.25">
      <c r="A118" s="32"/>
      <c r="B118" s="33"/>
      <c r="C118" s="36" t="s">
        <v>389</v>
      </c>
      <c r="D118" s="68">
        <f t="shared" ref="D118:O118" si="23">D123+D127+D129+D139+D141+D155</f>
        <v>3705742.52</v>
      </c>
      <c r="E118" s="68">
        <f t="shared" si="23"/>
        <v>3705742.52</v>
      </c>
      <c r="F118" s="68">
        <f t="shared" si="23"/>
        <v>0</v>
      </c>
      <c r="G118" s="68">
        <f t="shared" si="23"/>
        <v>0</v>
      </c>
      <c r="H118" s="68">
        <f t="shared" si="23"/>
        <v>0</v>
      </c>
      <c r="I118" s="68">
        <f t="shared" si="23"/>
        <v>0</v>
      </c>
      <c r="J118" s="68">
        <f t="shared" si="23"/>
        <v>0</v>
      </c>
      <c r="K118" s="68">
        <f t="shared" si="23"/>
        <v>0</v>
      </c>
      <c r="L118" s="68">
        <f t="shared" si="23"/>
        <v>0</v>
      </c>
      <c r="M118" s="68">
        <f t="shared" si="23"/>
        <v>0</v>
      </c>
      <c r="N118" s="68">
        <f t="shared" si="23"/>
        <v>0</v>
      </c>
      <c r="O118" s="68">
        <f t="shared" si="23"/>
        <v>3705742.52</v>
      </c>
      <c r="P118" s="284"/>
    </row>
    <row r="119" spans="1:16" s="27" customFormat="1" ht="186" customHeight="1" x14ac:dyDescent="0.25">
      <c r="A119" s="32"/>
      <c r="B119" s="33"/>
      <c r="C119" s="37" t="s">
        <v>716</v>
      </c>
      <c r="D119" s="68">
        <f>D150</f>
        <v>0</v>
      </c>
      <c r="E119" s="68">
        <f t="shared" ref="E119:H119" si="24">E150</f>
        <v>0</v>
      </c>
      <c r="F119" s="68">
        <f t="shared" si="24"/>
        <v>0</v>
      </c>
      <c r="G119" s="68">
        <f t="shared" si="24"/>
        <v>0</v>
      </c>
      <c r="H119" s="68">
        <f t="shared" si="24"/>
        <v>0</v>
      </c>
      <c r="I119" s="68">
        <f>I152</f>
        <v>8627297.209999999</v>
      </c>
      <c r="J119" s="68">
        <f t="shared" ref="J119:O119" si="25">J152</f>
        <v>8627297.209999999</v>
      </c>
      <c r="K119" s="68">
        <f t="shared" si="25"/>
        <v>0</v>
      </c>
      <c r="L119" s="68">
        <f t="shared" si="25"/>
        <v>0</v>
      </c>
      <c r="M119" s="68">
        <f t="shared" si="25"/>
        <v>0</v>
      </c>
      <c r="N119" s="68">
        <f t="shared" si="25"/>
        <v>8627297.209999999</v>
      </c>
      <c r="O119" s="68">
        <f t="shared" si="25"/>
        <v>8627297.209999999</v>
      </c>
      <c r="P119" s="284"/>
    </row>
    <row r="120" spans="1:16" ht="38.25" customHeight="1" x14ac:dyDescent="0.25">
      <c r="A120" s="19" t="s">
        <v>97</v>
      </c>
      <c r="B120" s="19" t="s">
        <v>51</v>
      </c>
      <c r="C120" s="3" t="s">
        <v>121</v>
      </c>
      <c r="D120" s="66">
        <f>'дод 3 '!E200</f>
        <v>431000</v>
      </c>
      <c r="E120" s="66">
        <f>'дод 3 '!F200</f>
        <v>431000</v>
      </c>
      <c r="F120" s="66">
        <f>'дод 3 '!G200</f>
        <v>0</v>
      </c>
      <c r="G120" s="66">
        <f>'дод 3 '!H200</f>
        <v>0</v>
      </c>
      <c r="H120" s="66">
        <f>'дод 3 '!I200</f>
        <v>0</v>
      </c>
      <c r="I120" s="66">
        <f>'дод 3 '!J200</f>
        <v>0</v>
      </c>
      <c r="J120" s="66">
        <f>'дод 3 '!K200</f>
        <v>0</v>
      </c>
      <c r="K120" s="66">
        <f>'дод 3 '!L200</f>
        <v>0</v>
      </c>
      <c r="L120" s="66">
        <f>'дод 3 '!M200</f>
        <v>0</v>
      </c>
      <c r="M120" s="66">
        <f>'дод 3 '!N200</f>
        <v>0</v>
      </c>
      <c r="N120" s="66">
        <f>'дод 3 '!O200</f>
        <v>0</v>
      </c>
      <c r="O120" s="66">
        <f>'дод 3 '!P200</f>
        <v>431000</v>
      </c>
      <c r="P120" s="284"/>
    </row>
    <row r="121" spans="1:16" ht="35.25" customHeight="1" x14ac:dyDescent="0.25">
      <c r="A121" s="19" t="s">
        <v>122</v>
      </c>
      <c r="B121" s="19" t="s">
        <v>53</v>
      </c>
      <c r="C121" s="3" t="s">
        <v>355</v>
      </c>
      <c r="D121" s="66">
        <f>'дод 3 '!E201</f>
        <v>769100</v>
      </c>
      <c r="E121" s="66">
        <f>'дод 3 '!F201</f>
        <v>769100</v>
      </c>
      <c r="F121" s="66">
        <f>'дод 3 '!G201</f>
        <v>0</v>
      </c>
      <c r="G121" s="66">
        <f>'дод 3 '!H201</f>
        <v>0</v>
      </c>
      <c r="H121" s="66">
        <f>'дод 3 '!I201</f>
        <v>0</v>
      </c>
      <c r="I121" s="66">
        <f>'дод 3 '!J201</f>
        <v>0</v>
      </c>
      <c r="J121" s="66">
        <f>'дод 3 '!K201</f>
        <v>0</v>
      </c>
      <c r="K121" s="66">
        <f>'дод 3 '!L201</f>
        <v>0</v>
      </c>
      <c r="L121" s="66">
        <f>'дод 3 '!M201</f>
        <v>0</v>
      </c>
      <c r="M121" s="66">
        <f>'дод 3 '!N201</f>
        <v>0</v>
      </c>
      <c r="N121" s="66">
        <f>'дод 3 '!O201</f>
        <v>0</v>
      </c>
      <c r="O121" s="66">
        <f>'дод 3 '!P201</f>
        <v>769100</v>
      </c>
      <c r="P121" s="284"/>
    </row>
    <row r="122" spans="1:16" ht="31.5" x14ac:dyDescent="0.25">
      <c r="A122" s="19" t="s">
        <v>98</v>
      </c>
      <c r="B122" s="19" t="s">
        <v>53</v>
      </c>
      <c r="C122" s="3" t="s">
        <v>692</v>
      </c>
      <c r="D122" s="66">
        <f>'дод 3 '!E202+'дод 3 '!E22</f>
        <v>20096299.52</v>
      </c>
      <c r="E122" s="66">
        <f>'дод 3 '!F202+'дод 3 '!F22</f>
        <v>20096299.52</v>
      </c>
      <c r="F122" s="66">
        <f>'дод 3 '!G202+'дод 3 '!G22</f>
        <v>0</v>
      </c>
      <c r="G122" s="66">
        <f>'дод 3 '!H202+'дод 3 '!H22</f>
        <v>0</v>
      </c>
      <c r="H122" s="66">
        <f>'дод 3 '!I202+'дод 3 '!I22</f>
        <v>0</v>
      </c>
      <c r="I122" s="66">
        <f>'дод 3 '!J202+'дод 3 '!J22</f>
        <v>0</v>
      </c>
      <c r="J122" s="66">
        <f>'дод 3 '!K202+'дод 3 '!K22</f>
        <v>0</v>
      </c>
      <c r="K122" s="66">
        <f>'дод 3 '!L202+'дод 3 '!L22</f>
        <v>0</v>
      </c>
      <c r="L122" s="66">
        <f>'дод 3 '!M202+'дод 3 '!M22</f>
        <v>0</v>
      </c>
      <c r="M122" s="66">
        <f>'дод 3 '!N202+'дод 3 '!N22</f>
        <v>0</v>
      </c>
      <c r="N122" s="66">
        <f>'дод 3 '!O202+'дод 3 '!O22</f>
        <v>0</v>
      </c>
      <c r="O122" s="66">
        <f>'дод 3 '!P202+'дод 3 '!P22</f>
        <v>20096299.52</v>
      </c>
      <c r="P122" s="284"/>
    </row>
    <row r="123" spans="1:16" s="28" customFormat="1" ht="21.75" customHeight="1" x14ac:dyDescent="0.25">
      <c r="A123" s="38"/>
      <c r="B123" s="38"/>
      <c r="C123" s="39" t="s">
        <v>388</v>
      </c>
      <c r="D123" s="67">
        <f>'дод 3 '!E203</f>
        <v>2254499.52</v>
      </c>
      <c r="E123" s="67">
        <f>'дод 3 '!F203</f>
        <v>2254499.52</v>
      </c>
      <c r="F123" s="67">
        <f>'дод 3 '!G203</f>
        <v>0</v>
      </c>
      <c r="G123" s="67">
        <f>'дод 3 '!H203</f>
        <v>0</v>
      </c>
      <c r="H123" s="67">
        <f>'дод 3 '!I203</f>
        <v>0</v>
      </c>
      <c r="I123" s="67">
        <f>'дод 3 '!J203</f>
        <v>0</v>
      </c>
      <c r="J123" s="67">
        <f>'дод 3 '!K203</f>
        <v>0</v>
      </c>
      <c r="K123" s="67">
        <f>'дод 3 '!L203</f>
        <v>0</v>
      </c>
      <c r="L123" s="67">
        <f>'дод 3 '!M203</f>
        <v>0</v>
      </c>
      <c r="M123" s="67">
        <f>'дод 3 '!N203</f>
        <v>0</v>
      </c>
      <c r="N123" s="67">
        <f>'дод 3 '!O203</f>
        <v>0</v>
      </c>
      <c r="O123" s="67">
        <f>'дод 3 '!P203</f>
        <v>2254499.52</v>
      </c>
      <c r="P123" s="284"/>
    </row>
    <row r="124" spans="1:16" ht="36" customHeight="1" x14ac:dyDescent="0.25">
      <c r="A124" s="19" t="s">
        <v>318</v>
      </c>
      <c r="B124" s="19" t="s">
        <v>53</v>
      </c>
      <c r="C124" s="3" t="s">
        <v>317</v>
      </c>
      <c r="D124" s="66">
        <f>'дод 3 '!E204</f>
        <v>2106000</v>
      </c>
      <c r="E124" s="66">
        <f>'дод 3 '!F204</f>
        <v>2106000</v>
      </c>
      <c r="F124" s="66">
        <f>'дод 3 '!G204</f>
        <v>0</v>
      </c>
      <c r="G124" s="66">
        <f>'дод 3 '!H204</f>
        <v>0</v>
      </c>
      <c r="H124" s="66">
        <f>'дод 3 '!I204</f>
        <v>0</v>
      </c>
      <c r="I124" s="66">
        <f>'дод 3 '!J204</f>
        <v>0</v>
      </c>
      <c r="J124" s="66">
        <f>'дод 3 '!K204</f>
        <v>0</v>
      </c>
      <c r="K124" s="66">
        <f>'дод 3 '!L204</f>
        <v>0</v>
      </c>
      <c r="L124" s="66">
        <f>'дод 3 '!M204</f>
        <v>0</v>
      </c>
      <c r="M124" s="66">
        <f>'дод 3 '!N204</f>
        <v>0</v>
      </c>
      <c r="N124" s="66">
        <f>'дод 3 '!O204</f>
        <v>0</v>
      </c>
      <c r="O124" s="66">
        <f>'дод 3 '!P204</f>
        <v>2106000</v>
      </c>
      <c r="P124" s="284"/>
    </row>
    <row r="125" spans="1:16" ht="34.5" customHeight="1" x14ac:dyDescent="0.25">
      <c r="A125" s="19" t="s">
        <v>123</v>
      </c>
      <c r="B125" s="19" t="s">
        <v>53</v>
      </c>
      <c r="C125" s="3" t="s">
        <v>19</v>
      </c>
      <c r="D125" s="66">
        <f>'дод 3 '!E205+'дод 3 '!E23</f>
        <v>41069200</v>
      </c>
      <c r="E125" s="66">
        <f>'дод 3 '!F205+'дод 3 '!F23</f>
        <v>41069200</v>
      </c>
      <c r="F125" s="66">
        <f>'дод 3 '!G205+'дод 3 '!G23</f>
        <v>0</v>
      </c>
      <c r="G125" s="66">
        <f>'дод 3 '!H205+'дод 3 '!H23</f>
        <v>0</v>
      </c>
      <c r="H125" s="66">
        <f>'дод 3 '!I205+'дод 3 '!I23</f>
        <v>0</v>
      </c>
      <c r="I125" s="66">
        <f>'дод 3 '!J205+'дод 3 '!J23</f>
        <v>0</v>
      </c>
      <c r="J125" s="66">
        <f>'дод 3 '!K205+'дод 3 '!K23</f>
        <v>0</v>
      </c>
      <c r="K125" s="66">
        <f>'дод 3 '!L205+'дод 3 '!L23</f>
        <v>0</v>
      </c>
      <c r="L125" s="66">
        <f>'дод 3 '!M205+'дод 3 '!M23</f>
        <v>0</v>
      </c>
      <c r="M125" s="66">
        <f>'дод 3 '!N205+'дод 3 '!N23</f>
        <v>0</v>
      </c>
      <c r="N125" s="66">
        <f>'дод 3 '!O205+'дод 3 '!O23</f>
        <v>0</v>
      </c>
      <c r="O125" s="66">
        <f>'дод 3 '!P205+'дод 3 '!P23</f>
        <v>41069200</v>
      </c>
      <c r="P125" s="284"/>
    </row>
    <row r="126" spans="1:16" ht="51.75" customHeight="1" x14ac:dyDescent="0.25">
      <c r="A126" s="19" t="s">
        <v>100</v>
      </c>
      <c r="B126" s="19" t="s">
        <v>53</v>
      </c>
      <c r="C126" s="3" t="s">
        <v>400</v>
      </c>
      <c r="D126" s="66">
        <f>'дод 3 '!E206</f>
        <v>745100</v>
      </c>
      <c r="E126" s="66">
        <f>'дод 3 '!F206</f>
        <v>745100</v>
      </c>
      <c r="F126" s="66">
        <f>'дод 3 '!G206</f>
        <v>0</v>
      </c>
      <c r="G126" s="66">
        <f>'дод 3 '!H206</f>
        <v>0</v>
      </c>
      <c r="H126" s="66">
        <f>'дод 3 '!I206</f>
        <v>0</v>
      </c>
      <c r="I126" s="66">
        <f>'дод 3 '!J206</f>
        <v>0</v>
      </c>
      <c r="J126" s="66">
        <f>'дод 3 '!K206</f>
        <v>0</v>
      </c>
      <c r="K126" s="66">
        <f>'дод 3 '!L206</f>
        <v>0</v>
      </c>
      <c r="L126" s="66">
        <f>'дод 3 '!M206</f>
        <v>0</v>
      </c>
      <c r="M126" s="66">
        <f>'дод 3 '!N206</f>
        <v>0</v>
      </c>
      <c r="N126" s="66">
        <f>'дод 3 '!O206</f>
        <v>0</v>
      </c>
      <c r="O126" s="66">
        <f>'дод 3 '!P206</f>
        <v>745100</v>
      </c>
      <c r="P126" s="284">
        <v>47</v>
      </c>
    </row>
    <row r="127" spans="1:16" s="28" customFormat="1" x14ac:dyDescent="0.25">
      <c r="A127" s="38"/>
      <c r="B127" s="38"/>
      <c r="C127" s="39" t="s">
        <v>388</v>
      </c>
      <c r="D127" s="67">
        <f>'дод 3 '!E207</f>
        <v>745100</v>
      </c>
      <c r="E127" s="67">
        <f>'дод 3 '!F207</f>
        <v>745100</v>
      </c>
      <c r="F127" s="67">
        <f>'дод 3 '!G207</f>
        <v>0</v>
      </c>
      <c r="G127" s="67">
        <f>'дод 3 '!H207</f>
        <v>0</v>
      </c>
      <c r="H127" s="67">
        <f>'дод 3 '!I207</f>
        <v>0</v>
      </c>
      <c r="I127" s="67">
        <f>'дод 3 '!J207</f>
        <v>0</v>
      </c>
      <c r="J127" s="67">
        <f>'дод 3 '!K207</f>
        <v>0</v>
      </c>
      <c r="K127" s="67">
        <f>'дод 3 '!L207</f>
        <v>0</v>
      </c>
      <c r="L127" s="67">
        <f>'дод 3 '!M207</f>
        <v>0</v>
      </c>
      <c r="M127" s="67">
        <f>'дод 3 '!N207</f>
        <v>0</v>
      </c>
      <c r="N127" s="67">
        <f>'дод 3 '!O207</f>
        <v>0</v>
      </c>
      <c r="O127" s="67">
        <f>'дод 3 '!P207</f>
        <v>745100</v>
      </c>
      <c r="P127" s="284"/>
    </row>
    <row r="128" spans="1:16" ht="40.5" customHeight="1" x14ac:dyDescent="0.25">
      <c r="A128" s="19" t="s">
        <v>310</v>
      </c>
      <c r="B128" s="19" t="s">
        <v>51</v>
      </c>
      <c r="C128" s="3" t="s">
        <v>401</v>
      </c>
      <c r="D128" s="66">
        <f>'дод 3 '!E208</f>
        <v>274000</v>
      </c>
      <c r="E128" s="66">
        <f>'дод 3 '!F208</f>
        <v>274000</v>
      </c>
      <c r="F128" s="66">
        <f>'дод 3 '!G208</f>
        <v>0</v>
      </c>
      <c r="G128" s="66">
        <f>'дод 3 '!H208</f>
        <v>0</v>
      </c>
      <c r="H128" s="66">
        <f>'дод 3 '!I208</f>
        <v>0</v>
      </c>
      <c r="I128" s="66">
        <f>'дод 3 '!J208</f>
        <v>0</v>
      </c>
      <c r="J128" s="66">
        <f>'дод 3 '!K208</f>
        <v>0</v>
      </c>
      <c r="K128" s="66">
        <f>'дод 3 '!L208</f>
        <v>0</v>
      </c>
      <c r="L128" s="66">
        <f>'дод 3 '!M208</f>
        <v>0</v>
      </c>
      <c r="M128" s="66">
        <f>'дод 3 '!N208</f>
        <v>0</v>
      </c>
      <c r="N128" s="66">
        <f>'дод 3 '!O208</f>
        <v>0</v>
      </c>
      <c r="O128" s="66">
        <f>'дод 3 '!P208</f>
        <v>274000</v>
      </c>
      <c r="P128" s="284"/>
    </row>
    <row r="129" spans="1:16" s="28" customFormat="1" x14ac:dyDescent="0.25">
      <c r="A129" s="38"/>
      <c r="B129" s="38"/>
      <c r="C129" s="39" t="s">
        <v>388</v>
      </c>
      <c r="D129" s="67">
        <f>'дод 3 '!E209</f>
        <v>274000</v>
      </c>
      <c r="E129" s="67">
        <f>'дод 3 '!F209</f>
        <v>274000</v>
      </c>
      <c r="F129" s="67">
        <f>'дод 3 '!G209</f>
        <v>0</v>
      </c>
      <c r="G129" s="67">
        <f>'дод 3 '!H209</f>
        <v>0</v>
      </c>
      <c r="H129" s="67">
        <f>'дод 3 '!I209</f>
        <v>0</v>
      </c>
      <c r="I129" s="67">
        <f>'дод 3 '!J209</f>
        <v>0</v>
      </c>
      <c r="J129" s="67">
        <f>'дод 3 '!K209</f>
        <v>0</v>
      </c>
      <c r="K129" s="67">
        <f>'дод 3 '!L209</f>
        <v>0</v>
      </c>
      <c r="L129" s="67">
        <f>'дод 3 '!M209</f>
        <v>0</v>
      </c>
      <c r="M129" s="67">
        <f>'дод 3 '!N209</f>
        <v>0</v>
      </c>
      <c r="N129" s="67">
        <f>'дод 3 '!O209</f>
        <v>0</v>
      </c>
      <c r="O129" s="67">
        <f>'дод 3 '!P209</f>
        <v>274000</v>
      </c>
      <c r="P129" s="284"/>
    </row>
    <row r="130" spans="1:16" ht="64.5" customHeight="1" x14ac:dyDescent="0.25">
      <c r="A130" s="19" t="s">
        <v>101</v>
      </c>
      <c r="B130" s="19" t="s">
        <v>49</v>
      </c>
      <c r="C130" s="3" t="s">
        <v>29</v>
      </c>
      <c r="D130" s="66">
        <f>'дод 3 '!E210</f>
        <v>21367897</v>
      </c>
      <c r="E130" s="66">
        <f>'дод 3 '!F210</f>
        <v>21367897</v>
      </c>
      <c r="F130" s="66">
        <f>'дод 3 '!G210</f>
        <v>15793700</v>
      </c>
      <c r="G130" s="66">
        <f>'дод 3 '!H210</f>
        <v>804100</v>
      </c>
      <c r="H130" s="66">
        <f>'дод 3 '!I210</f>
        <v>0</v>
      </c>
      <c r="I130" s="66">
        <f>'дод 3 '!J210</f>
        <v>596200</v>
      </c>
      <c r="J130" s="66">
        <f>'дод 3 '!K210</f>
        <v>500000</v>
      </c>
      <c r="K130" s="66">
        <f>'дод 3 '!L210</f>
        <v>96200</v>
      </c>
      <c r="L130" s="66">
        <f>'дод 3 '!M210</f>
        <v>78600</v>
      </c>
      <c r="M130" s="66">
        <f>'дод 3 '!N210</f>
        <v>0</v>
      </c>
      <c r="N130" s="66">
        <f>'дод 3 '!O210</f>
        <v>500000</v>
      </c>
      <c r="O130" s="66">
        <f>'дод 3 '!P210</f>
        <v>21964097</v>
      </c>
      <c r="P130" s="284"/>
    </row>
    <row r="131" spans="1:16" ht="59.45" customHeight="1" x14ac:dyDescent="0.25">
      <c r="A131" s="19" t="s">
        <v>327</v>
      </c>
      <c r="B131" s="19" t="s">
        <v>99</v>
      </c>
      <c r="C131" s="18" t="s">
        <v>328</v>
      </c>
      <c r="D131" s="66">
        <f>SUM('дод 3 '!E240)</f>
        <v>105000</v>
      </c>
      <c r="E131" s="66">
        <f>SUM('дод 3 '!F240)</f>
        <v>105000</v>
      </c>
      <c r="F131" s="66">
        <f>SUM('дод 3 '!G240)</f>
        <v>0</v>
      </c>
      <c r="G131" s="66">
        <f>SUM('дод 3 '!H240)</f>
        <v>0</v>
      </c>
      <c r="H131" s="66">
        <f>SUM('дод 3 '!I240)</f>
        <v>0</v>
      </c>
      <c r="I131" s="66">
        <f>SUM('дод 3 '!J240)</f>
        <v>0</v>
      </c>
      <c r="J131" s="66">
        <f>SUM('дод 3 '!K240)</f>
        <v>0</v>
      </c>
      <c r="K131" s="66">
        <f>SUM('дод 3 '!L240)</f>
        <v>0</v>
      </c>
      <c r="L131" s="66">
        <f>SUM('дод 3 '!M240)</f>
        <v>0</v>
      </c>
      <c r="M131" s="66">
        <f>SUM('дод 3 '!N240)</f>
        <v>0</v>
      </c>
      <c r="N131" s="66">
        <f>SUM('дод 3 '!O240)</f>
        <v>0</v>
      </c>
      <c r="O131" s="66">
        <f>SUM('дод 3 '!P240)</f>
        <v>105000</v>
      </c>
      <c r="P131" s="284"/>
    </row>
    <row r="132" spans="1:16" s="28" customFormat="1" ht="31.15" customHeight="1" x14ac:dyDescent="0.25">
      <c r="A132" s="19" t="s">
        <v>102</v>
      </c>
      <c r="B132" s="19" t="s">
        <v>99</v>
      </c>
      <c r="C132" s="3" t="s">
        <v>30</v>
      </c>
      <c r="D132" s="66">
        <f>'дод 3 '!E241</f>
        <v>151823</v>
      </c>
      <c r="E132" s="66">
        <f>'дод 3 '!F241</f>
        <v>151823</v>
      </c>
      <c r="F132" s="66">
        <f>'дод 3 '!G241</f>
        <v>0</v>
      </c>
      <c r="G132" s="66">
        <f>'дод 3 '!H241</f>
        <v>0</v>
      </c>
      <c r="H132" s="66">
        <f>'дод 3 '!I241</f>
        <v>0</v>
      </c>
      <c r="I132" s="66">
        <f>'дод 3 '!J241</f>
        <v>0</v>
      </c>
      <c r="J132" s="66">
        <f>'дод 3 '!K241</f>
        <v>0</v>
      </c>
      <c r="K132" s="66">
        <f>'дод 3 '!L241</f>
        <v>0</v>
      </c>
      <c r="L132" s="66">
        <f>'дод 3 '!M241</f>
        <v>0</v>
      </c>
      <c r="M132" s="66">
        <f>'дод 3 '!N241</f>
        <v>0</v>
      </c>
      <c r="N132" s="66">
        <f>'дод 3 '!O241</f>
        <v>0</v>
      </c>
      <c r="O132" s="66">
        <f>'дод 3 '!P241</f>
        <v>151823</v>
      </c>
      <c r="P132" s="284"/>
    </row>
    <row r="133" spans="1:16" s="28" customFormat="1" ht="31.15" customHeight="1" x14ac:dyDescent="0.25">
      <c r="A133" s="19" t="s">
        <v>124</v>
      </c>
      <c r="B133" s="19" t="s">
        <v>99</v>
      </c>
      <c r="C133" s="3" t="s">
        <v>567</v>
      </c>
      <c r="D133" s="66">
        <f>'дод 3 '!E24</f>
        <v>3596500</v>
      </c>
      <c r="E133" s="66">
        <f>'дод 3 '!F24</f>
        <v>3596500</v>
      </c>
      <c r="F133" s="66">
        <f>'дод 3 '!G24</f>
        <v>2642600</v>
      </c>
      <c r="G133" s="66">
        <f>'дод 3 '!H24</f>
        <v>85300</v>
      </c>
      <c r="H133" s="66">
        <f>'дод 3 '!I24</f>
        <v>0</v>
      </c>
      <c r="I133" s="66">
        <f>'дод 3 '!J24</f>
        <v>350000</v>
      </c>
      <c r="J133" s="66">
        <f>'дод 3 '!K24</f>
        <v>350000</v>
      </c>
      <c r="K133" s="66">
        <f>'дод 3 '!L24</f>
        <v>0</v>
      </c>
      <c r="L133" s="66">
        <f>'дод 3 '!M24</f>
        <v>0</v>
      </c>
      <c r="M133" s="66">
        <f>'дод 3 '!N24</f>
        <v>0</v>
      </c>
      <c r="N133" s="66">
        <f>'дод 3 '!O24</f>
        <v>350000</v>
      </c>
      <c r="O133" s="66">
        <f>'дод 3 '!P24</f>
        <v>3946500</v>
      </c>
      <c r="P133" s="284"/>
    </row>
    <row r="134" spans="1:16" s="28" customFormat="1" ht="42" customHeight="1" x14ac:dyDescent="0.25">
      <c r="A134" s="22" t="s">
        <v>106</v>
      </c>
      <c r="B134" s="22" t="s">
        <v>99</v>
      </c>
      <c r="C134" s="3" t="s">
        <v>335</v>
      </c>
      <c r="D134" s="66">
        <f>'дод 3 '!E25</f>
        <v>860000</v>
      </c>
      <c r="E134" s="66">
        <f>'дод 3 '!F25</f>
        <v>860000</v>
      </c>
      <c r="F134" s="66">
        <f>'дод 3 '!G25</f>
        <v>0</v>
      </c>
      <c r="G134" s="66">
        <f>'дод 3 '!H25</f>
        <v>0</v>
      </c>
      <c r="H134" s="66">
        <f>'дод 3 '!I25</f>
        <v>0</v>
      </c>
      <c r="I134" s="66">
        <f>'дод 3 '!J25</f>
        <v>0</v>
      </c>
      <c r="J134" s="66">
        <f>'дод 3 '!K25</f>
        <v>0</v>
      </c>
      <c r="K134" s="66">
        <f>'дод 3 '!L25</f>
        <v>0</v>
      </c>
      <c r="L134" s="66">
        <f>'дод 3 '!M25</f>
        <v>0</v>
      </c>
      <c r="M134" s="66">
        <f>'дод 3 '!N25</f>
        <v>0</v>
      </c>
      <c r="N134" s="66">
        <f>'дод 3 '!O25</f>
        <v>0</v>
      </c>
      <c r="O134" s="66">
        <f>'дод 3 '!P25</f>
        <v>860000</v>
      </c>
      <c r="P134" s="284"/>
    </row>
    <row r="135" spans="1:16" s="28" customFormat="1" ht="26.25" customHeight="1" x14ac:dyDescent="0.25">
      <c r="A135" s="22">
        <v>3133</v>
      </c>
      <c r="B135" s="22">
        <v>1040</v>
      </c>
      <c r="C135" s="3" t="s">
        <v>552</v>
      </c>
      <c r="D135" s="66">
        <f>'дод 3 '!E26</f>
        <v>5510100</v>
      </c>
      <c r="E135" s="66">
        <f>'дод 3 '!F26</f>
        <v>5510100</v>
      </c>
      <c r="F135" s="66">
        <f>'дод 3 '!G26</f>
        <v>3000900</v>
      </c>
      <c r="G135" s="66">
        <f>'дод 3 '!H26</f>
        <v>955000</v>
      </c>
      <c r="H135" s="66">
        <f>'дод 3 '!I26</f>
        <v>0</v>
      </c>
      <c r="I135" s="66">
        <f>'дод 3 '!J26</f>
        <v>10000</v>
      </c>
      <c r="J135" s="66">
        <f>'дод 3 '!K26</f>
        <v>0</v>
      </c>
      <c r="K135" s="66">
        <f>'дод 3 '!L26</f>
        <v>10000</v>
      </c>
      <c r="L135" s="66">
        <f>'дод 3 '!M26</f>
        <v>0</v>
      </c>
      <c r="M135" s="66">
        <f>'дод 3 '!N26</f>
        <v>3330</v>
      </c>
      <c r="N135" s="66">
        <f>'дод 3 '!O26</f>
        <v>0</v>
      </c>
      <c r="O135" s="66">
        <f>'дод 3 '!P26</f>
        <v>5520100</v>
      </c>
      <c r="P135" s="284"/>
    </row>
    <row r="136" spans="1:16" ht="69" hidden="1" customHeight="1" x14ac:dyDescent="0.25">
      <c r="A136" s="19" t="s">
        <v>107</v>
      </c>
      <c r="B136" s="19" t="s">
        <v>99</v>
      </c>
      <c r="C136" s="6" t="s">
        <v>20</v>
      </c>
      <c r="D136" s="66">
        <f>'дод 3 '!E27+'дод 3 '!E123+'дод 3 '!E211</f>
        <v>0</v>
      </c>
      <c r="E136" s="66">
        <f>'дод 3 '!F27+'дод 3 '!F123+'дод 3 '!F211</f>
        <v>0</v>
      </c>
      <c r="F136" s="66">
        <f>'дод 3 '!G27+'дод 3 '!G123+'дод 3 '!G211</f>
        <v>0</v>
      </c>
      <c r="G136" s="66">
        <f>'дод 3 '!H27+'дод 3 '!H123+'дод 3 '!H211</f>
        <v>0</v>
      </c>
      <c r="H136" s="66">
        <f>'дод 3 '!I27+'дод 3 '!I123+'дод 3 '!I211</f>
        <v>0</v>
      </c>
      <c r="I136" s="66">
        <f>'дод 3 '!J27+'дод 3 '!J123+'дод 3 '!J211</f>
        <v>0</v>
      </c>
      <c r="J136" s="66">
        <f>'дод 3 '!K27+'дод 3 '!K123+'дод 3 '!K211</f>
        <v>0</v>
      </c>
      <c r="K136" s="66">
        <f>'дод 3 '!L27+'дод 3 '!L123+'дод 3 '!L211</f>
        <v>0</v>
      </c>
      <c r="L136" s="66">
        <f>'дод 3 '!M27+'дод 3 '!M123+'дод 3 '!M211</f>
        <v>0</v>
      </c>
      <c r="M136" s="66">
        <f>'дод 3 '!N27+'дод 3 '!N123+'дод 3 '!N211</f>
        <v>0</v>
      </c>
      <c r="N136" s="66">
        <f>'дод 3 '!O27+'дод 3 '!O123+'дод 3 '!O211</f>
        <v>0</v>
      </c>
      <c r="O136" s="66">
        <f>'дод 3 '!P27+'дод 3 '!P123+'дод 3 '!P211</f>
        <v>0</v>
      </c>
      <c r="P136" s="284"/>
    </row>
    <row r="137" spans="1:16" ht="63" x14ac:dyDescent="0.25">
      <c r="A137" s="19" t="s">
        <v>108</v>
      </c>
      <c r="B137" s="19">
        <v>1010</v>
      </c>
      <c r="C137" s="3" t="s">
        <v>281</v>
      </c>
      <c r="D137" s="66">
        <f>'дод 3 '!E212</f>
        <v>14132600</v>
      </c>
      <c r="E137" s="66">
        <f>'дод 3 '!F212</f>
        <v>14132600</v>
      </c>
      <c r="F137" s="66">
        <f>'дод 3 '!G212</f>
        <v>0</v>
      </c>
      <c r="G137" s="66">
        <f>'дод 3 '!H212</f>
        <v>0</v>
      </c>
      <c r="H137" s="66">
        <f>'дод 3 '!I212</f>
        <v>0</v>
      </c>
      <c r="I137" s="66">
        <f>'дод 3 '!J212</f>
        <v>0</v>
      </c>
      <c r="J137" s="66">
        <f>'дод 3 '!K212</f>
        <v>0</v>
      </c>
      <c r="K137" s="66">
        <f>'дод 3 '!L212</f>
        <v>0</v>
      </c>
      <c r="L137" s="66">
        <f>'дод 3 '!M212</f>
        <v>0</v>
      </c>
      <c r="M137" s="66">
        <f>'дод 3 '!N212</f>
        <v>0</v>
      </c>
      <c r="N137" s="66">
        <f>'дод 3 '!O212</f>
        <v>0</v>
      </c>
      <c r="O137" s="66">
        <f>'дод 3 '!P212</f>
        <v>14132600</v>
      </c>
      <c r="P137" s="284"/>
    </row>
    <row r="138" spans="1:16" s="28" customFormat="1" ht="63" customHeight="1" x14ac:dyDescent="0.25">
      <c r="A138" s="19" t="s">
        <v>311</v>
      </c>
      <c r="B138" s="19">
        <v>1010</v>
      </c>
      <c r="C138" s="3" t="s">
        <v>397</v>
      </c>
      <c r="D138" s="66">
        <f>'дод 3 '!E213</f>
        <v>194543</v>
      </c>
      <c r="E138" s="66">
        <f>'дод 3 '!F213</f>
        <v>194543</v>
      </c>
      <c r="F138" s="66">
        <f>'дод 3 '!G213</f>
        <v>0</v>
      </c>
      <c r="G138" s="66">
        <f>'дод 3 '!H213</f>
        <v>0</v>
      </c>
      <c r="H138" s="66">
        <f>'дод 3 '!I213</f>
        <v>0</v>
      </c>
      <c r="I138" s="66">
        <f>'дод 3 '!J213</f>
        <v>0</v>
      </c>
      <c r="J138" s="66">
        <f>'дод 3 '!K213</f>
        <v>0</v>
      </c>
      <c r="K138" s="66">
        <f>'дод 3 '!L213</f>
        <v>0</v>
      </c>
      <c r="L138" s="66">
        <f>'дод 3 '!M213</f>
        <v>0</v>
      </c>
      <c r="M138" s="66">
        <f>'дод 3 '!N213</f>
        <v>0</v>
      </c>
      <c r="N138" s="66">
        <f>'дод 3 '!O213</f>
        <v>0</v>
      </c>
      <c r="O138" s="66">
        <f>'дод 3 '!P213</f>
        <v>194543</v>
      </c>
      <c r="P138" s="284"/>
    </row>
    <row r="139" spans="1:16" s="28" customFormat="1" ht="15.75" customHeight="1" x14ac:dyDescent="0.25">
      <c r="A139" s="38"/>
      <c r="B139" s="38"/>
      <c r="C139" s="39" t="s">
        <v>388</v>
      </c>
      <c r="D139" s="67">
        <f>'дод 3 '!E214</f>
        <v>194543</v>
      </c>
      <c r="E139" s="67">
        <f>'дод 3 '!F214</f>
        <v>194543</v>
      </c>
      <c r="F139" s="67">
        <f>'дод 3 '!G214</f>
        <v>0</v>
      </c>
      <c r="G139" s="67">
        <f>'дод 3 '!H214</f>
        <v>0</v>
      </c>
      <c r="H139" s="67">
        <f>'дод 3 '!I214</f>
        <v>0</v>
      </c>
      <c r="I139" s="67">
        <f>'дод 3 '!J214</f>
        <v>0</v>
      </c>
      <c r="J139" s="67">
        <f>'дод 3 '!K214</f>
        <v>0</v>
      </c>
      <c r="K139" s="67">
        <f>'дод 3 '!L214</f>
        <v>0</v>
      </c>
      <c r="L139" s="67">
        <f>'дод 3 '!M214</f>
        <v>0</v>
      </c>
      <c r="M139" s="67">
        <f>'дод 3 '!N214</f>
        <v>0</v>
      </c>
      <c r="N139" s="67">
        <f>'дод 3 '!O214</f>
        <v>0</v>
      </c>
      <c r="O139" s="67">
        <f>'дод 3 '!P214</f>
        <v>194543</v>
      </c>
      <c r="P139" s="284"/>
    </row>
    <row r="140" spans="1:16" s="28" customFormat="1" ht="36" hidden="1" customHeight="1" x14ac:dyDescent="0.25">
      <c r="A140" s="19" t="s">
        <v>312</v>
      </c>
      <c r="B140" s="19">
        <v>1010</v>
      </c>
      <c r="C140" s="3" t="s">
        <v>398</v>
      </c>
      <c r="D140" s="66">
        <f>'дод 3 '!E215</f>
        <v>0</v>
      </c>
      <c r="E140" s="66">
        <f>'дод 3 '!F215</f>
        <v>0</v>
      </c>
      <c r="F140" s="66">
        <f>'дод 3 '!G215</f>
        <v>0</v>
      </c>
      <c r="G140" s="66">
        <f>'дод 3 '!H215</f>
        <v>0</v>
      </c>
      <c r="H140" s="66">
        <f>'дод 3 '!I215</f>
        <v>0</v>
      </c>
      <c r="I140" s="66">
        <f>'дод 3 '!J215</f>
        <v>0</v>
      </c>
      <c r="J140" s="66">
        <f>'дод 3 '!K215</f>
        <v>0</v>
      </c>
      <c r="K140" s="66">
        <f>'дод 3 '!L215</f>
        <v>0</v>
      </c>
      <c r="L140" s="66">
        <f>'дод 3 '!M215</f>
        <v>0</v>
      </c>
      <c r="M140" s="66">
        <f>'дод 3 '!N215</f>
        <v>0</v>
      </c>
      <c r="N140" s="66">
        <f>'дод 3 '!O215</f>
        <v>0</v>
      </c>
      <c r="O140" s="66">
        <f>'дод 3 '!P215</f>
        <v>0</v>
      </c>
      <c r="P140" s="284"/>
    </row>
    <row r="141" spans="1:16" s="28" customFormat="1" ht="15.75" hidden="1" customHeight="1" x14ac:dyDescent="0.25">
      <c r="A141" s="38"/>
      <c r="B141" s="38"/>
      <c r="C141" s="39" t="s">
        <v>388</v>
      </c>
      <c r="D141" s="67">
        <f>'дод 3 '!E216</f>
        <v>0</v>
      </c>
      <c r="E141" s="67">
        <f>'дод 3 '!F216</f>
        <v>0</v>
      </c>
      <c r="F141" s="67">
        <f>'дод 3 '!G216</f>
        <v>0</v>
      </c>
      <c r="G141" s="67">
        <f>'дод 3 '!H216</f>
        <v>0</v>
      </c>
      <c r="H141" s="67">
        <f>'дод 3 '!I216</f>
        <v>0</v>
      </c>
      <c r="I141" s="67">
        <f>'дод 3 '!J216</f>
        <v>0</v>
      </c>
      <c r="J141" s="67">
        <f>'дод 3 '!K216</f>
        <v>0</v>
      </c>
      <c r="K141" s="67">
        <f>'дод 3 '!L216</f>
        <v>0</v>
      </c>
      <c r="L141" s="67">
        <f>'дод 3 '!M216</f>
        <v>0</v>
      </c>
      <c r="M141" s="67">
        <f>'дод 3 '!N216</f>
        <v>0</v>
      </c>
      <c r="N141" s="67">
        <f>'дод 3 '!O216</f>
        <v>0</v>
      </c>
      <c r="O141" s="67">
        <f>'дод 3 '!P216</f>
        <v>0</v>
      </c>
      <c r="P141" s="284"/>
    </row>
    <row r="142" spans="1:16" ht="72.75" hidden="1" customHeight="1" x14ac:dyDescent="0.25">
      <c r="A142" s="19" t="s">
        <v>103</v>
      </c>
      <c r="B142" s="19" t="s">
        <v>52</v>
      </c>
      <c r="C142" s="3" t="s">
        <v>336</v>
      </c>
      <c r="D142" s="66">
        <f>'дод 3 '!E217</f>
        <v>0</v>
      </c>
      <c r="E142" s="66">
        <f>'дод 3 '!F217</f>
        <v>0</v>
      </c>
      <c r="F142" s="66">
        <f>'дод 3 '!G217</f>
        <v>0</v>
      </c>
      <c r="G142" s="66">
        <f>'дод 3 '!H217</f>
        <v>0</v>
      </c>
      <c r="H142" s="66">
        <f>'дод 3 '!I217</f>
        <v>0</v>
      </c>
      <c r="I142" s="66">
        <f>'дод 3 '!J217</f>
        <v>0</v>
      </c>
      <c r="J142" s="66">
        <f>'дод 3 '!K217</f>
        <v>0</v>
      </c>
      <c r="K142" s="66">
        <f>'дод 3 '!L217</f>
        <v>0</v>
      </c>
      <c r="L142" s="66">
        <f>'дод 3 '!M217</f>
        <v>0</v>
      </c>
      <c r="M142" s="66">
        <f>'дод 3 '!N217</f>
        <v>0</v>
      </c>
      <c r="N142" s="66">
        <f>'дод 3 '!O217</f>
        <v>0</v>
      </c>
      <c r="O142" s="66">
        <f>'дод 3 '!P217</f>
        <v>0</v>
      </c>
      <c r="P142" s="284"/>
    </row>
    <row r="143" spans="1:16" s="28" customFormat="1" ht="34.5" customHeight="1" x14ac:dyDescent="0.25">
      <c r="A143" s="19" t="s">
        <v>282</v>
      </c>
      <c r="B143" s="19" t="s">
        <v>51</v>
      </c>
      <c r="C143" s="3" t="s">
        <v>18</v>
      </c>
      <c r="D143" s="66">
        <f>'дод 3 '!E218</f>
        <v>3627399</v>
      </c>
      <c r="E143" s="66">
        <f>'дод 3 '!F218</f>
        <v>3627399</v>
      </c>
      <c r="F143" s="66">
        <f>'дод 3 '!G218</f>
        <v>0</v>
      </c>
      <c r="G143" s="66">
        <f>'дод 3 '!H218</f>
        <v>0</v>
      </c>
      <c r="H143" s="66">
        <f>'дод 3 '!I218</f>
        <v>0</v>
      </c>
      <c r="I143" s="66">
        <f>'дод 3 '!J218</f>
        <v>0</v>
      </c>
      <c r="J143" s="66">
        <f>'дод 3 '!K218</f>
        <v>0</v>
      </c>
      <c r="K143" s="66">
        <f>'дод 3 '!L218</f>
        <v>0</v>
      </c>
      <c r="L143" s="66">
        <f>'дод 3 '!M218</f>
        <v>0</v>
      </c>
      <c r="M143" s="66">
        <f>'дод 3 '!N218</f>
        <v>0</v>
      </c>
      <c r="N143" s="66">
        <f>'дод 3 '!O218</f>
        <v>0</v>
      </c>
      <c r="O143" s="66">
        <f>'дод 3 '!P218</f>
        <v>3627399</v>
      </c>
      <c r="P143" s="284"/>
    </row>
    <row r="144" spans="1:16" s="28" customFormat="1" ht="59.25" customHeight="1" x14ac:dyDescent="0.25">
      <c r="A144" s="19" t="s">
        <v>283</v>
      </c>
      <c r="B144" s="19" t="s">
        <v>51</v>
      </c>
      <c r="C144" s="31" t="s">
        <v>479</v>
      </c>
      <c r="D144" s="66">
        <f>'дод 3 '!E219</f>
        <v>1978130</v>
      </c>
      <c r="E144" s="66">
        <f>'дод 3 '!F219</f>
        <v>1978130</v>
      </c>
      <c r="F144" s="66">
        <f>'дод 3 '!G219</f>
        <v>0</v>
      </c>
      <c r="G144" s="66">
        <f>'дод 3 '!H219</f>
        <v>0</v>
      </c>
      <c r="H144" s="66">
        <f>'дод 3 '!I219</f>
        <v>0</v>
      </c>
      <c r="I144" s="66">
        <f>'дод 3 '!J219</f>
        <v>0</v>
      </c>
      <c r="J144" s="66">
        <f>'дод 3 '!K219</f>
        <v>0</v>
      </c>
      <c r="K144" s="66">
        <f>'дод 3 '!L219</f>
        <v>0</v>
      </c>
      <c r="L144" s="66">
        <f>'дод 3 '!M219</f>
        <v>0</v>
      </c>
      <c r="M144" s="66">
        <f>'дод 3 '!N219</f>
        <v>0</v>
      </c>
      <c r="N144" s="66">
        <f>'дод 3 '!O219</f>
        <v>0</v>
      </c>
      <c r="O144" s="66">
        <f>'дод 3 '!P219</f>
        <v>1978130</v>
      </c>
      <c r="P144" s="284"/>
    </row>
    <row r="145" spans="1:16" ht="36.75" customHeight="1" x14ac:dyDescent="0.25">
      <c r="A145" s="19" t="s">
        <v>104</v>
      </c>
      <c r="B145" s="19" t="s">
        <v>55</v>
      </c>
      <c r="C145" s="3" t="s">
        <v>337</v>
      </c>
      <c r="D145" s="66">
        <f>'дод 3 '!E220</f>
        <v>101900</v>
      </c>
      <c r="E145" s="66">
        <f>'дод 3 '!F220</f>
        <v>101900</v>
      </c>
      <c r="F145" s="66">
        <f>'дод 3 '!G220</f>
        <v>0</v>
      </c>
      <c r="G145" s="66">
        <f>'дод 3 '!H220</f>
        <v>0</v>
      </c>
      <c r="H145" s="66">
        <f>'дод 3 '!I220</f>
        <v>0</v>
      </c>
      <c r="I145" s="66">
        <f>'дод 3 '!J220</f>
        <v>0</v>
      </c>
      <c r="J145" s="66">
        <f>'дод 3 '!K220</f>
        <v>0</v>
      </c>
      <c r="K145" s="66">
        <f>'дод 3 '!L220</f>
        <v>0</v>
      </c>
      <c r="L145" s="66">
        <f>'дод 3 '!M220</f>
        <v>0</v>
      </c>
      <c r="M145" s="66">
        <f>'дод 3 '!N220</f>
        <v>0</v>
      </c>
      <c r="N145" s="66">
        <f>'дод 3 '!O220</f>
        <v>0</v>
      </c>
      <c r="O145" s="66">
        <f>'дод 3 '!P220</f>
        <v>101900</v>
      </c>
      <c r="P145" s="284"/>
    </row>
    <row r="146" spans="1:16" ht="20.25" hidden="1" customHeight="1" x14ac:dyDescent="0.25">
      <c r="A146" s="19" t="s">
        <v>284</v>
      </c>
      <c r="B146" s="19" t="s">
        <v>105</v>
      </c>
      <c r="C146" s="3" t="s">
        <v>36</v>
      </c>
      <c r="D146" s="66">
        <f>'дод 3 '!E221+'дод 3 '!E269</f>
        <v>0</v>
      </c>
      <c r="E146" s="66">
        <f>'дод 3 '!F221+'дод 3 '!F269</f>
        <v>0</v>
      </c>
      <c r="F146" s="66">
        <f>'дод 3 '!G221+'дод 3 '!G269</f>
        <v>0</v>
      </c>
      <c r="G146" s="66">
        <f>'дод 3 '!H221+'дод 3 '!H269</f>
        <v>0</v>
      </c>
      <c r="H146" s="66">
        <f>'дод 3 '!I221+'дод 3 '!I269</f>
        <v>0</v>
      </c>
      <c r="I146" s="66">
        <f>'дод 3 '!J221+'дод 3 '!J269</f>
        <v>0</v>
      </c>
      <c r="J146" s="66">
        <f>'дод 3 '!K221+'дод 3 '!K269</f>
        <v>0</v>
      </c>
      <c r="K146" s="66">
        <f>'дод 3 '!L221+'дод 3 '!L269</f>
        <v>0</v>
      </c>
      <c r="L146" s="66">
        <f>'дод 3 '!M221+'дод 3 '!M269</f>
        <v>0</v>
      </c>
      <c r="M146" s="66">
        <f>'дод 3 '!N221+'дод 3 '!N269</f>
        <v>0</v>
      </c>
      <c r="N146" s="66">
        <f>'дод 3 '!O221+'дод 3 '!O269</f>
        <v>0</v>
      </c>
      <c r="O146" s="66">
        <f>'дод 3 '!P221+'дод 3 '!P269</f>
        <v>0</v>
      </c>
      <c r="P146" s="284"/>
    </row>
    <row r="147" spans="1:16" ht="245.25" customHeight="1" x14ac:dyDescent="0.25">
      <c r="A147" s="19">
        <v>3221</v>
      </c>
      <c r="B147" s="29" t="s">
        <v>52</v>
      </c>
      <c r="C147" s="18" t="s">
        <v>710</v>
      </c>
      <c r="D147" s="66">
        <f>'дод 3 '!E222</f>
        <v>0</v>
      </c>
      <c r="E147" s="66">
        <f>'дод 3 '!F222</f>
        <v>0</v>
      </c>
      <c r="F147" s="205">
        <f>'дод 3 '!G222</f>
        <v>0</v>
      </c>
      <c r="G147" s="205">
        <f>'дод 3 '!H222</f>
        <v>0</v>
      </c>
      <c r="H147" s="205">
        <f>'дод 3 '!I222</f>
        <v>0</v>
      </c>
      <c r="I147" s="205">
        <f>'дод 3 '!J222</f>
        <v>11655220.930000002</v>
      </c>
      <c r="J147" s="205">
        <f>'дод 3 '!K222</f>
        <v>11655220.930000002</v>
      </c>
      <c r="K147" s="205">
        <f>'дод 3 '!L222</f>
        <v>0</v>
      </c>
      <c r="L147" s="205">
        <f>'дод 3 '!M222</f>
        <v>0</v>
      </c>
      <c r="M147" s="205">
        <f>'дод 3 '!N222</f>
        <v>0</v>
      </c>
      <c r="N147" s="205">
        <f>'дод 3 '!O222</f>
        <v>11655220.930000002</v>
      </c>
      <c r="O147" s="205">
        <f>'дод 3 '!P222</f>
        <v>11655220.930000002</v>
      </c>
      <c r="P147" s="284"/>
    </row>
    <row r="148" spans="1:16" s="28" customFormat="1" ht="252" customHeight="1" x14ac:dyDescent="0.25">
      <c r="A148" s="38"/>
      <c r="B148" s="48"/>
      <c r="C148" s="46" t="s">
        <v>715</v>
      </c>
      <c r="D148" s="67">
        <f>'дод 3 '!E223</f>
        <v>0</v>
      </c>
      <c r="E148" s="67">
        <f>'дод 3 '!F223</f>
        <v>0</v>
      </c>
      <c r="F148" s="206">
        <f>'дод 3 '!G223</f>
        <v>0</v>
      </c>
      <c r="G148" s="206">
        <f>'дод 3 '!H223</f>
        <v>0</v>
      </c>
      <c r="H148" s="206">
        <f>'дод 3 '!I223</f>
        <v>0</v>
      </c>
      <c r="I148" s="206">
        <f>'дод 3 '!J223</f>
        <v>11655220.930000002</v>
      </c>
      <c r="J148" s="206">
        <f>'дод 3 '!K223</f>
        <v>11655220.930000002</v>
      </c>
      <c r="K148" s="206">
        <f>'дод 3 '!L223</f>
        <v>0</v>
      </c>
      <c r="L148" s="206">
        <f>'дод 3 '!M223</f>
        <v>0</v>
      </c>
      <c r="M148" s="206">
        <f>'дод 3 '!N223</f>
        <v>0</v>
      </c>
      <c r="N148" s="206">
        <f>'дод 3 '!O223</f>
        <v>11655220.930000002</v>
      </c>
      <c r="O148" s="206">
        <f>'дод 3 '!P223</f>
        <v>11655220.930000002</v>
      </c>
      <c r="P148" s="284"/>
    </row>
    <row r="149" spans="1:16" s="28" customFormat="1" ht="235.5" customHeight="1" x14ac:dyDescent="0.25">
      <c r="A149" s="24">
        <v>3222</v>
      </c>
      <c r="B149" s="53" t="s">
        <v>52</v>
      </c>
      <c r="C149" s="18" t="s">
        <v>711</v>
      </c>
      <c r="D149" s="66">
        <f>'дод 3 '!E224</f>
        <v>0</v>
      </c>
      <c r="E149" s="66">
        <f>'дод 3 '!F224</f>
        <v>0</v>
      </c>
      <c r="F149" s="66">
        <f>'дод 3 '!G224</f>
        <v>0</v>
      </c>
      <c r="G149" s="66">
        <f>'дод 3 '!H224</f>
        <v>0</v>
      </c>
      <c r="H149" s="66">
        <f>'дод 3 '!I224</f>
        <v>0</v>
      </c>
      <c r="I149" s="205">
        <f>'дод 3 '!J224</f>
        <v>14037705.65</v>
      </c>
      <c r="J149" s="205">
        <f>'дод 3 '!K224</f>
        <v>14037705.65</v>
      </c>
      <c r="K149" s="205">
        <f>'дод 3 '!L224</f>
        <v>0</v>
      </c>
      <c r="L149" s="205">
        <f>'дод 3 '!M224</f>
        <v>0</v>
      </c>
      <c r="M149" s="205">
        <f>'дод 3 '!N224</f>
        <v>0</v>
      </c>
      <c r="N149" s="205">
        <f>'дод 3 '!O224</f>
        <v>14037705.65</v>
      </c>
      <c r="O149" s="205">
        <f>'дод 3 '!P224</f>
        <v>14037705.65</v>
      </c>
      <c r="P149" s="284"/>
    </row>
    <row r="150" spans="1:16" s="28" customFormat="1" ht="259.5" customHeight="1" x14ac:dyDescent="0.25">
      <c r="A150" s="38"/>
      <c r="B150" s="48"/>
      <c r="C150" s="46" t="s">
        <v>717</v>
      </c>
      <c r="D150" s="67">
        <f>'дод 3 '!E225</f>
        <v>0</v>
      </c>
      <c r="E150" s="67">
        <f>'дод 3 '!F225</f>
        <v>0</v>
      </c>
      <c r="F150" s="67">
        <f>'дод 3 '!G225</f>
        <v>0</v>
      </c>
      <c r="G150" s="67">
        <f>'дод 3 '!H225</f>
        <v>0</v>
      </c>
      <c r="H150" s="67">
        <f>'дод 3 '!I225</f>
        <v>0</v>
      </c>
      <c r="I150" s="206">
        <f>'дод 3 '!J225</f>
        <v>14037705.65</v>
      </c>
      <c r="J150" s="206">
        <f>'дод 3 '!K225</f>
        <v>14037705.65</v>
      </c>
      <c r="K150" s="206">
        <f>'дод 3 '!L225</f>
        <v>0</v>
      </c>
      <c r="L150" s="206">
        <f>'дод 3 '!M225</f>
        <v>0</v>
      </c>
      <c r="M150" s="206">
        <f>'дод 3 '!N225</f>
        <v>0</v>
      </c>
      <c r="N150" s="206">
        <f>'дод 3 '!O225</f>
        <v>14037705.65</v>
      </c>
      <c r="O150" s="206">
        <f>'дод 3 '!P225</f>
        <v>14037705.65</v>
      </c>
      <c r="P150" s="284"/>
    </row>
    <row r="151" spans="1:16" ht="164.25" customHeight="1" x14ac:dyDescent="0.25">
      <c r="A151" s="19">
        <v>3223</v>
      </c>
      <c r="B151" s="29" t="s">
        <v>52</v>
      </c>
      <c r="C151" s="18" t="s">
        <v>712</v>
      </c>
      <c r="D151" s="66">
        <f>'дод 3 '!E226</f>
        <v>0</v>
      </c>
      <c r="E151" s="66">
        <f>'дод 3 '!F226</f>
        <v>0</v>
      </c>
      <c r="F151" s="66">
        <f>'дод 3 '!G226</f>
        <v>0</v>
      </c>
      <c r="G151" s="66">
        <f>'дод 3 '!H226</f>
        <v>0</v>
      </c>
      <c r="H151" s="66">
        <f>'дод 3 '!I226</f>
        <v>0</v>
      </c>
      <c r="I151" s="66">
        <f>'дод 3 '!J226</f>
        <v>8627297.209999999</v>
      </c>
      <c r="J151" s="66">
        <f>'дод 3 '!K226</f>
        <v>8627297.209999999</v>
      </c>
      <c r="K151" s="66">
        <f>'дод 3 '!L226</f>
        <v>0</v>
      </c>
      <c r="L151" s="66">
        <f>'дод 3 '!M226</f>
        <v>0</v>
      </c>
      <c r="M151" s="66">
        <f>'дод 3 '!N226</f>
        <v>0</v>
      </c>
      <c r="N151" s="66">
        <f>'дод 3 '!O226</f>
        <v>8627297.209999999</v>
      </c>
      <c r="O151" s="66">
        <f>'дод 3 '!P226</f>
        <v>8627297.209999999</v>
      </c>
      <c r="P151" s="284"/>
    </row>
    <row r="152" spans="1:16" s="28" customFormat="1" ht="181.5" customHeight="1" x14ac:dyDescent="0.25">
      <c r="A152" s="38"/>
      <c r="B152" s="48"/>
      <c r="C152" s="46" t="s">
        <v>716</v>
      </c>
      <c r="D152" s="67">
        <f>'дод 3 '!E227</f>
        <v>0</v>
      </c>
      <c r="E152" s="67">
        <f>'дод 3 '!F227</f>
        <v>0</v>
      </c>
      <c r="F152" s="67">
        <f>'дод 3 '!G227</f>
        <v>0</v>
      </c>
      <c r="G152" s="67">
        <f>'дод 3 '!H227</f>
        <v>0</v>
      </c>
      <c r="H152" s="67">
        <f>'дод 3 '!I227</f>
        <v>0</v>
      </c>
      <c r="I152" s="67">
        <f>'дод 3 '!J227</f>
        <v>8627297.209999999</v>
      </c>
      <c r="J152" s="67">
        <f>'дод 3 '!K227</f>
        <v>8627297.209999999</v>
      </c>
      <c r="K152" s="67">
        <f>'дод 3 '!L227</f>
        <v>0</v>
      </c>
      <c r="L152" s="67">
        <f>'дод 3 '!M227</f>
        <v>0</v>
      </c>
      <c r="M152" s="67">
        <f>'дод 3 '!N227</f>
        <v>0</v>
      </c>
      <c r="N152" s="67">
        <f>'дод 3 '!O227</f>
        <v>8627297.209999999</v>
      </c>
      <c r="O152" s="67">
        <f>'дод 3 '!P227</f>
        <v>8627297.209999999</v>
      </c>
      <c r="P152" s="284"/>
    </row>
    <row r="153" spans="1:16" s="28" customFormat="1" ht="32.25" customHeight="1" x14ac:dyDescent="0.25">
      <c r="A153" s="19" t="s">
        <v>285</v>
      </c>
      <c r="B153" s="19" t="s">
        <v>55</v>
      </c>
      <c r="C153" s="3" t="s">
        <v>287</v>
      </c>
      <c r="D153" s="66">
        <f>'дод 3 '!E228+'дод 3 '!E28</f>
        <v>6646800</v>
      </c>
      <c r="E153" s="66">
        <f>'дод 3 '!F228+'дод 3 '!F28</f>
        <v>6646800</v>
      </c>
      <c r="F153" s="66">
        <f>'дод 3 '!G228+'дод 3 '!G28</f>
        <v>3504500</v>
      </c>
      <c r="G153" s="66">
        <f>'дод 3 '!H228+'дод 3 '!H28</f>
        <v>589100</v>
      </c>
      <c r="H153" s="66">
        <f>'дод 3 '!I228+'дод 3 '!I28</f>
        <v>0</v>
      </c>
      <c r="I153" s="66">
        <f>'дод 3 '!J228+'дод 3 '!J28</f>
        <v>0</v>
      </c>
      <c r="J153" s="66">
        <f>'дод 3 '!K228+'дод 3 '!K28</f>
        <v>0</v>
      </c>
      <c r="K153" s="66">
        <f>'дод 3 '!L228+'дод 3 '!L28</f>
        <v>0</v>
      </c>
      <c r="L153" s="66">
        <f>'дод 3 '!M228+'дод 3 '!M28</f>
        <v>0</v>
      </c>
      <c r="M153" s="66">
        <f>'дод 3 '!N228+'дод 3 '!N28</f>
        <v>0</v>
      </c>
      <c r="N153" s="66">
        <f>'дод 3 '!O228+'дод 3 '!O28</f>
        <v>0</v>
      </c>
      <c r="O153" s="66">
        <f>'дод 3 '!P228+'дод 3 '!P28</f>
        <v>6646800</v>
      </c>
      <c r="P153" s="284"/>
    </row>
    <row r="154" spans="1:16" s="28" customFormat="1" ht="31.5" customHeight="1" x14ac:dyDescent="0.25">
      <c r="A154" s="19" t="s">
        <v>286</v>
      </c>
      <c r="B154" s="19" t="s">
        <v>55</v>
      </c>
      <c r="C154" s="3" t="s">
        <v>658</v>
      </c>
      <c r="D154" s="66">
        <f>'дод 3 '!E29+'дод 3 '!E130+'дод 3 '!E229+'дод 3 '!E242</f>
        <v>281052215</v>
      </c>
      <c r="E154" s="66">
        <f>'дод 3 '!F29+'дод 3 '!F130+'дод 3 '!F229+'дод 3 '!F242</f>
        <v>281052215</v>
      </c>
      <c r="F154" s="66">
        <f>'дод 3 '!G29+'дод 3 '!G130+'дод 3 '!G229+'дод 3 '!G242</f>
        <v>0</v>
      </c>
      <c r="G154" s="66">
        <f>'дод 3 '!H29+'дод 3 '!H130+'дод 3 '!H229+'дод 3 '!H242</f>
        <v>0</v>
      </c>
      <c r="H154" s="66">
        <f>'дод 3 '!I29+'дод 3 '!I130+'дод 3 '!I229+'дод 3 '!I242</f>
        <v>0</v>
      </c>
      <c r="I154" s="66">
        <f>'дод 3 '!J29+'дод 3 '!J130+'дод 3 '!J229+'дод 3 '!J242</f>
        <v>0</v>
      </c>
      <c r="J154" s="66">
        <f>'дод 3 '!K29+'дод 3 '!K130+'дод 3 '!K229+'дод 3 '!K242</f>
        <v>0</v>
      </c>
      <c r="K154" s="66">
        <f>'дод 3 '!L29+'дод 3 '!L130+'дод 3 '!L229+'дод 3 '!L242</f>
        <v>0</v>
      </c>
      <c r="L154" s="66">
        <f>'дод 3 '!M29+'дод 3 '!M130+'дод 3 '!M229+'дод 3 '!M242</f>
        <v>0</v>
      </c>
      <c r="M154" s="66">
        <f>'дод 3 '!N29+'дод 3 '!N130+'дод 3 '!N229+'дод 3 '!N242</f>
        <v>0</v>
      </c>
      <c r="N154" s="66">
        <f>'дод 3 '!O29+'дод 3 '!O130+'дод 3 '!O229+'дод 3 '!O242</f>
        <v>0</v>
      </c>
      <c r="O154" s="66">
        <f>'дод 3 '!P29+'дод 3 '!P130+'дод 3 '!P229+'дод 3 '!P242</f>
        <v>281052215</v>
      </c>
      <c r="P154" s="284"/>
    </row>
    <row r="155" spans="1:16" s="28" customFormat="1" x14ac:dyDescent="0.25">
      <c r="A155" s="38"/>
      <c r="B155" s="38"/>
      <c r="C155" s="39" t="s">
        <v>388</v>
      </c>
      <c r="D155" s="67">
        <f>'дод 3 '!E230</f>
        <v>237600</v>
      </c>
      <c r="E155" s="67">
        <f>'дод 3 '!F230</f>
        <v>237600</v>
      </c>
      <c r="F155" s="67">
        <f>'дод 3 '!G230</f>
        <v>0</v>
      </c>
      <c r="G155" s="67">
        <f>'дод 3 '!H230</f>
        <v>0</v>
      </c>
      <c r="H155" s="67">
        <f>'дод 3 '!I230</f>
        <v>0</v>
      </c>
      <c r="I155" s="67">
        <f>'дод 3 '!J230</f>
        <v>0</v>
      </c>
      <c r="J155" s="67">
        <f>'дод 3 '!K230</f>
        <v>0</v>
      </c>
      <c r="K155" s="67">
        <f>'дод 3 '!L230</f>
        <v>0</v>
      </c>
      <c r="L155" s="67">
        <f>'дод 3 '!M230</f>
        <v>0</v>
      </c>
      <c r="M155" s="67">
        <f>'дод 3 '!N230</f>
        <v>0</v>
      </c>
      <c r="N155" s="67">
        <f>'дод 3 '!O230</f>
        <v>0</v>
      </c>
      <c r="O155" s="67">
        <f>'дод 3 '!P230</f>
        <v>237600</v>
      </c>
      <c r="P155" s="284"/>
    </row>
    <row r="156" spans="1:16" s="26" customFormat="1" ht="19.5" customHeight="1" x14ac:dyDescent="0.25">
      <c r="A156" s="20" t="s">
        <v>70</v>
      </c>
      <c r="B156" s="23"/>
      <c r="C156" s="2" t="s">
        <v>71</v>
      </c>
      <c r="D156" s="25">
        <f t="shared" ref="D156:O156" si="26">D157+D158+D159+D160</f>
        <v>35113298</v>
      </c>
      <c r="E156" s="25">
        <f t="shared" si="26"/>
        <v>35113298</v>
      </c>
      <c r="F156" s="25">
        <f t="shared" si="26"/>
        <v>24019300</v>
      </c>
      <c r="G156" s="25">
        <f t="shared" si="26"/>
        <v>2979150</v>
      </c>
      <c r="H156" s="25">
        <f t="shared" si="26"/>
        <v>0</v>
      </c>
      <c r="I156" s="25">
        <f t="shared" si="26"/>
        <v>954020</v>
      </c>
      <c r="J156" s="25">
        <f t="shared" si="26"/>
        <v>932700</v>
      </c>
      <c r="K156" s="25">
        <f t="shared" si="26"/>
        <v>21320</v>
      </c>
      <c r="L156" s="25">
        <f t="shared" si="26"/>
        <v>7380</v>
      </c>
      <c r="M156" s="25">
        <f t="shared" si="26"/>
        <v>5490</v>
      </c>
      <c r="N156" s="25">
        <f t="shared" si="26"/>
        <v>932700</v>
      </c>
      <c r="O156" s="25">
        <f t="shared" si="26"/>
        <v>36067318</v>
      </c>
      <c r="P156" s="284"/>
    </row>
    <row r="157" spans="1:16" ht="22.5" customHeight="1" x14ac:dyDescent="0.25">
      <c r="A157" s="19" t="s">
        <v>72</v>
      </c>
      <c r="B157" s="19" t="s">
        <v>73</v>
      </c>
      <c r="C157" s="3" t="s">
        <v>15</v>
      </c>
      <c r="D157" s="66">
        <f>'дод 3 '!E249</f>
        <v>24692448</v>
      </c>
      <c r="E157" s="66">
        <f>'дод 3 '!F249</f>
        <v>24692448</v>
      </c>
      <c r="F157" s="66">
        <f>'дод 3 '!G249</f>
        <v>17520000</v>
      </c>
      <c r="G157" s="66">
        <f>'дод 3 '!H249</f>
        <v>2427100</v>
      </c>
      <c r="H157" s="66">
        <f>'дод 3 '!I249</f>
        <v>0</v>
      </c>
      <c r="I157" s="66">
        <f>'дод 3 '!J249</f>
        <v>347700</v>
      </c>
      <c r="J157" s="66">
        <f>'дод 3 '!K249</f>
        <v>332700</v>
      </c>
      <c r="K157" s="66">
        <f>'дод 3 '!L249</f>
        <v>15000</v>
      </c>
      <c r="L157" s="66">
        <f>'дод 3 '!M249</f>
        <v>7380</v>
      </c>
      <c r="M157" s="66">
        <f>'дод 3 '!N249</f>
        <v>0</v>
      </c>
      <c r="N157" s="66">
        <f>'дод 3 '!O249</f>
        <v>332700</v>
      </c>
      <c r="O157" s="66">
        <f>'дод 3 '!P249</f>
        <v>25040148</v>
      </c>
      <c r="P157" s="284"/>
    </row>
    <row r="158" spans="1:16" ht="33.75" customHeight="1" x14ac:dyDescent="0.25">
      <c r="A158" s="19" t="s">
        <v>314</v>
      </c>
      <c r="B158" s="19" t="s">
        <v>315</v>
      </c>
      <c r="C158" s="3" t="s">
        <v>316</v>
      </c>
      <c r="D158" s="66">
        <f>'дод 3 '!E30+'дод 3 '!E250</f>
        <v>4160950</v>
      </c>
      <c r="E158" s="66">
        <f>'дод 3 '!F30+'дод 3 '!F250</f>
        <v>4160950</v>
      </c>
      <c r="F158" s="66">
        <f>'дод 3 '!G30+'дод 3 '!G250</f>
        <v>2806900</v>
      </c>
      <c r="G158" s="66">
        <f>'дод 3 '!H30+'дод 3 '!H250</f>
        <v>305950</v>
      </c>
      <c r="H158" s="66">
        <f>'дод 3 '!I30+'дод 3 '!I250</f>
        <v>0</v>
      </c>
      <c r="I158" s="66">
        <f>'дод 3 '!J30+'дод 3 '!J250</f>
        <v>606320</v>
      </c>
      <c r="J158" s="66">
        <f>'дод 3 '!K30+'дод 3 '!K250</f>
        <v>600000</v>
      </c>
      <c r="K158" s="66">
        <f>'дод 3 '!L30+'дод 3 '!L250</f>
        <v>6320</v>
      </c>
      <c r="L158" s="66">
        <f>'дод 3 '!M30+'дод 3 '!M250</f>
        <v>0</v>
      </c>
      <c r="M158" s="66">
        <f>'дод 3 '!N30+'дод 3 '!N250</f>
        <v>5490</v>
      </c>
      <c r="N158" s="66">
        <f>'дод 3 '!O30+'дод 3 '!O250</f>
        <v>600000</v>
      </c>
      <c r="O158" s="66">
        <f>'дод 3 '!P30+'дод 3 '!P250</f>
        <v>4767270</v>
      </c>
      <c r="P158" s="284"/>
    </row>
    <row r="159" spans="1:16" s="28" customFormat="1" ht="37.5" customHeight="1" x14ac:dyDescent="0.25">
      <c r="A159" s="19" t="s">
        <v>288</v>
      </c>
      <c r="B159" s="19" t="s">
        <v>74</v>
      </c>
      <c r="C159" s="3" t="s">
        <v>338</v>
      </c>
      <c r="D159" s="66">
        <f>'дод 3 '!E31+'дод 3 '!E251</f>
        <v>5243900</v>
      </c>
      <c r="E159" s="66">
        <f>'дод 3 '!F31+'дод 3 '!F251</f>
        <v>5243900</v>
      </c>
      <c r="F159" s="66">
        <f>'дод 3 '!G31+'дод 3 '!G251</f>
        <v>3692400</v>
      </c>
      <c r="G159" s="66">
        <f>'дод 3 '!H31+'дод 3 '!H251</f>
        <v>246100</v>
      </c>
      <c r="H159" s="66">
        <f>'дод 3 '!I31+'дод 3 '!I251</f>
        <v>0</v>
      </c>
      <c r="I159" s="66">
        <f>'дод 3 '!J31+'дод 3 '!J251</f>
        <v>0</v>
      </c>
      <c r="J159" s="66">
        <f>'дод 3 '!K31+'дод 3 '!K251</f>
        <v>0</v>
      </c>
      <c r="K159" s="66">
        <f>'дод 3 '!L31+'дод 3 '!L251</f>
        <v>0</v>
      </c>
      <c r="L159" s="66">
        <f>'дод 3 '!M31+'дод 3 '!M251</f>
        <v>0</v>
      </c>
      <c r="M159" s="66">
        <f>'дод 3 '!N31+'дод 3 '!N251</f>
        <v>0</v>
      </c>
      <c r="N159" s="66">
        <f>'дод 3 '!O31+'дод 3 '!O251</f>
        <v>0</v>
      </c>
      <c r="O159" s="66">
        <f>'дод 3 '!P31+'дод 3 '!P251</f>
        <v>5243900</v>
      </c>
      <c r="P159" s="284"/>
    </row>
    <row r="160" spans="1:16" s="28" customFormat="1" ht="22.5" customHeight="1" x14ac:dyDescent="0.25">
      <c r="A160" s="19" t="s">
        <v>289</v>
      </c>
      <c r="B160" s="19" t="s">
        <v>74</v>
      </c>
      <c r="C160" s="3" t="s">
        <v>290</v>
      </c>
      <c r="D160" s="66">
        <f>'дод 3 '!E32+'дод 3 '!E252</f>
        <v>1016000</v>
      </c>
      <c r="E160" s="66">
        <f>'дод 3 '!F32+'дод 3 '!F252</f>
        <v>1016000</v>
      </c>
      <c r="F160" s="66">
        <f>'дод 3 '!G32+'дод 3 '!G252</f>
        <v>0</v>
      </c>
      <c r="G160" s="66">
        <f>'дод 3 '!H32+'дод 3 '!H252</f>
        <v>0</v>
      </c>
      <c r="H160" s="66">
        <f>'дод 3 '!I32+'дод 3 '!I252</f>
        <v>0</v>
      </c>
      <c r="I160" s="66">
        <f>'дод 3 '!J32+'дод 3 '!J252</f>
        <v>0</v>
      </c>
      <c r="J160" s="66">
        <f>'дод 3 '!K32+'дод 3 '!K252</f>
        <v>0</v>
      </c>
      <c r="K160" s="66">
        <f>'дод 3 '!L32+'дод 3 '!L252</f>
        <v>0</v>
      </c>
      <c r="L160" s="66">
        <f>'дод 3 '!M32+'дод 3 '!M252</f>
        <v>0</v>
      </c>
      <c r="M160" s="66">
        <f>'дод 3 '!N32+'дод 3 '!N252</f>
        <v>0</v>
      </c>
      <c r="N160" s="66">
        <f>'дод 3 '!O32+'дод 3 '!O252</f>
        <v>0</v>
      </c>
      <c r="O160" s="66">
        <f>'дод 3 '!P32+'дод 3 '!P252</f>
        <v>1016000</v>
      </c>
      <c r="P160" s="284"/>
    </row>
    <row r="161" spans="1:16" s="26" customFormat="1" ht="21.75" customHeight="1" x14ac:dyDescent="0.25">
      <c r="A161" s="20" t="s">
        <v>77</v>
      </c>
      <c r="B161" s="23"/>
      <c r="C161" s="2" t="s">
        <v>561</v>
      </c>
      <c r="D161" s="25">
        <f t="shared" ref="D161:O161" si="27">D163+D164+D165+D167+D168+D169</f>
        <v>77165268</v>
      </c>
      <c r="E161" s="25">
        <f t="shared" si="27"/>
        <v>77165268</v>
      </c>
      <c r="F161" s="25">
        <f t="shared" si="27"/>
        <v>28326571</v>
      </c>
      <c r="G161" s="25">
        <f t="shared" si="27"/>
        <v>2485800</v>
      </c>
      <c r="H161" s="25">
        <f t="shared" si="27"/>
        <v>0</v>
      </c>
      <c r="I161" s="25">
        <f t="shared" si="27"/>
        <v>2263210</v>
      </c>
      <c r="J161" s="25">
        <f t="shared" si="27"/>
        <v>1785100</v>
      </c>
      <c r="K161" s="25">
        <f t="shared" si="27"/>
        <v>478110</v>
      </c>
      <c r="L161" s="25">
        <f t="shared" si="27"/>
        <v>296610</v>
      </c>
      <c r="M161" s="25">
        <f t="shared" si="27"/>
        <v>93770</v>
      </c>
      <c r="N161" s="25">
        <f t="shared" si="27"/>
        <v>1785100</v>
      </c>
      <c r="O161" s="25">
        <f t="shared" si="27"/>
        <v>79428478</v>
      </c>
      <c r="P161" s="284"/>
    </row>
    <row r="162" spans="1:16" s="26" customFormat="1" ht="21.75" hidden="1" customHeight="1" x14ac:dyDescent="0.25">
      <c r="A162" s="20"/>
      <c r="B162" s="23"/>
      <c r="C162" s="37" t="s">
        <v>389</v>
      </c>
      <c r="D162" s="68">
        <f>D166</f>
        <v>0</v>
      </c>
      <c r="E162" s="68">
        <f t="shared" ref="E162:O162" si="28">E166</f>
        <v>0</v>
      </c>
      <c r="F162" s="68">
        <f t="shared" si="28"/>
        <v>0</v>
      </c>
      <c r="G162" s="68">
        <f t="shared" si="28"/>
        <v>0</v>
      </c>
      <c r="H162" s="68">
        <f t="shared" si="28"/>
        <v>0</v>
      </c>
      <c r="I162" s="68">
        <f t="shared" si="28"/>
        <v>0</v>
      </c>
      <c r="J162" s="68">
        <f t="shared" si="28"/>
        <v>0</v>
      </c>
      <c r="K162" s="68">
        <f t="shared" si="28"/>
        <v>0</v>
      </c>
      <c r="L162" s="68">
        <f t="shared" si="28"/>
        <v>0</v>
      </c>
      <c r="M162" s="68">
        <f t="shared" si="28"/>
        <v>0</v>
      </c>
      <c r="N162" s="68">
        <f t="shared" si="28"/>
        <v>0</v>
      </c>
      <c r="O162" s="68">
        <f t="shared" si="28"/>
        <v>0</v>
      </c>
      <c r="P162" s="284"/>
    </row>
    <row r="163" spans="1:16" s="28" customFormat="1" ht="37.5" customHeight="1" x14ac:dyDescent="0.25">
      <c r="A163" s="19" t="s">
        <v>78</v>
      </c>
      <c r="B163" s="19" t="s">
        <v>79</v>
      </c>
      <c r="C163" s="3" t="s">
        <v>21</v>
      </c>
      <c r="D163" s="66">
        <f>'дод 3 '!E33</f>
        <v>1965000</v>
      </c>
      <c r="E163" s="66">
        <f>'дод 3 '!F33</f>
        <v>1965000</v>
      </c>
      <c r="F163" s="66">
        <f>'дод 3 '!G33</f>
        <v>0</v>
      </c>
      <c r="G163" s="66">
        <f>'дод 3 '!H33</f>
        <v>0</v>
      </c>
      <c r="H163" s="66">
        <f>'дод 3 '!I33</f>
        <v>0</v>
      </c>
      <c r="I163" s="66">
        <f>'дод 3 '!J33</f>
        <v>0</v>
      </c>
      <c r="J163" s="66">
        <f>'дод 3 '!K33</f>
        <v>0</v>
      </c>
      <c r="K163" s="66">
        <f>'дод 3 '!L33</f>
        <v>0</v>
      </c>
      <c r="L163" s="66">
        <f>'дод 3 '!M33</f>
        <v>0</v>
      </c>
      <c r="M163" s="66">
        <f>'дод 3 '!N33</f>
        <v>0</v>
      </c>
      <c r="N163" s="66">
        <f>'дод 3 '!O33</f>
        <v>0</v>
      </c>
      <c r="O163" s="66">
        <f>'дод 3 '!P33</f>
        <v>1965000</v>
      </c>
      <c r="P163" s="284"/>
    </row>
    <row r="164" spans="1:16" s="28" customFormat="1" ht="34.5" customHeight="1" x14ac:dyDescent="0.25">
      <c r="A164" s="19" t="s">
        <v>80</v>
      </c>
      <c r="B164" s="19" t="s">
        <v>79</v>
      </c>
      <c r="C164" s="3" t="s">
        <v>16</v>
      </c>
      <c r="D164" s="66">
        <f>'дод 3 '!E34</f>
        <v>750000</v>
      </c>
      <c r="E164" s="66">
        <f>'дод 3 '!F34</f>
        <v>750000</v>
      </c>
      <c r="F164" s="66">
        <f>'дод 3 '!G34</f>
        <v>0</v>
      </c>
      <c r="G164" s="66">
        <f>'дод 3 '!H34</f>
        <v>0</v>
      </c>
      <c r="H164" s="66">
        <f>'дод 3 '!I34</f>
        <v>0</v>
      </c>
      <c r="I164" s="66">
        <f>'дод 3 '!J34</f>
        <v>0</v>
      </c>
      <c r="J164" s="66">
        <f>'дод 3 '!K34</f>
        <v>0</v>
      </c>
      <c r="K164" s="66">
        <f>'дод 3 '!L34</f>
        <v>0</v>
      </c>
      <c r="L164" s="66">
        <f>'дод 3 '!M34</f>
        <v>0</v>
      </c>
      <c r="M164" s="66">
        <f>'дод 3 '!N34</f>
        <v>0</v>
      </c>
      <c r="N164" s="66">
        <f>'дод 3 '!O34</f>
        <v>0</v>
      </c>
      <c r="O164" s="66">
        <f>'дод 3 '!P34</f>
        <v>750000</v>
      </c>
      <c r="P164" s="284"/>
    </row>
    <row r="165" spans="1:16" s="28" customFormat="1" ht="36.75" customHeight="1" x14ac:dyDescent="0.25">
      <c r="A165" s="19" t="s">
        <v>114</v>
      </c>
      <c r="B165" s="19" t="s">
        <v>79</v>
      </c>
      <c r="C165" s="3" t="s">
        <v>541</v>
      </c>
      <c r="D165" s="66">
        <f>'дод 3 '!E35+'дод 3 '!E131</f>
        <v>35691841</v>
      </c>
      <c r="E165" s="66">
        <f>'дод 3 '!F35+'дод 3 '!F131</f>
        <v>35691841</v>
      </c>
      <c r="F165" s="66">
        <f>'дод 3 '!G35+'дод 3 '!G131</f>
        <v>25061471</v>
      </c>
      <c r="G165" s="66">
        <f>'дод 3 '!H35+'дод 3 '!H131</f>
        <v>1928700</v>
      </c>
      <c r="H165" s="66">
        <f>'дод 3 '!I35+'дод 3 '!I131</f>
        <v>0</v>
      </c>
      <c r="I165" s="66">
        <f>'дод 3 '!J35+'дод 3 '!J131</f>
        <v>290000</v>
      </c>
      <c r="J165" s="66">
        <f>'дод 3 '!K35+'дод 3 '!K131</f>
        <v>290000</v>
      </c>
      <c r="K165" s="66">
        <f>'дод 3 '!L35+'дод 3 '!L131</f>
        <v>0</v>
      </c>
      <c r="L165" s="66">
        <f>'дод 3 '!M35+'дод 3 '!M131</f>
        <v>0</v>
      </c>
      <c r="M165" s="66">
        <f>'дод 3 '!N35+'дод 3 '!N131</f>
        <v>0</v>
      </c>
      <c r="N165" s="66">
        <f>'дод 3 '!O35+'дод 3 '!O131</f>
        <v>290000</v>
      </c>
      <c r="O165" s="66">
        <f>'дод 3 '!P35+'дод 3 '!P131</f>
        <v>35981841</v>
      </c>
      <c r="P165" s="226">
        <v>48</v>
      </c>
    </row>
    <row r="166" spans="1:16" s="28" customFormat="1" ht="25.5" hidden="1" customHeight="1" x14ac:dyDescent="0.25">
      <c r="A166" s="19"/>
      <c r="B166" s="19"/>
      <c r="C166" s="46" t="s">
        <v>389</v>
      </c>
      <c r="D166" s="67">
        <f>'дод 3 '!E132</f>
        <v>0</v>
      </c>
      <c r="E166" s="67">
        <f>'дод 3 '!F132</f>
        <v>0</v>
      </c>
      <c r="F166" s="67">
        <f>'дод 3 '!G132</f>
        <v>0</v>
      </c>
      <c r="G166" s="67">
        <f>'дод 3 '!H132</f>
        <v>0</v>
      </c>
      <c r="H166" s="67">
        <f>'дод 3 '!I132</f>
        <v>0</v>
      </c>
      <c r="I166" s="67">
        <f>'дод 3 '!J132</f>
        <v>0</v>
      </c>
      <c r="J166" s="67">
        <f>'дод 3 '!K132</f>
        <v>0</v>
      </c>
      <c r="K166" s="67">
        <f>'дод 3 '!L132</f>
        <v>0</v>
      </c>
      <c r="L166" s="67">
        <f>'дод 3 '!M132</f>
        <v>0</v>
      </c>
      <c r="M166" s="67">
        <f>'дод 3 '!N132</f>
        <v>0</v>
      </c>
      <c r="N166" s="67">
        <f>'дод 3 '!O132</f>
        <v>0</v>
      </c>
      <c r="O166" s="67">
        <f>'дод 3 '!P132</f>
        <v>0</v>
      </c>
      <c r="P166" s="226"/>
    </row>
    <row r="167" spans="1:16" s="28" customFormat="1" ht="38.25" customHeight="1" x14ac:dyDescent="0.25">
      <c r="A167" s="19" t="s">
        <v>115</v>
      </c>
      <c r="B167" s="19" t="s">
        <v>79</v>
      </c>
      <c r="C167" s="3" t="s">
        <v>22</v>
      </c>
      <c r="D167" s="66">
        <f>'дод 3 '!E36</f>
        <v>18547495</v>
      </c>
      <c r="E167" s="66">
        <f>'дод 3 '!F36</f>
        <v>18547495</v>
      </c>
      <c r="F167" s="66">
        <f>'дод 3 '!G36</f>
        <v>0</v>
      </c>
      <c r="G167" s="66">
        <f>'дод 3 '!H36</f>
        <v>0</v>
      </c>
      <c r="H167" s="66">
        <f>'дод 3 '!I36</f>
        <v>0</v>
      </c>
      <c r="I167" s="66">
        <f>'дод 3 '!J36</f>
        <v>1495100</v>
      </c>
      <c r="J167" s="66">
        <f>'дод 3 '!K36</f>
        <v>1495100</v>
      </c>
      <c r="K167" s="66">
        <f>'дод 3 '!L36</f>
        <v>0</v>
      </c>
      <c r="L167" s="66">
        <f>'дод 3 '!M36</f>
        <v>0</v>
      </c>
      <c r="M167" s="66">
        <f>'дод 3 '!N36</f>
        <v>0</v>
      </c>
      <c r="N167" s="66">
        <f>'дод 3 '!O36</f>
        <v>1495100</v>
      </c>
      <c r="O167" s="66">
        <f>'дод 3 '!P36</f>
        <v>20042595</v>
      </c>
      <c r="P167" s="226"/>
    </row>
    <row r="168" spans="1:16" s="28" customFormat="1" ht="54" customHeight="1" x14ac:dyDescent="0.25">
      <c r="A168" s="19" t="s">
        <v>111</v>
      </c>
      <c r="B168" s="19" t="s">
        <v>79</v>
      </c>
      <c r="C168" s="3" t="s">
        <v>568</v>
      </c>
      <c r="D168" s="66">
        <f>'дод 3 '!E37</f>
        <v>5764400</v>
      </c>
      <c r="E168" s="66">
        <f>'дод 3 '!F37</f>
        <v>5764400</v>
      </c>
      <c r="F168" s="66">
        <f>'дод 3 '!G37</f>
        <v>3265100</v>
      </c>
      <c r="G168" s="66">
        <f>'дод 3 '!H37</f>
        <v>557100</v>
      </c>
      <c r="H168" s="66">
        <f>'дод 3 '!I37</f>
        <v>0</v>
      </c>
      <c r="I168" s="66">
        <f>'дод 3 '!J37</f>
        <v>478110</v>
      </c>
      <c r="J168" s="66">
        <f>'дод 3 '!K37</f>
        <v>0</v>
      </c>
      <c r="K168" s="66">
        <f>'дод 3 '!L37</f>
        <v>478110</v>
      </c>
      <c r="L168" s="66">
        <f>'дод 3 '!M37</f>
        <v>296610</v>
      </c>
      <c r="M168" s="66">
        <f>'дод 3 '!N37</f>
        <v>93770</v>
      </c>
      <c r="N168" s="66">
        <f>'дод 3 '!O37</f>
        <v>0</v>
      </c>
      <c r="O168" s="66">
        <f>'дод 3 '!P37</f>
        <v>6242510</v>
      </c>
      <c r="P168" s="226"/>
    </row>
    <row r="169" spans="1:16" s="28" customFormat="1" ht="46.5" customHeight="1" x14ac:dyDescent="0.25">
      <c r="A169" s="19" t="s">
        <v>113</v>
      </c>
      <c r="B169" s="19" t="s">
        <v>79</v>
      </c>
      <c r="C169" s="3" t="s">
        <v>112</v>
      </c>
      <c r="D169" s="66">
        <f>'дод 3 '!E38</f>
        <v>14446532</v>
      </c>
      <c r="E169" s="66">
        <f>'дод 3 '!F38</f>
        <v>14446532</v>
      </c>
      <c r="F169" s="66">
        <f>'дод 3 '!G38</f>
        <v>0</v>
      </c>
      <c r="G169" s="66">
        <f>'дод 3 '!H38</f>
        <v>0</v>
      </c>
      <c r="H169" s="66">
        <f>'дод 3 '!I38</f>
        <v>0</v>
      </c>
      <c r="I169" s="66">
        <f>'дод 3 '!J38</f>
        <v>0</v>
      </c>
      <c r="J169" s="66">
        <f>'дод 3 '!K38</f>
        <v>0</v>
      </c>
      <c r="K169" s="66">
        <f>'дод 3 '!L38</f>
        <v>0</v>
      </c>
      <c r="L169" s="66">
        <f>'дод 3 '!M38</f>
        <v>0</v>
      </c>
      <c r="M169" s="66">
        <f>'дод 3 '!N38</f>
        <v>0</v>
      </c>
      <c r="N169" s="66">
        <f>'дод 3 '!O38</f>
        <v>0</v>
      </c>
      <c r="O169" s="66">
        <f>'дод 3 '!P38</f>
        <v>14446532</v>
      </c>
      <c r="P169" s="226"/>
    </row>
    <row r="170" spans="1:16" s="26" customFormat="1" ht="26.25" customHeight="1" x14ac:dyDescent="0.25">
      <c r="A170" s="20" t="s">
        <v>65</v>
      </c>
      <c r="B170" s="23"/>
      <c r="C170" s="2" t="s">
        <v>66</v>
      </c>
      <c r="D170" s="25">
        <f>D172+D173+D175+D176+D177+D178+D180+D182+D184+D179+D174+D183</f>
        <v>328737319.60000002</v>
      </c>
      <c r="E170" s="25">
        <f t="shared" ref="E170:N170" si="29">E172+E173+E175+E176+E177+E178+E180+E182+E184+E179+E174+E183</f>
        <v>271847856.60000002</v>
      </c>
      <c r="F170" s="25">
        <f t="shared" si="29"/>
        <v>0</v>
      </c>
      <c r="G170" s="25">
        <f t="shared" si="29"/>
        <v>16334000</v>
      </c>
      <c r="H170" s="25">
        <f t="shared" si="29"/>
        <v>56889463</v>
      </c>
      <c r="I170" s="25">
        <f t="shared" si="29"/>
        <v>21666999.950000003</v>
      </c>
      <c r="J170" s="25">
        <f t="shared" si="29"/>
        <v>16700028.4</v>
      </c>
      <c r="K170" s="25">
        <f t="shared" si="29"/>
        <v>4836259</v>
      </c>
      <c r="L170" s="25">
        <f t="shared" si="29"/>
        <v>0</v>
      </c>
      <c r="M170" s="25">
        <f t="shared" si="29"/>
        <v>0</v>
      </c>
      <c r="N170" s="25">
        <f t="shared" si="29"/>
        <v>16830740.950000003</v>
      </c>
      <c r="O170" s="25">
        <f>O172+O173+O175+O176+O177+O178+O180+O182+O184+O179+O174+O183</f>
        <v>350404319.55000001</v>
      </c>
      <c r="P170" s="226"/>
    </row>
    <row r="171" spans="1:16" s="27" customFormat="1" ht="113.25" hidden="1" customHeight="1" x14ac:dyDescent="0.25">
      <c r="A171" s="32"/>
      <c r="B171" s="33"/>
      <c r="C171" s="60" t="s">
        <v>548</v>
      </c>
      <c r="D171" s="68">
        <f>D181</f>
        <v>0</v>
      </c>
      <c r="E171" s="68">
        <f t="shared" ref="E171:O171" si="30">E181</f>
        <v>0</v>
      </c>
      <c r="F171" s="68">
        <f t="shared" si="30"/>
        <v>0</v>
      </c>
      <c r="G171" s="68">
        <f t="shared" si="30"/>
        <v>0</v>
      </c>
      <c r="H171" s="68">
        <f t="shared" si="30"/>
        <v>0</v>
      </c>
      <c r="I171" s="68">
        <f t="shared" si="30"/>
        <v>0</v>
      </c>
      <c r="J171" s="68">
        <f t="shared" si="30"/>
        <v>0</v>
      </c>
      <c r="K171" s="68">
        <f t="shared" si="30"/>
        <v>0</v>
      </c>
      <c r="L171" s="68">
        <f t="shared" si="30"/>
        <v>0</v>
      </c>
      <c r="M171" s="68">
        <f t="shared" si="30"/>
        <v>0</v>
      </c>
      <c r="N171" s="68">
        <f t="shared" si="30"/>
        <v>0</v>
      </c>
      <c r="O171" s="68">
        <f t="shared" si="30"/>
        <v>0</v>
      </c>
      <c r="P171" s="226"/>
    </row>
    <row r="172" spans="1:16" s="28" customFormat="1" x14ac:dyDescent="0.25">
      <c r="A172" s="19" t="s">
        <v>125</v>
      </c>
      <c r="B172" s="19" t="s">
        <v>67</v>
      </c>
      <c r="C172" s="3" t="s">
        <v>126</v>
      </c>
      <c r="D172" s="66">
        <f>'дод 3 '!E270</f>
        <v>0</v>
      </c>
      <c r="E172" s="66">
        <f>'дод 3 '!F270</f>
        <v>0</v>
      </c>
      <c r="F172" s="66">
        <f>'дод 3 '!G270</f>
        <v>0</v>
      </c>
      <c r="G172" s="66">
        <f>'дод 3 '!H270</f>
        <v>0</v>
      </c>
      <c r="H172" s="66">
        <f>'дод 3 '!I270</f>
        <v>0</v>
      </c>
      <c r="I172" s="66">
        <f>'дод 3 '!J270</f>
        <v>3068051</v>
      </c>
      <c r="J172" s="66">
        <f>'дод 3 '!K270</f>
        <v>3068051</v>
      </c>
      <c r="K172" s="66">
        <f>'дод 3 '!L270</f>
        <v>0</v>
      </c>
      <c r="L172" s="66">
        <f>'дод 3 '!M270</f>
        <v>0</v>
      </c>
      <c r="M172" s="66">
        <f>'дод 3 '!N270</f>
        <v>0</v>
      </c>
      <c r="N172" s="66">
        <f>'дод 3 '!O270</f>
        <v>3068051</v>
      </c>
      <c r="O172" s="66">
        <f>'дод 3 '!P270</f>
        <v>3068051</v>
      </c>
      <c r="P172" s="226"/>
    </row>
    <row r="173" spans="1:16" s="28" customFormat="1" ht="32.25" customHeight="1" x14ac:dyDescent="0.25">
      <c r="A173" s="19" t="s">
        <v>127</v>
      </c>
      <c r="B173" s="19" t="s">
        <v>69</v>
      </c>
      <c r="C173" s="3" t="s">
        <v>144</v>
      </c>
      <c r="D173" s="66">
        <f>'дод 3 '!E271</f>
        <v>56140800</v>
      </c>
      <c r="E173" s="66">
        <f>'дод 3 '!F271</f>
        <v>929000</v>
      </c>
      <c r="F173" s="66">
        <f>'дод 3 '!G271</f>
        <v>0</v>
      </c>
      <c r="G173" s="66">
        <f>'дод 3 '!H271</f>
        <v>0</v>
      </c>
      <c r="H173" s="66">
        <f>'дод 3 '!I271</f>
        <v>55211800</v>
      </c>
      <c r="I173" s="66">
        <f>'дод 3 '!J271</f>
        <v>0</v>
      </c>
      <c r="J173" s="66">
        <f>'дод 3 '!K271</f>
        <v>0</v>
      </c>
      <c r="K173" s="66">
        <f>'дод 3 '!L271</f>
        <v>0</v>
      </c>
      <c r="L173" s="66">
        <f>'дод 3 '!M271</f>
        <v>0</v>
      </c>
      <c r="M173" s="66">
        <f>'дод 3 '!N271</f>
        <v>0</v>
      </c>
      <c r="N173" s="66">
        <f>'дод 3 '!O271</f>
        <v>0</v>
      </c>
      <c r="O173" s="66">
        <f>'дод 3 '!P271</f>
        <v>56140800</v>
      </c>
      <c r="P173" s="226"/>
    </row>
    <row r="174" spans="1:16" s="28" customFormat="1" ht="32.25" hidden="1" customHeight="1" x14ac:dyDescent="0.25">
      <c r="A174" s="19">
        <v>6014</v>
      </c>
      <c r="B174" s="19" t="s">
        <v>69</v>
      </c>
      <c r="C174" s="3" t="s">
        <v>593</v>
      </c>
      <c r="D174" s="66">
        <f>'дод 3 '!E272</f>
        <v>0</v>
      </c>
      <c r="E174" s="66">
        <f>'дод 3 '!F272</f>
        <v>0</v>
      </c>
      <c r="F174" s="66">
        <f>'дод 3 '!G272</f>
        <v>0</v>
      </c>
      <c r="G174" s="66">
        <f>'дод 3 '!H272</f>
        <v>0</v>
      </c>
      <c r="H174" s="66">
        <f>'дод 3 '!I272</f>
        <v>0</v>
      </c>
      <c r="I174" s="66">
        <f>'дод 3 '!J272</f>
        <v>0</v>
      </c>
      <c r="J174" s="66">
        <f>'дод 3 '!K272</f>
        <v>0</v>
      </c>
      <c r="K174" s="66">
        <f>'дод 3 '!L272</f>
        <v>0</v>
      </c>
      <c r="L174" s="66">
        <f>'дод 3 '!M272</f>
        <v>0</v>
      </c>
      <c r="M174" s="66">
        <f>'дод 3 '!N272</f>
        <v>0</v>
      </c>
      <c r="N174" s="66">
        <f>'дод 3 '!O272</f>
        <v>0</v>
      </c>
      <c r="O174" s="66">
        <f>'дод 3 '!P272</f>
        <v>0</v>
      </c>
      <c r="P174" s="226"/>
    </row>
    <row r="175" spans="1:16" s="28" customFormat="1" ht="32.25" customHeight="1" x14ac:dyDescent="0.25">
      <c r="A175" s="22" t="s">
        <v>257</v>
      </c>
      <c r="B175" s="22" t="s">
        <v>69</v>
      </c>
      <c r="C175" s="3" t="s">
        <v>258</v>
      </c>
      <c r="D175" s="66">
        <f>'дод 3 '!E273</f>
        <v>50000</v>
      </c>
      <c r="E175" s="66">
        <f>'дод 3 '!F273</f>
        <v>50000</v>
      </c>
      <c r="F175" s="66">
        <f>'дод 3 '!G273</f>
        <v>0</v>
      </c>
      <c r="G175" s="66">
        <f>'дод 3 '!H273</f>
        <v>0</v>
      </c>
      <c r="H175" s="66">
        <f>'дод 3 '!I273</f>
        <v>0</v>
      </c>
      <c r="I175" s="66">
        <f>'дод 3 '!J273</f>
        <v>150000</v>
      </c>
      <c r="J175" s="66">
        <f>'дод 3 '!K273</f>
        <v>150000</v>
      </c>
      <c r="K175" s="66">
        <f>'дод 3 '!L273</f>
        <v>0</v>
      </c>
      <c r="L175" s="66">
        <f>'дод 3 '!M273</f>
        <v>0</v>
      </c>
      <c r="M175" s="66">
        <f>'дод 3 '!N273</f>
        <v>0</v>
      </c>
      <c r="N175" s="66">
        <f>'дод 3 '!O273</f>
        <v>150000</v>
      </c>
      <c r="O175" s="66">
        <f>'дод 3 '!P273</f>
        <v>200000</v>
      </c>
      <c r="P175" s="226"/>
    </row>
    <row r="176" spans="1:16" s="28" customFormat="1" ht="33" customHeight="1" x14ac:dyDescent="0.25">
      <c r="A176" s="19" t="s">
        <v>260</v>
      </c>
      <c r="B176" s="19" t="s">
        <v>69</v>
      </c>
      <c r="C176" s="3" t="s">
        <v>339</v>
      </c>
      <c r="D176" s="66">
        <f>'дод 3 '!E274</f>
        <v>450000</v>
      </c>
      <c r="E176" s="66">
        <f>'дод 3 '!F274</f>
        <v>450000</v>
      </c>
      <c r="F176" s="66">
        <f>'дод 3 '!G274</f>
        <v>0</v>
      </c>
      <c r="G176" s="66">
        <f>'дод 3 '!H274</f>
        <v>0</v>
      </c>
      <c r="H176" s="66">
        <f>'дод 3 '!I274</f>
        <v>0</v>
      </c>
      <c r="I176" s="66">
        <f>'дод 3 '!J274</f>
        <v>0</v>
      </c>
      <c r="J176" s="66">
        <f>'дод 3 '!K274</f>
        <v>0</v>
      </c>
      <c r="K176" s="66">
        <f>'дод 3 '!L274</f>
        <v>0</v>
      </c>
      <c r="L176" s="66">
        <f>'дод 3 '!M274</f>
        <v>0</v>
      </c>
      <c r="M176" s="66">
        <f>'дод 3 '!N274</f>
        <v>0</v>
      </c>
      <c r="N176" s="66">
        <f>'дод 3 '!O274</f>
        <v>0</v>
      </c>
      <c r="O176" s="66">
        <f>'дод 3 '!P274</f>
        <v>450000</v>
      </c>
      <c r="P176" s="226"/>
    </row>
    <row r="177" spans="1:16" s="28" customFormat="1" ht="57.75" customHeight="1" x14ac:dyDescent="0.25">
      <c r="A177" s="19" t="s">
        <v>68</v>
      </c>
      <c r="B177" s="19" t="s">
        <v>69</v>
      </c>
      <c r="C177" s="3" t="s">
        <v>130</v>
      </c>
      <c r="D177" s="66">
        <f>'дод 3 '!E275</f>
        <v>881620</v>
      </c>
      <c r="E177" s="66">
        <f>'дод 3 '!F275</f>
        <v>0</v>
      </c>
      <c r="F177" s="66">
        <f>'дод 3 '!G275</f>
        <v>0</v>
      </c>
      <c r="G177" s="66">
        <f>'дод 3 '!H275</f>
        <v>0</v>
      </c>
      <c r="H177" s="66">
        <f>'дод 3 '!I275</f>
        <v>881620</v>
      </c>
      <c r="I177" s="66">
        <f>'дод 3 '!J275</f>
        <v>0</v>
      </c>
      <c r="J177" s="66">
        <f>'дод 3 '!K275</f>
        <v>0</v>
      </c>
      <c r="K177" s="66">
        <f>'дод 3 '!L275</f>
        <v>0</v>
      </c>
      <c r="L177" s="66">
        <f>'дод 3 '!M275</f>
        <v>0</v>
      </c>
      <c r="M177" s="66">
        <f>'дод 3 '!N275</f>
        <v>0</v>
      </c>
      <c r="N177" s="66">
        <f>'дод 3 '!O275</f>
        <v>0</v>
      </c>
      <c r="O177" s="66">
        <f>'дод 3 '!P275</f>
        <v>881620</v>
      </c>
      <c r="P177" s="226"/>
    </row>
    <row r="178" spans="1:16" ht="24" customHeight="1" x14ac:dyDescent="0.25">
      <c r="A178" s="19" t="s">
        <v>128</v>
      </c>
      <c r="B178" s="19" t="s">
        <v>69</v>
      </c>
      <c r="C178" s="3" t="s">
        <v>129</v>
      </c>
      <c r="D178" s="66">
        <f>'дод 3 '!E276+'дод 3 '!E338</f>
        <v>262421210.59999999</v>
      </c>
      <c r="E178" s="66">
        <f>'дод 3 '!F276+'дод 3 '!F338</f>
        <v>262321210.59999999</v>
      </c>
      <c r="F178" s="66">
        <f>'дод 3 '!G276+'дод 3 '!G338</f>
        <v>0</v>
      </c>
      <c r="G178" s="66">
        <f>'дод 3 '!H276+'дод 3 '!H338</f>
        <v>16274000</v>
      </c>
      <c r="H178" s="66">
        <f>'дод 3 '!I276+'дод 3 '!I338</f>
        <v>100000</v>
      </c>
      <c r="I178" s="66">
        <f>'дод 3 '!J276+'дод 3 '!J338</f>
        <v>7050477.4000000004</v>
      </c>
      <c r="J178" s="66">
        <f>'дод 3 '!K276+'дод 3 '!K338</f>
        <v>7050477.4000000004</v>
      </c>
      <c r="K178" s="66">
        <f>'дод 3 '!L276+'дод 3 '!L338</f>
        <v>0</v>
      </c>
      <c r="L178" s="66">
        <f>'дод 3 '!M276+'дод 3 '!M338</f>
        <v>0</v>
      </c>
      <c r="M178" s="66">
        <f>'дод 3 '!N276+'дод 3 '!N338</f>
        <v>0</v>
      </c>
      <c r="N178" s="66">
        <f>'дод 3 '!O276+'дод 3 '!O338</f>
        <v>7050477.4000000004</v>
      </c>
      <c r="O178" s="66">
        <f>'дод 3 '!P276+'дод 3 '!P338</f>
        <v>269471688</v>
      </c>
      <c r="P178" s="226"/>
    </row>
    <row r="179" spans="1:16" ht="94.5" hidden="1" customHeight="1" x14ac:dyDescent="0.25">
      <c r="A179" s="19">
        <v>6071</v>
      </c>
      <c r="B179" s="30" t="s">
        <v>307</v>
      </c>
      <c r="C179" s="11" t="s">
        <v>556</v>
      </c>
      <c r="D179" s="66">
        <f>'дод 3 '!E279</f>
        <v>0</v>
      </c>
      <c r="E179" s="66">
        <f>'дод 3 '!F279</f>
        <v>0</v>
      </c>
      <c r="F179" s="66">
        <f>'дод 3 '!G279</f>
        <v>0</v>
      </c>
      <c r="G179" s="66">
        <f>'дод 3 '!H279</f>
        <v>0</v>
      </c>
      <c r="H179" s="66">
        <f>'дод 3 '!I279</f>
        <v>0</v>
      </c>
      <c r="I179" s="66">
        <f>'дод 3 '!J279</f>
        <v>0</v>
      </c>
      <c r="J179" s="66">
        <f>'дод 3 '!K279</f>
        <v>0</v>
      </c>
      <c r="K179" s="66">
        <f>'дод 3 '!L279</f>
        <v>0</v>
      </c>
      <c r="L179" s="66">
        <f>'дод 3 '!M279</f>
        <v>0</v>
      </c>
      <c r="M179" s="66">
        <f>'дод 3 '!N279</f>
        <v>0</v>
      </c>
      <c r="N179" s="66">
        <f>'дод 3 '!O279</f>
        <v>0</v>
      </c>
      <c r="O179" s="66">
        <f>'дод 3 '!P279</f>
        <v>0</v>
      </c>
      <c r="P179" s="226"/>
    </row>
    <row r="180" spans="1:16" ht="83.25" hidden="1" customHeight="1" x14ac:dyDescent="0.25">
      <c r="A180" s="19">
        <v>6083</v>
      </c>
      <c r="B180" s="29" t="s">
        <v>67</v>
      </c>
      <c r="C180" s="11" t="s">
        <v>425</v>
      </c>
      <c r="D180" s="66">
        <f>'дод 3 '!E243+'дод 3 '!E277</f>
        <v>0</v>
      </c>
      <c r="E180" s="66">
        <f>'дод 3 '!F243+'дод 3 '!F277</f>
        <v>0</v>
      </c>
      <c r="F180" s="66">
        <f>'дод 3 '!G243+'дод 3 '!G277</f>
        <v>0</v>
      </c>
      <c r="G180" s="66">
        <f>'дод 3 '!H243+'дод 3 '!H277</f>
        <v>0</v>
      </c>
      <c r="H180" s="66">
        <f>'дод 3 '!I243+'дод 3 '!I277</f>
        <v>0</v>
      </c>
      <c r="I180" s="66">
        <f>'дод 3 '!J243+'дод 3 '!J277</f>
        <v>0</v>
      </c>
      <c r="J180" s="66">
        <f>'дод 3 '!K243+'дод 3 '!K277</f>
        <v>0</v>
      </c>
      <c r="K180" s="66">
        <f>'дод 3 '!L243+'дод 3 '!L277</f>
        <v>0</v>
      </c>
      <c r="L180" s="66">
        <f>'дод 3 '!M243+'дод 3 '!M277</f>
        <v>0</v>
      </c>
      <c r="M180" s="66">
        <f>'дод 3 '!N243+'дод 3 '!N277</f>
        <v>0</v>
      </c>
      <c r="N180" s="66">
        <f>'дод 3 '!O243+'дод 3 '!O277</f>
        <v>0</v>
      </c>
      <c r="O180" s="66">
        <f>'дод 3 '!P243+'дод 3 '!P277</f>
        <v>0</v>
      </c>
      <c r="P180" s="226"/>
    </row>
    <row r="181" spans="1:16" s="28" customFormat="1" ht="126" hidden="1" customHeight="1" x14ac:dyDescent="0.25">
      <c r="A181" s="38"/>
      <c r="B181" s="48"/>
      <c r="C181" s="49" t="s">
        <v>548</v>
      </c>
      <c r="D181" s="67">
        <f>'дод 3 '!E244+'дод 3 '!E278</f>
        <v>0</v>
      </c>
      <c r="E181" s="67">
        <f>'дод 3 '!F244+'дод 3 '!F278</f>
        <v>0</v>
      </c>
      <c r="F181" s="67">
        <f>'дод 3 '!G244+'дод 3 '!G278</f>
        <v>0</v>
      </c>
      <c r="G181" s="67">
        <f>'дод 3 '!H244+'дод 3 '!H278</f>
        <v>0</v>
      </c>
      <c r="H181" s="67">
        <f>'дод 3 '!I244+'дод 3 '!I278</f>
        <v>0</v>
      </c>
      <c r="I181" s="67">
        <f>'дод 3 '!J244+'дод 3 '!J278</f>
        <v>0</v>
      </c>
      <c r="J181" s="67">
        <f>'дод 3 '!K244+'дод 3 '!K278</f>
        <v>0</v>
      </c>
      <c r="K181" s="67">
        <f>'дод 3 '!L244+'дод 3 '!L278</f>
        <v>0</v>
      </c>
      <c r="L181" s="67">
        <f>'дод 3 '!M244+'дод 3 '!M278</f>
        <v>0</v>
      </c>
      <c r="M181" s="67">
        <f>'дод 3 '!N244+'дод 3 '!N278</f>
        <v>0</v>
      </c>
      <c r="N181" s="67">
        <f>'дод 3 '!O244+'дод 3 '!O278</f>
        <v>0</v>
      </c>
      <c r="O181" s="67">
        <f>'дод 3 '!P244+'дод 3 '!P278</f>
        <v>0</v>
      </c>
      <c r="P181" s="226"/>
    </row>
    <row r="182" spans="1:16" s="28" customFormat="1" ht="66" customHeight="1" x14ac:dyDescent="0.25">
      <c r="A182" s="19" t="s">
        <v>132</v>
      </c>
      <c r="B182" s="24" t="s">
        <v>67</v>
      </c>
      <c r="C182" s="3" t="s">
        <v>569</v>
      </c>
      <c r="D182" s="66">
        <f>'дод 3 '!E342</f>
        <v>0</v>
      </c>
      <c r="E182" s="66">
        <f>'дод 3 '!F342</f>
        <v>0</v>
      </c>
      <c r="F182" s="66">
        <f>'дод 3 '!G342</f>
        <v>0</v>
      </c>
      <c r="G182" s="66">
        <f>'дод 3 '!H342</f>
        <v>0</v>
      </c>
      <c r="H182" s="66">
        <f>'дод 3 '!I342</f>
        <v>0</v>
      </c>
      <c r="I182" s="66">
        <f>'дод 3 '!J342</f>
        <v>130712.55</v>
      </c>
      <c r="J182" s="66">
        <f>'дод 3 '!K342</f>
        <v>0</v>
      </c>
      <c r="K182" s="66">
        <f>'дод 3 '!L342</f>
        <v>0</v>
      </c>
      <c r="L182" s="66">
        <f>'дод 3 '!M342</f>
        <v>0</v>
      </c>
      <c r="M182" s="66">
        <f>'дод 3 '!N342</f>
        <v>0</v>
      </c>
      <c r="N182" s="66">
        <f>'дод 3 '!O342</f>
        <v>130712.55</v>
      </c>
      <c r="O182" s="66">
        <f>'дод 3 '!P342</f>
        <v>130712.55</v>
      </c>
      <c r="P182" s="226"/>
    </row>
    <row r="183" spans="1:16" s="28" customFormat="1" ht="66" customHeight="1" x14ac:dyDescent="0.25">
      <c r="A183" s="19">
        <v>6086</v>
      </c>
      <c r="B183" s="24" t="s">
        <v>67</v>
      </c>
      <c r="C183" s="3" t="s">
        <v>685</v>
      </c>
      <c r="D183" s="66">
        <f>'дод 3 '!E280</f>
        <v>0</v>
      </c>
      <c r="E183" s="66">
        <f>'дод 3 '!F280</f>
        <v>0</v>
      </c>
      <c r="F183" s="66">
        <f>'дод 3 '!G280</f>
        <v>0</v>
      </c>
      <c r="G183" s="66">
        <f>'дод 3 '!H280</f>
        <v>0</v>
      </c>
      <c r="H183" s="66">
        <f>'дод 3 '!I280</f>
        <v>0</v>
      </c>
      <c r="I183" s="66">
        <f>'дод 3 '!J280</f>
        <v>285000</v>
      </c>
      <c r="J183" s="66">
        <f>'дод 3 '!K280</f>
        <v>285000</v>
      </c>
      <c r="K183" s="66">
        <f>'дод 3 '!L280</f>
        <v>0</v>
      </c>
      <c r="L183" s="66">
        <f>'дод 3 '!M280</f>
        <v>0</v>
      </c>
      <c r="M183" s="66">
        <f>'дод 3 '!N280</f>
        <v>0</v>
      </c>
      <c r="N183" s="66">
        <f>'дод 3 '!O280</f>
        <v>285000</v>
      </c>
      <c r="O183" s="66">
        <f>'дод 3 '!P280</f>
        <v>285000</v>
      </c>
      <c r="P183" s="226"/>
    </row>
    <row r="184" spans="1:16" ht="32.25" customHeight="1" x14ac:dyDescent="0.25">
      <c r="A184" s="19" t="s">
        <v>138</v>
      </c>
      <c r="B184" s="24" t="s">
        <v>307</v>
      </c>
      <c r="C184" s="3" t="s">
        <v>139</v>
      </c>
      <c r="D184" s="66">
        <f>'дод 3 '!E281+'дод 3 '!E361+'дод 3 '!E392</f>
        <v>8793689</v>
      </c>
      <c r="E184" s="66">
        <f>'дод 3 '!F281+'дод 3 '!F361+'дод 3 '!F392</f>
        <v>8097646</v>
      </c>
      <c r="F184" s="66">
        <f>'дод 3 '!G281+'дод 3 '!G361+'дод 3 '!G392</f>
        <v>0</v>
      </c>
      <c r="G184" s="66">
        <f>'дод 3 '!H281+'дод 3 '!H361+'дод 3 '!H392</f>
        <v>60000</v>
      </c>
      <c r="H184" s="66">
        <f>'дод 3 '!I281+'дод 3 '!I361+'дод 3 '!I392</f>
        <v>696043</v>
      </c>
      <c r="I184" s="66">
        <f>'дод 3 '!J281+'дод 3 '!J361+'дод 3 '!J392</f>
        <v>10982759</v>
      </c>
      <c r="J184" s="66">
        <f>'дод 3 '!K281+'дод 3 '!K361+'дод 3 '!K392</f>
        <v>6146500</v>
      </c>
      <c r="K184" s="66">
        <f>'дод 3 '!L281+'дод 3 '!L361+'дод 3 '!L392</f>
        <v>4836259</v>
      </c>
      <c r="L184" s="66">
        <f>'дод 3 '!M281+'дод 3 '!M361+'дод 3 '!M392</f>
        <v>0</v>
      </c>
      <c r="M184" s="66">
        <f>'дод 3 '!N281+'дод 3 '!N361+'дод 3 '!N392</f>
        <v>0</v>
      </c>
      <c r="N184" s="66">
        <f>'дод 3 '!O281+'дод 3 '!O361+'дод 3 '!O392</f>
        <v>6146500</v>
      </c>
      <c r="O184" s="66">
        <f>'дод 3 '!P281+'дод 3 '!P361+'дод 3 '!P392</f>
        <v>19776448</v>
      </c>
      <c r="P184" s="226"/>
    </row>
    <row r="185" spans="1:16" s="26" customFormat="1" ht="21.75" customHeight="1" x14ac:dyDescent="0.25">
      <c r="A185" s="20" t="s">
        <v>133</v>
      </c>
      <c r="B185" s="23"/>
      <c r="C185" s="2" t="s">
        <v>663</v>
      </c>
      <c r="D185" s="25">
        <f t="shared" ref="D185:O185" si="31">D193+D195+D221+D234+D236+D248</f>
        <v>110118615</v>
      </c>
      <c r="E185" s="25">
        <f t="shared" si="31"/>
        <v>25178386</v>
      </c>
      <c r="F185" s="25">
        <f t="shared" si="31"/>
        <v>0</v>
      </c>
      <c r="G185" s="25">
        <f t="shared" si="31"/>
        <v>0</v>
      </c>
      <c r="H185" s="25">
        <f t="shared" si="31"/>
        <v>84940229</v>
      </c>
      <c r="I185" s="25">
        <f t="shared" si="31"/>
        <v>883585351.63</v>
      </c>
      <c r="J185" s="25">
        <f t="shared" si="31"/>
        <v>393436415</v>
      </c>
      <c r="K185" s="25">
        <f t="shared" si="31"/>
        <v>17073680.629999999</v>
      </c>
      <c r="L185" s="25">
        <f t="shared" si="31"/>
        <v>0</v>
      </c>
      <c r="M185" s="25">
        <f t="shared" si="31"/>
        <v>0</v>
      </c>
      <c r="N185" s="25">
        <f t="shared" si="31"/>
        <v>866511671</v>
      </c>
      <c r="O185" s="25">
        <f t="shared" si="31"/>
        <v>993703966.63</v>
      </c>
      <c r="P185" s="226"/>
    </row>
    <row r="186" spans="1:16" s="27" customFormat="1" ht="47.25" hidden="1" customHeight="1" x14ac:dyDescent="0.25">
      <c r="A186" s="32"/>
      <c r="B186" s="33"/>
      <c r="C186" s="36" t="s">
        <v>383</v>
      </c>
      <c r="D186" s="68">
        <f>D196</f>
        <v>0</v>
      </c>
      <c r="E186" s="68">
        <f t="shared" ref="E186:O186" si="32">E196</f>
        <v>0</v>
      </c>
      <c r="F186" s="68">
        <f t="shared" si="32"/>
        <v>0</v>
      </c>
      <c r="G186" s="68">
        <f t="shared" si="32"/>
        <v>0</v>
      </c>
      <c r="H186" s="68">
        <f t="shared" si="32"/>
        <v>0</v>
      </c>
      <c r="I186" s="68">
        <f t="shared" si="32"/>
        <v>0</v>
      </c>
      <c r="J186" s="68">
        <f t="shared" si="32"/>
        <v>0</v>
      </c>
      <c r="K186" s="68">
        <f t="shared" si="32"/>
        <v>0</v>
      </c>
      <c r="L186" s="68">
        <f t="shared" si="32"/>
        <v>0</v>
      </c>
      <c r="M186" s="68">
        <f t="shared" si="32"/>
        <v>0</v>
      </c>
      <c r="N186" s="68">
        <f t="shared" si="32"/>
        <v>0</v>
      </c>
      <c r="O186" s="68">
        <f t="shared" si="32"/>
        <v>0</v>
      </c>
      <c r="P186" s="226"/>
    </row>
    <row r="187" spans="1:16" s="27" customFormat="1" ht="15.75" hidden="1" customHeight="1" x14ac:dyDescent="0.25">
      <c r="A187" s="32"/>
      <c r="B187" s="33"/>
      <c r="C187" s="37" t="s">
        <v>389</v>
      </c>
      <c r="D187" s="68">
        <f>D197</f>
        <v>0</v>
      </c>
      <c r="E187" s="68">
        <f t="shared" ref="E187:O187" si="33">E197</f>
        <v>0</v>
      </c>
      <c r="F187" s="68">
        <f t="shared" si="33"/>
        <v>0</v>
      </c>
      <c r="G187" s="68">
        <f t="shared" si="33"/>
        <v>0</v>
      </c>
      <c r="H187" s="68">
        <f t="shared" si="33"/>
        <v>0</v>
      </c>
      <c r="I187" s="68">
        <f t="shared" si="33"/>
        <v>0</v>
      </c>
      <c r="J187" s="68">
        <f t="shared" si="33"/>
        <v>0</v>
      </c>
      <c r="K187" s="68">
        <f t="shared" si="33"/>
        <v>0</v>
      </c>
      <c r="L187" s="68">
        <f t="shared" si="33"/>
        <v>0</v>
      </c>
      <c r="M187" s="68">
        <f t="shared" si="33"/>
        <v>0</v>
      </c>
      <c r="N187" s="68">
        <f t="shared" si="33"/>
        <v>0</v>
      </c>
      <c r="O187" s="68">
        <f t="shared" si="33"/>
        <v>0</v>
      </c>
      <c r="P187" s="226"/>
    </row>
    <row r="188" spans="1:16" s="27" customFormat="1" ht="101.25" customHeight="1" x14ac:dyDescent="0.25">
      <c r="A188" s="32"/>
      <c r="B188" s="33"/>
      <c r="C188" s="37" t="str">
        <f>'дод 3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'!E264</f>
        <v>0</v>
      </c>
      <c r="E188" s="37">
        <f>'дод 3 '!F264</f>
        <v>0</v>
      </c>
      <c r="F188" s="37">
        <f>'дод 3 '!G264</f>
        <v>0</v>
      </c>
      <c r="G188" s="37">
        <f>'дод 3 '!H264</f>
        <v>0</v>
      </c>
      <c r="H188" s="37">
        <f>'дод 3 '!I264</f>
        <v>0</v>
      </c>
      <c r="I188" s="201">
        <f>'дод 3 '!J264</f>
        <v>7344000</v>
      </c>
      <c r="J188" s="201">
        <f>'дод 3 '!K264</f>
        <v>7344000</v>
      </c>
      <c r="K188" s="201">
        <f>'дод 3 '!L264</f>
        <v>0</v>
      </c>
      <c r="L188" s="201">
        <f>'дод 3 '!M264</f>
        <v>0</v>
      </c>
      <c r="M188" s="201">
        <f>'дод 3 '!N264</f>
        <v>0</v>
      </c>
      <c r="N188" s="201">
        <f>'дод 3 '!O264</f>
        <v>7344000</v>
      </c>
      <c r="O188" s="201">
        <f>'дод 3 '!P264</f>
        <v>7344000</v>
      </c>
      <c r="P188" s="226"/>
    </row>
    <row r="189" spans="1:16" s="27" customFormat="1" ht="56.25" customHeight="1" x14ac:dyDescent="0.25">
      <c r="A189" s="32"/>
      <c r="B189" s="33"/>
      <c r="C189" s="37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D218</f>
        <v>0</v>
      </c>
      <c r="E189" s="202">
        <f t="shared" ref="E189:O189" si="34">E218</f>
        <v>0</v>
      </c>
      <c r="F189" s="202">
        <f t="shared" si="34"/>
        <v>0</v>
      </c>
      <c r="G189" s="202">
        <f t="shared" si="34"/>
        <v>0</v>
      </c>
      <c r="H189" s="202">
        <f t="shared" si="34"/>
        <v>0</v>
      </c>
      <c r="I189" s="233">
        <f t="shared" si="34"/>
        <v>400000000</v>
      </c>
      <c r="J189" s="233">
        <f t="shared" si="34"/>
        <v>0</v>
      </c>
      <c r="K189" s="233">
        <f t="shared" si="34"/>
        <v>0</v>
      </c>
      <c r="L189" s="233">
        <f t="shared" si="34"/>
        <v>0</v>
      </c>
      <c r="M189" s="233">
        <f t="shared" si="34"/>
        <v>0</v>
      </c>
      <c r="N189" s="233">
        <f t="shared" si="34"/>
        <v>400000000</v>
      </c>
      <c r="O189" s="233">
        <f t="shared" si="34"/>
        <v>400000000</v>
      </c>
      <c r="P189" s="226"/>
    </row>
    <row r="190" spans="1:16" s="27" customFormat="1" ht="110.25" x14ac:dyDescent="0.25">
      <c r="A190" s="32"/>
      <c r="B190" s="33"/>
      <c r="C190" s="37" t="str">
        <f>C220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D190" s="37">
        <f>D220</f>
        <v>0</v>
      </c>
      <c r="E190" s="37">
        <f t="shared" ref="E190:O190" si="35">E220</f>
        <v>0</v>
      </c>
      <c r="F190" s="37">
        <f t="shared" si="35"/>
        <v>0</v>
      </c>
      <c r="G190" s="37">
        <f t="shared" si="35"/>
        <v>0</v>
      </c>
      <c r="H190" s="37">
        <f t="shared" si="35"/>
        <v>0</v>
      </c>
      <c r="I190" s="233">
        <f t="shared" si="35"/>
        <v>68535256</v>
      </c>
      <c r="J190" s="233">
        <f t="shared" si="35"/>
        <v>0</v>
      </c>
      <c r="K190" s="233">
        <f t="shared" si="35"/>
        <v>0</v>
      </c>
      <c r="L190" s="233">
        <f t="shared" si="35"/>
        <v>0</v>
      </c>
      <c r="M190" s="233">
        <f t="shared" si="35"/>
        <v>0</v>
      </c>
      <c r="N190" s="233">
        <f t="shared" si="35"/>
        <v>68535256</v>
      </c>
      <c r="O190" s="233">
        <f t="shared" si="35"/>
        <v>68535256</v>
      </c>
      <c r="P190" s="230"/>
    </row>
    <row r="191" spans="1:16" s="27" customFormat="1" ht="18" customHeight="1" x14ac:dyDescent="0.25">
      <c r="A191" s="32"/>
      <c r="B191" s="32"/>
      <c r="C191" s="42" t="s">
        <v>410</v>
      </c>
      <c r="D191" s="68">
        <f>D237</f>
        <v>0</v>
      </c>
      <c r="E191" s="68">
        <f t="shared" ref="E191:O191" si="36">E237</f>
        <v>0</v>
      </c>
      <c r="F191" s="68">
        <f t="shared" si="36"/>
        <v>0</v>
      </c>
      <c r="G191" s="68">
        <f t="shared" si="36"/>
        <v>0</v>
      </c>
      <c r="H191" s="68">
        <f t="shared" si="36"/>
        <v>0</v>
      </c>
      <c r="I191" s="68">
        <f t="shared" si="36"/>
        <v>92214546</v>
      </c>
      <c r="J191" s="68">
        <f t="shared" si="36"/>
        <v>92214546</v>
      </c>
      <c r="K191" s="68">
        <f t="shared" si="36"/>
        <v>0</v>
      </c>
      <c r="L191" s="68">
        <f t="shared" si="36"/>
        <v>0</v>
      </c>
      <c r="M191" s="68">
        <f t="shared" si="36"/>
        <v>0</v>
      </c>
      <c r="N191" s="68">
        <f t="shared" si="36"/>
        <v>92214546</v>
      </c>
      <c r="O191" s="68">
        <f t="shared" si="36"/>
        <v>92214546</v>
      </c>
      <c r="P191" s="226"/>
    </row>
    <row r="192" spans="1:16" s="27" customFormat="1" ht="18" customHeight="1" x14ac:dyDescent="0.25">
      <c r="A192" s="32"/>
      <c r="B192" s="32"/>
      <c r="C192" s="42" t="str">
        <f>C249</f>
        <v>грантів (дарунків)</v>
      </c>
      <c r="D192" s="42">
        <f t="shared" ref="D192:O192" si="37">D249</f>
        <v>0</v>
      </c>
      <c r="E192" s="42">
        <f t="shared" si="37"/>
        <v>0</v>
      </c>
      <c r="F192" s="42">
        <f t="shared" si="37"/>
        <v>0</v>
      </c>
      <c r="G192" s="42">
        <f t="shared" si="37"/>
        <v>0</v>
      </c>
      <c r="H192" s="42">
        <f t="shared" si="37"/>
        <v>0</v>
      </c>
      <c r="I192" s="68">
        <f t="shared" si="37"/>
        <v>4590000</v>
      </c>
      <c r="J192" s="68">
        <f t="shared" si="37"/>
        <v>0</v>
      </c>
      <c r="K192" s="68">
        <f t="shared" si="37"/>
        <v>50000</v>
      </c>
      <c r="L192" s="68">
        <f t="shared" si="37"/>
        <v>0</v>
      </c>
      <c r="M192" s="68">
        <f t="shared" si="37"/>
        <v>0</v>
      </c>
      <c r="N192" s="68">
        <f t="shared" si="37"/>
        <v>4540000</v>
      </c>
      <c r="O192" s="68">
        <f t="shared" si="37"/>
        <v>4590000</v>
      </c>
      <c r="P192" s="236"/>
    </row>
    <row r="193" spans="1:16" s="26" customFormat="1" x14ac:dyDescent="0.25">
      <c r="A193" s="20" t="s">
        <v>140</v>
      </c>
      <c r="B193" s="23"/>
      <c r="C193" s="2" t="s">
        <v>141</v>
      </c>
      <c r="D193" s="25">
        <f t="shared" ref="D193:O193" si="38">D194</f>
        <v>1750000</v>
      </c>
      <c r="E193" s="25">
        <f t="shared" si="38"/>
        <v>1750000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0</v>
      </c>
      <c r="J193" s="25">
        <f t="shared" si="38"/>
        <v>0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0</v>
      </c>
      <c r="O193" s="25">
        <f t="shared" si="38"/>
        <v>1750000</v>
      </c>
      <c r="P193" s="226"/>
    </row>
    <row r="194" spans="1:16" ht="24" customHeight="1" x14ac:dyDescent="0.25">
      <c r="A194" s="19" t="s">
        <v>134</v>
      </c>
      <c r="B194" s="19" t="s">
        <v>82</v>
      </c>
      <c r="C194" s="3" t="s">
        <v>340</v>
      </c>
      <c r="D194" s="66">
        <f>'дод 3 '!E376+'дод 3 '!E384+'дод 3 '!E393</f>
        <v>1750000</v>
      </c>
      <c r="E194" s="66">
        <f>'дод 3 '!F376+'дод 3 '!F384+'дод 3 '!F393</f>
        <v>1750000</v>
      </c>
      <c r="F194" s="66">
        <f>'дод 3 '!G376+'дод 3 '!G384+'дод 3 '!G393</f>
        <v>0</v>
      </c>
      <c r="G194" s="66">
        <f>'дод 3 '!H376+'дод 3 '!H384+'дод 3 '!H393</f>
        <v>0</v>
      </c>
      <c r="H194" s="66">
        <f>'дод 3 '!I376+'дод 3 '!I384+'дод 3 '!I393</f>
        <v>0</v>
      </c>
      <c r="I194" s="66">
        <f>'дод 3 '!J376+'дод 3 '!J384+'дод 3 '!J393</f>
        <v>0</v>
      </c>
      <c r="J194" s="66">
        <f>'дод 3 '!K376+'дод 3 '!K384+'дод 3 '!K393</f>
        <v>0</v>
      </c>
      <c r="K194" s="66">
        <f>'дод 3 '!L376+'дод 3 '!L384+'дод 3 '!L393</f>
        <v>0</v>
      </c>
      <c r="L194" s="66">
        <f>'дод 3 '!M376+'дод 3 '!M384+'дод 3 '!M393</f>
        <v>0</v>
      </c>
      <c r="M194" s="66">
        <f>'дод 3 '!N376+'дод 3 '!N384+'дод 3 '!N393</f>
        <v>0</v>
      </c>
      <c r="N194" s="66">
        <f>'дод 3 '!O376+'дод 3 '!O384+'дод 3 '!O393</f>
        <v>0</v>
      </c>
      <c r="O194" s="66">
        <f>'дод 3 '!P376+'дод 3 '!P384+'дод 3 '!P393</f>
        <v>1750000</v>
      </c>
      <c r="P194" s="226"/>
    </row>
    <row r="195" spans="1:16" s="26" customFormat="1" ht="21" customHeight="1" x14ac:dyDescent="0.25">
      <c r="A195" s="20" t="s">
        <v>96</v>
      </c>
      <c r="B195" s="20"/>
      <c r="C195" s="13" t="s">
        <v>562</v>
      </c>
      <c r="D195" s="25">
        <f>D198+D200+D202+D203+D204+D205+D206+D207+D208+D209+D211+D213+D215+D217+D219+D216</f>
        <v>5500000</v>
      </c>
      <c r="E195" s="25">
        <f t="shared" ref="E195:O195" si="39">E198+E200+E202+E203+E204+E205+E206+E207+E208+E209+E211+E213+E215+E217+E219+E216</f>
        <v>5500000</v>
      </c>
      <c r="F195" s="25">
        <f t="shared" si="39"/>
        <v>0</v>
      </c>
      <c r="G195" s="25">
        <f t="shared" si="39"/>
        <v>0</v>
      </c>
      <c r="H195" s="25">
        <f t="shared" si="39"/>
        <v>0</v>
      </c>
      <c r="I195" s="25">
        <f t="shared" si="39"/>
        <v>623375595</v>
      </c>
      <c r="J195" s="25">
        <f t="shared" si="39"/>
        <v>154840339</v>
      </c>
      <c r="K195" s="25">
        <f t="shared" si="39"/>
        <v>0</v>
      </c>
      <c r="L195" s="25">
        <f t="shared" si="39"/>
        <v>0</v>
      </c>
      <c r="M195" s="25">
        <f t="shared" si="39"/>
        <v>0</v>
      </c>
      <c r="N195" s="25">
        <f t="shared" si="39"/>
        <v>623375595</v>
      </c>
      <c r="O195" s="25">
        <f t="shared" si="39"/>
        <v>628875595</v>
      </c>
      <c r="P195" s="226"/>
    </row>
    <row r="196" spans="1:16" s="27" customFormat="1" ht="63" hidden="1" customHeight="1" x14ac:dyDescent="0.25">
      <c r="A196" s="32"/>
      <c r="B196" s="32"/>
      <c r="C196" s="36" t="s">
        <v>602</v>
      </c>
      <c r="D196" s="68">
        <f>D212</f>
        <v>0</v>
      </c>
      <c r="E196" s="68">
        <f t="shared" ref="E196:O196" si="40">E212</f>
        <v>0</v>
      </c>
      <c r="F196" s="68">
        <f t="shared" si="40"/>
        <v>0</v>
      </c>
      <c r="G196" s="68">
        <f t="shared" si="40"/>
        <v>0</v>
      </c>
      <c r="H196" s="68">
        <f t="shared" si="40"/>
        <v>0</v>
      </c>
      <c r="I196" s="68">
        <f t="shared" si="40"/>
        <v>0</v>
      </c>
      <c r="J196" s="68">
        <f t="shared" si="40"/>
        <v>0</v>
      </c>
      <c r="K196" s="68">
        <f t="shared" si="40"/>
        <v>0</v>
      </c>
      <c r="L196" s="68">
        <f t="shared" si="40"/>
        <v>0</v>
      </c>
      <c r="M196" s="68">
        <f t="shared" si="40"/>
        <v>0</v>
      </c>
      <c r="N196" s="68">
        <f t="shared" si="40"/>
        <v>0</v>
      </c>
      <c r="O196" s="68">
        <f t="shared" si="40"/>
        <v>0</v>
      </c>
      <c r="P196" s="226"/>
    </row>
    <row r="197" spans="1:16" s="27" customFormat="1" ht="15.75" hidden="1" customHeight="1" x14ac:dyDescent="0.25">
      <c r="A197" s="32"/>
      <c r="B197" s="32"/>
      <c r="C197" s="37" t="s">
        <v>389</v>
      </c>
      <c r="D197" s="68">
        <f>D201+D214</f>
        <v>0</v>
      </c>
      <c r="E197" s="68">
        <f t="shared" ref="E197:O197" si="41">E201+E214</f>
        <v>0</v>
      </c>
      <c r="F197" s="68">
        <f t="shared" si="41"/>
        <v>0</v>
      </c>
      <c r="G197" s="68">
        <f t="shared" si="41"/>
        <v>0</v>
      </c>
      <c r="H197" s="68">
        <f t="shared" si="41"/>
        <v>0</v>
      </c>
      <c r="I197" s="68">
        <f t="shared" si="41"/>
        <v>0</v>
      </c>
      <c r="J197" s="68">
        <f>J201+J214</f>
        <v>0</v>
      </c>
      <c r="K197" s="68">
        <f t="shared" si="41"/>
        <v>0</v>
      </c>
      <c r="L197" s="68">
        <f t="shared" si="41"/>
        <v>0</v>
      </c>
      <c r="M197" s="68">
        <f t="shared" si="41"/>
        <v>0</v>
      </c>
      <c r="N197" s="68">
        <f t="shared" si="41"/>
        <v>0</v>
      </c>
      <c r="O197" s="68">
        <f t="shared" si="41"/>
        <v>0</v>
      </c>
      <c r="P197" s="226"/>
    </row>
    <row r="198" spans="1:16" ht="33.75" customHeight="1" x14ac:dyDescent="0.25">
      <c r="A198" s="22" t="s">
        <v>269</v>
      </c>
      <c r="B198" s="22" t="s">
        <v>110</v>
      </c>
      <c r="C198" s="6" t="s">
        <v>693</v>
      </c>
      <c r="D198" s="66">
        <f>'дод 3 '!E343+'дод 3 '!E282</f>
        <v>0</v>
      </c>
      <c r="E198" s="66">
        <f>'дод 3 '!F343+'дод 3 '!F282</f>
        <v>0</v>
      </c>
      <c r="F198" s="66">
        <f>'дод 3 '!G343+'дод 3 '!G282</f>
        <v>0</v>
      </c>
      <c r="G198" s="66">
        <f>'дод 3 '!H343+'дод 3 '!H282</f>
        <v>0</v>
      </c>
      <c r="H198" s="66">
        <f>'дод 3 '!I343+'дод 3 '!I282</f>
        <v>0</v>
      </c>
      <c r="I198" s="66">
        <f>'дод 3 '!J343+'дод 3 '!J282</f>
        <v>62401848</v>
      </c>
      <c r="J198" s="66">
        <f>'дод 3 '!K343+'дод 3 '!K282</f>
        <v>62401848</v>
      </c>
      <c r="K198" s="66">
        <f>'дод 3 '!L343+'дод 3 '!L282</f>
        <v>0</v>
      </c>
      <c r="L198" s="66">
        <f>'дод 3 '!M343+'дод 3 '!M282</f>
        <v>0</v>
      </c>
      <c r="M198" s="66">
        <f>'дод 3 '!N343+'дод 3 '!N282</f>
        <v>0</v>
      </c>
      <c r="N198" s="66">
        <f>'дод 3 '!O343+'дод 3 '!O282</f>
        <v>62401848</v>
      </c>
      <c r="O198" s="66">
        <f>'дод 3 '!P343+'дод 3 '!P282</f>
        <v>62401848</v>
      </c>
      <c r="P198" s="226"/>
    </row>
    <row r="199" spans="1:16" ht="98.25" customHeight="1" x14ac:dyDescent="0.25">
      <c r="A199" s="22"/>
      <c r="B199" s="22"/>
      <c r="C199" s="39" t="str">
        <f>'дод 3 '!D283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39">
        <f>'дод 3 '!E283</f>
        <v>0</v>
      </c>
      <c r="E199" s="39">
        <f>'дод 3 '!F283</f>
        <v>0</v>
      </c>
      <c r="F199" s="39">
        <f>'дод 3 '!G283</f>
        <v>0</v>
      </c>
      <c r="G199" s="39">
        <f>'дод 3 '!H283</f>
        <v>0</v>
      </c>
      <c r="H199" s="39">
        <f>'дод 3 '!I283</f>
        <v>0</v>
      </c>
      <c r="I199" s="200">
        <f>'дод 3 '!J283</f>
        <v>7344000</v>
      </c>
      <c r="J199" s="200">
        <f>'дод 3 '!K283</f>
        <v>7344000</v>
      </c>
      <c r="K199" s="200">
        <f>'дод 3 '!L283</f>
        <v>0</v>
      </c>
      <c r="L199" s="200">
        <f>'дод 3 '!M283</f>
        <v>0</v>
      </c>
      <c r="M199" s="200">
        <f>'дод 3 '!N283</f>
        <v>0</v>
      </c>
      <c r="N199" s="200">
        <f>'дод 3 '!O283</f>
        <v>7344000</v>
      </c>
      <c r="O199" s="200">
        <f>'дод 3 '!P283</f>
        <v>7344000</v>
      </c>
      <c r="P199" s="226"/>
    </row>
    <row r="200" spans="1:16" s="28" customFormat="1" ht="18.75" x14ac:dyDescent="0.25">
      <c r="A200" s="22" t="s">
        <v>274</v>
      </c>
      <c r="B200" s="22" t="s">
        <v>110</v>
      </c>
      <c r="C200" s="6" t="s">
        <v>511</v>
      </c>
      <c r="D200" s="66">
        <f>'дод 3 '!E133+'дод 3 '!E344</f>
        <v>0</v>
      </c>
      <c r="E200" s="66">
        <f>'дод 3 '!F133+'дод 3 '!F344</f>
        <v>0</v>
      </c>
      <c r="F200" s="66">
        <f>'дод 3 '!G133+'дод 3 '!G344</f>
        <v>0</v>
      </c>
      <c r="G200" s="66">
        <f>'дод 3 '!H133+'дод 3 '!H344</f>
        <v>0</v>
      </c>
      <c r="H200" s="66">
        <f>'дод 3 '!I133+'дод 3 '!I344</f>
        <v>0</v>
      </c>
      <c r="I200" s="66">
        <f>'дод 3 '!J133+'дод 3 '!J344</f>
        <v>4541407</v>
      </c>
      <c r="J200" s="66">
        <f>'дод 3 '!K133+'дод 3 '!K344</f>
        <v>4541407</v>
      </c>
      <c r="K200" s="66">
        <f>'дод 3 '!L133+'дод 3 '!L344</f>
        <v>0</v>
      </c>
      <c r="L200" s="66">
        <f>'дод 3 '!M133+'дод 3 '!M344</f>
        <v>0</v>
      </c>
      <c r="M200" s="66">
        <f>'дод 3 '!N133+'дод 3 '!N344</f>
        <v>0</v>
      </c>
      <c r="N200" s="66">
        <f>'дод 3 '!O133+'дод 3 '!O344</f>
        <v>4541407</v>
      </c>
      <c r="O200" s="66">
        <f>'дод 3 '!P133+'дод 3 '!P344</f>
        <v>4541407</v>
      </c>
      <c r="P200" s="226"/>
    </row>
    <row r="201" spans="1:16" s="28" customFormat="1" ht="21.75" hidden="1" customHeight="1" x14ac:dyDescent="0.25">
      <c r="A201" s="41"/>
      <c r="B201" s="41"/>
      <c r="C201" s="46" t="s">
        <v>389</v>
      </c>
      <c r="D201" s="67">
        <f>'дод 3 '!E134</f>
        <v>0</v>
      </c>
      <c r="E201" s="67">
        <f>'дод 3 '!F134</f>
        <v>0</v>
      </c>
      <c r="F201" s="67">
        <f>'дод 3 '!G134</f>
        <v>0</v>
      </c>
      <c r="G201" s="67">
        <f>'дод 3 '!H134</f>
        <v>0</v>
      </c>
      <c r="H201" s="67">
        <f>'дод 3 '!I134</f>
        <v>0</v>
      </c>
      <c r="I201" s="67">
        <f>'дод 3 '!J134</f>
        <v>0</v>
      </c>
      <c r="J201" s="67">
        <f>'дод 3 '!K134</f>
        <v>0</v>
      </c>
      <c r="K201" s="67">
        <f>'дод 3 '!L134</f>
        <v>0</v>
      </c>
      <c r="L201" s="67">
        <f>'дод 3 '!M134</f>
        <v>0</v>
      </c>
      <c r="M201" s="67">
        <f>'дод 3 '!N134</f>
        <v>0</v>
      </c>
      <c r="N201" s="67">
        <f>'дод 3 '!O134</f>
        <v>0</v>
      </c>
      <c r="O201" s="67">
        <f>'дод 3 '!P134</f>
        <v>0</v>
      </c>
      <c r="P201" s="226"/>
    </row>
    <row r="202" spans="1:16" s="28" customFormat="1" ht="24" customHeight="1" x14ac:dyDescent="0.25">
      <c r="A202" s="22" t="s">
        <v>276</v>
      </c>
      <c r="B202" s="22" t="s">
        <v>110</v>
      </c>
      <c r="C202" s="6" t="s">
        <v>512</v>
      </c>
      <c r="D202" s="66">
        <f>'дод 3 '!E345+'дод 3 '!E182</f>
        <v>0</v>
      </c>
      <c r="E202" s="66">
        <f>'дод 3 '!F345+'дод 3 '!F182</f>
        <v>0</v>
      </c>
      <c r="F202" s="66">
        <f>'дод 3 '!G345+'дод 3 '!G182</f>
        <v>0</v>
      </c>
      <c r="G202" s="66">
        <f>'дод 3 '!H345+'дод 3 '!H182</f>
        <v>0</v>
      </c>
      <c r="H202" s="66">
        <f>'дод 3 '!I345+'дод 3 '!I182</f>
        <v>0</v>
      </c>
      <c r="I202" s="66">
        <f>'дод 3 '!J345+'дод 3 '!J182</f>
        <v>9071975</v>
      </c>
      <c r="J202" s="66">
        <f>'дод 3 '!K345+'дод 3 '!K182</f>
        <v>9071975</v>
      </c>
      <c r="K202" s="66">
        <f>'дод 3 '!L345+'дод 3 '!L182</f>
        <v>0</v>
      </c>
      <c r="L202" s="66">
        <f>'дод 3 '!M345+'дод 3 '!M182</f>
        <v>0</v>
      </c>
      <c r="M202" s="66">
        <f>'дод 3 '!N345+'дод 3 '!N182</f>
        <v>0</v>
      </c>
      <c r="N202" s="66">
        <f>'дод 3 '!O345+'дод 3 '!O182</f>
        <v>9071975</v>
      </c>
      <c r="O202" s="66">
        <f>'дод 3 '!P345+'дод 3 '!P182</f>
        <v>9071975</v>
      </c>
      <c r="P202" s="226"/>
    </row>
    <row r="203" spans="1:16" s="28" customFormat="1" ht="22.5" hidden="1" customHeight="1" x14ac:dyDescent="0.25">
      <c r="A203" s="22">
        <v>7323</v>
      </c>
      <c r="B203" s="34" t="s">
        <v>110</v>
      </c>
      <c r="C203" s="59" t="s">
        <v>513</v>
      </c>
      <c r="D203" s="66">
        <f>'дод 3 '!E231+'дод 3 '!E39</f>
        <v>0</v>
      </c>
      <c r="E203" s="66">
        <f>'дод 3 '!F231+'дод 3 '!F39</f>
        <v>0</v>
      </c>
      <c r="F203" s="66">
        <f>'дод 3 '!G231+'дод 3 '!G39</f>
        <v>0</v>
      </c>
      <c r="G203" s="66">
        <f>'дод 3 '!H231+'дод 3 '!H39</f>
        <v>0</v>
      </c>
      <c r="H203" s="66">
        <f>'дод 3 '!I231+'дод 3 '!I39</f>
        <v>0</v>
      </c>
      <c r="I203" s="66">
        <f>'дод 3 '!J231+'дод 3 '!J39</f>
        <v>0</v>
      </c>
      <c r="J203" s="66">
        <f>'дод 3 '!K231+'дод 3 '!K39</f>
        <v>0</v>
      </c>
      <c r="K203" s="66">
        <f>'дод 3 '!L231+'дод 3 '!L39</f>
        <v>0</v>
      </c>
      <c r="L203" s="66">
        <f>'дод 3 '!M231+'дод 3 '!M39</f>
        <v>0</v>
      </c>
      <c r="M203" s="66">
        <f>'дод 3 '!N231+'дод 3 '!N39</f>
        <v>0</v>
      </c>
      <c r="N203" s="66">
        <f>'дод 3 '!O231+'дод 3 '!O39</f>
        <v>0</v>
      </c>
      <c r="O203" s="66">
        <f>'дод 3 '!P231+'дод 3 '!P39</f>
        <v>0</v>
      </c>
      <c r="P203" s="226"/>
    </row>
    <row r="204" spans="1:16" s="28" customFormat="1" ht="19.5" hidden="1" customHeight="1" x14ac:dyDescent="0.25">
      <c r="A204" s="22">
        <v>7324</v>
      </c>
      <c r="B204" s="34" t="s">
        <v>110</v>
      </c>
      <c r="C204" s="6" t="s">
        <v>514</v>
      </c>
      <c r="D204" s="66">
        <f>'дод 3 '!E253+'дод 3 '!E346</f>
        <v>0</v>
      </c>
      <c r="E204" s="66">
        <f>'дод 3 '!F253+'дод 3 '!F346</f>
        <v>0</v>
      </c>
      <c r="F204" s="66">
        <f>'дод 3 '!G253+'дод 3 '!G346</f>
        <v>0</v>
      </c>
      <c r="G204" s="66">
        <f>'дод 3 '!H253+'дод 3 '!H346</f>
        <v>0</v>
      </c>
      <c r="H204" s="66">
        <f>'дод 3 '!I253+'дод 3 '!I346</f>
        <v>0</v>
      </c>
      <c r="I204" s="66">
        <f>'дод 3 '!J253+'дод 3 '!J346</f>
        <v>0</v>
      </c>
      <c r="J204" s="66">
        <f>'дод 3 '!K253+'дод 3 '!K346</f>
        <v>0</v>
      </c>
      <c r="K204" s="66">
        <f>'дод 3 '!L253+'дод 3 '!L346</f>
        <v>0</v>
      </c>
      <c r="L204" s="66">
        <f>'дод 3 '!M253+'дод 3 '!M346</f>
        <v>0</v>
      </c>
      <c r="M204" s="66">
        <f>'дод 3 '!N253+'дод 3 '!N346</f>
        <v>0</v>
      </c>
      <c r="N204" s="66">
        <f>'дод 3 '!O253+'дод 3 '!O346</f>
        <v>0</v>
      </c>
      <c r="O204" s="66">
        <f>'дод 3 '!P253+'дод 3 '!P346</f>
        <v>0</v>
      </c>
      <c r="P204" s="226"/>
    </row>
    <row r="205" spans="1:16" s="28" customFormat="1" ht="41.25" customHeight="1" x14ac:dyDescent="0.25">
      <c r="A205" s="22">
        <v>7325</v>
      </c>
      <c r="B205" s="34" t="s">
        <v>110</v>
      </c>
      <c r="C205" s="6" t="s">
        <v>509</v>
      </c>
      <c r="D205" s="66">
        <f>'дод 3 '!E347+'дод 3 '!E40</f>
        <v>0</v>
      </c>
      <c r="E205" s="66">
        <f>'дод 3 '!F347+'дод 3 '!F40</f>
        <v>0</v>
      </c>
      <c r="F205" s="66">
        <f>'дод 3 '!G347+'дод 3 '!G40</f>
        <v>0</v>
      </c>
      <c r="G205" s="66">
        <f>'дод 3 '!H347+'дод 3 '!H40</f>
        <v>0</v>
      </c>
      <c r="H205" s="66">
        <f>'дод 3 '!I347+'дод 3 '!I40</f>
        <v>0</v>
      </c>
      <c r="I205" s="66">
        <f>'дод 3 '!J347+'дод 3 '!J40</f>
        <v>293385</v>
      </c>
      <c r="J205" s="66">
        <f>'дод 3 '!K347+'дод 3 '!K40</f>
        <v>293385</v>
      </c>
      <c r="K205" s="66">
        <f>'дод 3 '!L347+'дод 3 '!L40</f>
        <v>0</v>
      </c>
      <c r="L205" s="66">
        <f>'дод 3 '!M347+'дод 3 '!M40</f>
        <v>0</v>
      </c>
      <c r="M205" s="66">
        <f>'дод 3 '!N347+'дод 3 '!N40</f>
        <v>0</v>
      </c>
      <c r="N205" s="66">
        <f>'дод 3 '!O347+'дод 3 '!O40</f>
        <v>293385</v>
      </c>
      <c r="O205" s="66">
        <f>'дод 3 '!P347+'дод 3 '!P40</f>
        <v>293385</v>
      </c>
      <c r="P205" s="226"/>
    </row>
    <row r="206" spans="1:16" ht="21.75" customHeight="1" x14ac:dyDescent="0.25">
      <c r="A206" s="22" t="s">
        <v>271</v>
      </c>
      <c r="B206" s="22" t="s">
        <v>110</v>
      </c>
      <c r="C206" s="6" t="s">
        <v>510</v>
      </c>
      <c r="D206" s="66">
        <f>'дод 3 '!E348+'дод 3 '!E284+'дод 3 '!E41</f>
        <v>0</v>
      </c>
      <c r="E206" s="66">
        <f>'дод 3 '!F348+'дод 3 '!F284+'дод 3 '!F41</f>
        <v>0</v>
      </c>
      <c r="F206" s="66">
        <f>'дод 3 '!G348+'дод 3 '!G284+'дод 3 '!G41</f>
        <v>0</v>
      </c>
      <c r="G206" s="66">
        <f>'дод 3 '!H348+'дод 3 '!H284+'дод 3 '!H41</f>
        <v>0</v>
      </c>
      <c r="H206" s="66">
        <f>'дод 3 '!I348+'дод 3 '!I284+'дод 3 '!I41</f>
        <v>0</v>
      </c>
      <c r="I206" s="66">
        <f>'дод 3 '!J348+'дод 3 '!J284+'дод 3 '!J41</f>
        <v>19941167</v>
      </c>
      <c r="J206" s="66">
        <f>'дод 3 '!K348+'дод 3 '!K284+'дод 3 '!K41</f>
        <v>19941167</v>
      </c>
      <c r="K206" s="66">
        <f>'дод 3 '!L348+'дод 3 '!L284+'дод 3 '!L41</f>
        <v>0</v>
      </c>
      <c r="L206" s="66">
        <f>'дод 3 '!M348+'дод 3 '!M284+'дод 3 '!M41</f>
        <v>0</v>
      </c>
      <c r="M206" s="66">
        <f>'дод 3 '!N348+'дод 3 '!N284+'дод 3 '!N41</f>
        <v>0</v>
      </c>
      <c r="N206" s="66">
        <f>'дод 3 '!O348+'дод 3 '!O284+'дод 3 '!O41</f>
        <v>19941167</v>
      </c>
      <c r="O206" s="66">
        <f>'дод 3 '!P348+'дод 3 '!P284+'дод 3 '!P41</f>
        <v>19941167</v>
      </c>
      <c r="P206" s="226"/>
    </row>
    <row r="207" spans="1:16" ht="31.5" customHeight="1" x14ac:dyDescent="0.25">
      <c r="A207" s="19" t="s">
        <v>135</v>
      </c>
      <c r="B207" s="19" t="s">
        <v>110</v>
      </c>
      <c r="C207" s="3" t="s">
        <v>1</v>
      </c>
      <c r="D207" s="66">
        <f>'дод 3 '!E285+'дод 3 '!E349+'дод 3 '!E362+'дод 3 '!E394</f>
        <v>0</v>
      </c>
      <c r="E207" s="66">
        <f>'дод 3 '!F285+'дод 3 '!F349+'дод 3 '!F362+'дод 3 '!F394</f>
        <v>0</v>
      </c>
      <c r="F207" s="66">
        <f>'дод 3 '!G285+'дод 3 '!G349+'дод 3 '!G362+'дод 3 '!G394</f>
        <v>0</v>
      </c>
      <c r="G207" s="66">
        <f>'дод 3 '!H285+'дод 3 '!H349+'дод 3 '!H362+'дод 3 '!H394</f>
        <v>0</v>
      </c>
      <c r="H207" s="66">
        <f>'дод 3 '!I285+'дод 3 '!I349+'дод 3 '!I362+'дод 3 '!I394</f>
        <v>0</v>
      </c>
      <c r="I207" s="66">
        <f>'дод 3 '!J285+'дод 3 '!J349+'дод 3 '!J362+'дод 3 '!J394</f>
        <v>17949922</v>
      </c>
      <c r="J207" s="66">
        <f>'дод 3 '!K285+'дод 3 '!K349+'дод 3 '!K362+'дод 3 '!K394</f>
        <v>17949922</v>
      </c>
      <c r="K207" s="66">
        <f>'дод 3 '!L285+'дод 3 '!L349+'дод 3 '!L362+'дод 3 '!L394</f>
        <v>0</v>
      </c>
      <c r="L207" s="66">
        <f>'дод 3 '!M285+'дод 3 '!M349+'дод 3 '!M362+'дод 3 '!M394</f>
        <v>0</v>
      </c>
      <c r="M207" s="66">
        <f>'дод 3 '!N285+'дод 3 '!N349+'дод 3 '!N362+'дод 3 '!N394</f>
        <v>0</v>
      </c>
      <c r="N207" s="66">
        <f>'дод 3 '!O285+'дод 3 '!O349+'дод 3 '!O362+'дод 3 '!O394</f>
        <v>17949922</v>
      </c>
      <c r="O207" s="66">
        <f>'дод 3 '!P285+'дод 3 '!P349+'дод 3 '!P362+'дод 3 '!P394</f>
        <v>17949922</v>
      </c>
      <c r="P207" s="226"/>
    </row>
    <row r="208" spans="1:16" ht="35.25" hidden="1" customHeight="1" x14ac:dyDescent="0.25">
      <c r="A208" s="29" t="s">
        <v>440</v>
      </c>
      <c r="B208" s="29" t="s">
        <v>110</v>
      </c>
      <c r="C208" s="3" t="s">
        <v>441</v>
      </c>
      <c r="D208" s="66">
        <f>'дод 3 '!E363</f>
        <v>0</v>
      </c>
      <c r="E208" s="66">
        <f>'дод 3 '!F363</f>
        <v>0</v>
      </c>
      <c r="F208" s="66">
        <f>'дод 3 '!G363</f>
        <v>0</v>
      </c>
      <c r="G208" s="66">
        <f>'дод 3 '!H363</f>
        <v>0</v>
      </c>
      <c r="H208" s="66">
        <f>'дод 3 '!I363</f>
        <v>0</v>
      </c>
      <c r="I208" s="66">
        <f>'дод 3 '!J363</f>
        <v>0</v>
      </c>
      <c r="J208" s="66">
        <f>'дод 3 '!K363</f>
        <v>0</v>
      </c>
      <c r="K208" s="66">
        <f>'дод 3 '!L363</f>
        <v>0</v>
      </c>
      <c r="L208" s="66">
        <f>'дод 3 '!M363</f>
        <v>0</v>
      </c>
      <c r="M208" s="66">
        <f>'дод 3 '!N363</f>
        <v>0</v>
      </c>
      <c r="N208" s="66">
        <f>'дод 3 '!O363</f>
        <v>0</v>
      </c>
      <c r="O208" s="66">
        <f>'дод 3 '!P363</f>
        <v>0</v>
      </c>
      <c r="P208" s="226"/>
    </row>
    <row r="209" spans="1:16" ht="49.5" customHeight="1" x14ac:dyDescent="0.25">
      <c r="A209" s="19">
        <v>7361</v>
      </c>
      <c r="B209" s="19" t="s">
        <v>81</v>
      </c>
      <c r="C209" s="3" t="s">
        <v>367</v>
      </c>
      <c r="D209" s="66">
        <f>'дод 3 '!E286+'дод 3 '!E350+'дод 3 '!E183</f>
        <v>0</v>
      </c>
      <c r="E209" s="66">
        <f>'дод 3 '!F286+'дод 3 '!F350+'дод 3 '!F183</f>
        <v>0</v>
      </c>
      <c r="F209" s="66">
        <f>'дод 3 '!G286+'дод 3 '!G350+'дод 3 '!G183</f>
        <v>0</v>
      </c>
      <c r="G209" s="66">
        <f>'дод 3 '!H286+'дод 3 '!H350+'дод 3 '!H183</f>
        <v>0</v>
      </c>
      <c r="H209" s="66">
        <f>'дод 3 '!I286+'дод 3 '!I350+'дод 3 '!I183</f>
        <v>0</v>
      </c>
      <c r="I209" s="66">
        <f>'дод 3 '!J286+'дод 3 '!J350+'дод 3 '!J183</f>
        <v>16790635</v>
      </c>
      <c r="J209" s="66">
        <f>'дод 3 '!K286+'дод 3 '!K350+'дод 3 '!K183</f>
        <v>16790635</v>
      </c>
      <c r="K209" s="66">
        <f>'дод 3 '!L286+'дод 3 '!L350+'дод 3 '!L183</f>
        <v>0</v>
      </c>
      <c r="L209" s="66">
        <f>'дод 3 '!M286+'дод 3 '!M350+'дод 3 '!M183</f>
        <v>0</v>
      </c>
      <c r="M209" s="66">
        <f>'дод 3 '!N286+'дод 3 '!N350+'дод 3 '!N183</f>
        <v>0</v>
      </c>
      <c r="N209" s="66">
        <f>'дод 3 '!O286+'дод 3 '!O350+'дод 3 '!O183</f>
        <v>16790635</v>
      </c>
      <c r="O209" s="66">
        <f>'дод 3 '!P286+'дод 3 '!P350+'дод 3 '!P183</f>
        <v>16790635</v>
      </c>
      <c r="P209" s="226"/>
    </row>
    <row r="210" spans="1:16" s="28" customFormat="1" ht="46.5" hidden="1" customHeight="1" x14ac:dyDescent="0.25">
      <c r="A210" s="19">
        <v>7362</v>
      </c>
      <c r="B210" s="19" t="s">
        <v>81</v>
      </c>
      <c r="C210" s="3" t="s">
        <v>359</v>
      </c>
      <c r="D210" s="66">
        <f>'дод 3 '!E287</f>
        <v>0</v>
      </c>
      <c r="E210" s="66">
        <f>'дод 3 '!F287</f>
        <v>0</v>
      </c>
      <c r="F210" s="66">
        <f>'дод 3 '!G287</f>
        <v>0</v>
      </c>
      <c r="G210" s="66">
        <f>'дод 3 '!H287</f>
        <v>0</v>
      </c>
      <c r="H210" s="66">
        <f>'дод 3 '!I287</f>
        <v>0</v>
      </c>
      <c r="I210" s="66">
        <f>'дод 3 '!J287</f>
        <v>0</v>
      </c>
      <c r="J210" s="66">
        <f>'дод 3 '!K287</f>
        <v>0</v>
      </c>
      <c r="K210" s="66">
        <f>'дод 3 '!L287</f>
        <v>0</v>
      </c>
      <c r="L210" s="66">
        <f>'дод 3 '!M287</f>
        <v>0</v>
      </c>
      <c r="M210" s="66">
        <f>'дод 3 '!N287</f>
        <v>0</v>
      </c>
      <c r="N210" s="66">
        <f>'дод 3 '!O287</f>
        <v>0</v>
      </c>
      <c r="O210" s="66">
        <f>'дод 3 '!P287</f>
        <v>0</v>
      </c>
      <c r="P210" s="226"/>
    </row>
    <row r="211" spans="1:16" s="28" customFormat="1" ht="47.25" hidden="1" customHeight="1" x14ac:dyDescent="0.25">
      <c r="A211" s="19">
        <v>7363</v>
      </c>
      <c r="B211" s="30" t="s">
        <v>81</v>
      </c>
      <c r="C211" s="31" t="s">
        <v>575</v>
      </c>
      <c r="D211" s="66">
        <f>'дод 3 '!E288+'дод 3 '!E135+'дод 3 '!E184+'дод 3 '!E351</f>
        <v>0</v>
      </c>
      <c r="E211" s="66">
        <f>'дод 3 '!F288+'дод 3 '!F135+'дод 3 '!F184+'дод 3 '!F351</f>
        <v>0</v>
      </c>
      <c r="F211" s="66">
        <f>'дод 3 '!G288+'дод 3 '!G135+'дод 3 '!G184+'дод 3 '!G351</f>
        <v>0</v>
      </c>
      <c r="G211" s="66">
        <f>'дод 3 '!H288+'дод 3 '!H135+'дод 3 '!H184+'дод 3 '!H351</f>
        <v>0</v>
      </c>
      <c r="H211" s="66">
        <f>'дод 3 '!I288+'дод 3 '!I135+'дод 3 '!I184+'дод 3 '!I351</f>
        <v>0</v>
      </c>
      <c r="I211" s="66">
        <f>'дод 3 '!J288+'дод 3 '!J135+'дод 3 '!J184+'дод 3 '!J351</f>
        <v>0</v>
      </c>
      <c r="J211" s="66">
        <f>'дод 3 '!K288+'дод 3 '!K135+'дод 3 '!K184+'дод 3 '!K351</f>
        <v>0</v>
      </c>
      <c r="K211" s="66">
        <f>'дод 3 '!L288+'дод 3 '!L135+'дод 3 '!L184+'дод 3 '!L351</f>
        <v>0</v>
      </c>
      <c r="L211" s="66">
        <f>'дод 3 '!M288+'дод 3 '!M135+'дод 3 '!M184+'дод 3 '!M351</f>
        <v>0</v>
      </c>
      <c r="M211" s="66">
        <f>'дод 3 '!N288+'дод 3 '!N135+'дод 3 '!N184+'дод 3 '!N351</f>
        <v>0</v>
      </c>
      <c r="N211" s="66">
        <f>'дод 3 '!O288+'дод 3 '!O135+'дод 3 '!O184+'дод 3 '!O351</f>
        <v>0</v>
      </c>
      <c r="O211" s="66">
        <f>'дод 3 '!P288+'дод 3 '!P135+'дод 3 '!P184+'дод 3 '!P351</f>
        <v>0</v>
      </c>
      <c r="P211" s="226"/>
    </row>
    <row r="212" spans="1:16" s="28" customFormat="1" ht="47.25" hidden="1" customHeight="1" x14ac:dyDescent="0.25">
      <c r="A212" s="38"/>
      <c r="B212" s="43"/>
      <c r="C212" s="39" t="s">
        <v>602</v>
      </c>
      <c r="D212" s="67">
        <f>'дод 3 '!E136+'дод 3 '!E185+'дод 3 '!E289+'дод 3 '!E352</f>
        <v>0</v>
      </c>
      <c r="E212" s="67">
        <f>'дод 3 '!F136+'дод 3 '!F185+'дод 3 '!F289+'дод 3 '!F352</f>
        <v>0</v>
      </c>
      <c r="F212" s="67">
        <f>'дод 3 '!G136+'дод 3 '!G185+'дод 3 '!G289+'дод 3 '!G352</f>
        <v>0</v>
      </c>
      <c r="G212" s="67">
        <f>'дод 3 '!H136+'дод 3 '!H185+'дод 3 '!H289+'дод 3 '!H352</f>
        <v>0</v>
      </c>
      <c r="H212" s="67">
        <f>'дод 3 '!I136+'дод 3 '!I185+'дод 3 '!I289+'дод 3 '!I352</f>
        <v>0</v>
      </c>
      <c r="I212" s="67">
        <f>'дод 3 '!J136+'дод 3 '!J185+'дод 3 '!J289+'дод 3 '!J352</f>
        <v>0</v>
      </c>
      <c r="J212" s="67">
        <f>'дод 3 '!K136+'дод 3 '!K185+'дод 3 '!K289+'дод 3 '!K352</f>
        <v>0</v>
      </c>
      <c r="K212" s="67">
        <f>'дод 3 '!L136+'дод 3 '!L185+'дод 3 '!L289+'дод 3 '!L352</f>
        <v>0</v>
      </c>
      <c r="L212" s="67">
        <f>'дод 3 '!M136+'дод 3 '!M185+'дод 3 '!M289+'дод 3 '!M352</f>
        <v>0</v>
      </c>
      <c r="M212" s="67">
        <f>'дод 3 '!N136+'дод 3 '!N185+'дод 3 '!N289+'дод 3 '!N352</f>
        <v>0</v>
      </c>
      <c r="N212" s="67">
        <f>'дод 3 '!O136+'дод 3 '!O185+'дод 3 '!O289+'дод 3 '!O352</f>
        <v>0</v>
      </c>
      <c r="O212" s="67">
        <f>'дод 3 '!P136+'дод 3 '!P185+'дод 3 '!P289+'дод 3 '!P352</f>
        <v>0</v>
      </c>
      <c r="P212" s="226"/>
    </row>
    <row r="213" spans="1:16" ht="31.5" hidden="1" customHeight="1" x14ac:dyDescent="0.25">
      <c r="A213" s="19">
        <v>7368</v>
      </c>
      <c r="B213" s="19" t="s">
        <v>81</v>
      </c>
      <c r="C213" s="18" t="s">
        <v>538</v>
      </c>
      <c r="D213" s="66">
        <f>'дод 3 '!E290</f>
        <v>0</v>
      </c>
      <c r="E213" s="66">
        <f>'дод 3 '!F290</f>
        <v>0</v>
      </c>
      <c r="F213" s="66">
        <f>'дод 3 '!G290</f>
        <v>0</v>
      </c>
      <c r="G213" s="66">
        <f>'дод 3 '!H290</f>
        <v>0</v>
      </c>
      <c r="H213" s="66">
        <f>'дод 3 '!I290</f>
        <v>0</v>
      </c>
      <c r="I213" s="66">
        <f>'дод 3 '!J290</f>
        <v>0</v>
      </c>
      <c r="J213" s="66">
        <f>'дод 3 '!K290</f>
        <v>0</v>
      </c>
      <c r="K213" s="66">
        <f>'дод 3 '!L290</f>
        <v>0</v>
      </c>
      <c r="L213" s="66">
        <f>'дод 3 '!M290</f>
        <v>0</v>
      </c>
      <c r="M213" s="66">
        <f>'дод 3 '!N290</f>
        <v>0</v>
      </c>
      <c r="N213" s="66">
        <f>'дод 3 '!O290</f>
        <v>0</v>
      </c>
      <c r="O213" s="66">
        <f>'дод 3 '!P290</f>
        <v>0</v>
      </c>
      <c r="P213" s="226"/>
    </row>
    <row r="214" spans="1:16" s="28" customFormat="1" ht="15.75" hidden="1" customHeight="1" x14ac:dyDescent="0.25">
      <c r="A214" s="38"/>
      <c r="B214" s="43"/>
      <c r="C214" s="44" t="s">
        <v>388</v>
      </c>
      <c r="D214" s="67">
        <f>'дод 3 '!E291</f>
        <v>0</v>
      </c>
      <c r="E214" s="67">
        <f>'дод 3 '!F291</f>
        <v>0</v>
      </c>
      <c r="F214" s="67">
        <f>'дод 3 '!G291</f>
        <v>0</v>
      </c>
      <c r="G214" s="67">
        <f>'дод 3 '!H291</f>
        <v>0</v>
      </c>
      <c r="H214" s="67">
        <f>'дод 3 '!I291</f>
        <v>0</v>
      </c>
      <c r="I214" s="67">
        <f>'дод 3 '!J291</f>
        <v>0</v>
      </c>
      <c r="J214" s="67">
        <f>'дод 3 '!K291</f>
        <v>0</v>
      </c>
      <c r="K214" s="67">
        <f>'дод 3 '!L291</f>
        <v>0</v>
      </c>
      <c r="L214" s="67">
        <f>'дод 3 '!M291</f>
        <v>0</v>
      </c>
      <c r="M214" s="67">
        <f>'дод 3 '!N291</f>
        <v>0</v>
      </c>
      <c r="N214" s="67">
        <f>'дод 3 '!O291</f>
        <v>0</v>
      </c>
      <c r="O214" s="67">
        <f>'дод 3 '!P291</f>
        <v>0</v>
      </c>
      <c r="P214" s="226"/>
    </row>
    <row r="215" spans="1:16" s="28" customFormat="1" ht="31.5" hidden="1" customHeight="1" x14ac:dyDescent="0.25">
      <c r="A215" s="19">
        <v>7370</v>
      </c>
      <c r="B215" s="30" t="s">
        <v>81</v>
      </c>
      <c r="C215" s="31" t="s">
        <v>418</v>
      </c>
      <c r="D215" s="66">
        <f>'дод 3 '!E353+'дод 3 '!E364+'дод 3 '!E395</f>
        <v>0</v>
      </c>
      <c r="E215" s="66">
        <f>'дод 3 '!F353+'дод 3 '!F364+'дод 3 '!F395</f>
        <v>0</v>
      </c>
      <c r="F215" s="66">
        <f>'дод 3 '!G353+'дод 3 '!G364+'дод 3 '!G395</f>
        <v>0</v>
      </c>
      <c r="G215" s="66">
        <f>'дод 3 '!H353+'дод 3 '!H364+'дод 3 '!H395</f>
        <v>0</v>
      </c>
      <c r="H215" s="66">
        <f>'дод 3 '!I353+'дод 3 '!I364+'дод 3 '!I395</f>
        <v>0</v>
      </c>
      <c r="I215" s="66">
        <f>'дод 3 '!J353+'дод 3 '!J364+'дод 3 '!J395</f>
        <v>0</v>
      </c>
      <c r="J215" s="66">
        <f>'дод 3 '!K353+'дод 3 '!K364+'дод 3 '!K395</f>
        <v>0</v>
      </c>
      <c r="K215" s="66">
        <f>'дод 3 '!L353+'дод 3 '!L364+'дод 3 '!L395</f>
        <v>0</v>
      </c>
      <c r="L215" s="66">
        <f>'дод 3 '!M353+'дод 3 '!M364+'дод 3 '!M395</f>
        <v>0</v>
      </c>
      <c r="M215" s="66">
        <f>'дод 3 '!N353+'дод 3 '!N364+'дод 3 '!N395</f>
        <v>0</v>
      </c>
      <c r="N215" s="66">
        <f>'дод 3 '!O353+'дод 3 '!O364+'дод 3 '!O395</f>
        <v>0</v>
      </c>
      <c r="O215" s="66">
        <f>'дод 3 '!P353+'дод 3 '!P364+'дод 3 '!P395</f>
        <v>0</v>
      </c>
      <c r="P215" s="226"/>
    </row>
    <row r="216" spans="1:16" s="28" customFormat="1" ht="47.25" x14ac:dyDescent="0.25">
      <c r="A216" s="19">
        <v>7375</v>
      </c>
      <c r="B216" s="30" t="s">
        <v>81</v>
      </c>
      <c r="C216" s="31" t="s">
        <v>732</v>
      </c>
      <c r="D216" s="66">
        <f>'дод 3 '!E297</f>
        <v>5500000</v>
      </c>
      <c r="E216" s="66">
        <f>'дод 3 '!F297</f>
        <v>5500000</v>
      </c>
      <c r="F216" s="66">
        <f>'дод 3 '!G297</f>
        <v>0</v>
      </c>
      <c r="G216" s="66">
        <f>'дод 3 '!H297</f>
        <v>0</v>
      </c>
      <c r="H216" s="66">
        <f>'дод 3 '!I297</f>
        <v>0</v>
      </c>
      <c r="I216" s="66">
        <f>'дод 3 '!J297</f>
        <v>23850000</v>
      </c>
      <c r="J216" s="66">
        <f>'дод 3 '!K297</f>
        <v>23850000</v>
      </c>
      <c r="K216" s="66">
        <f>'дод 3 '!L297</f>
        <v>0</v>
      </c>
      <c r="L216" s="66">
        <f>'дод 3 '!M297</f>
        <v>0</v>
      </c>
      <c r="M216" s="66">
        <f>'дод 3 '!N297</f>
        <v>0</v>
      </c>
      <c r="N216" s="66">
        <f>'дод 3 '!O297</f>
        <v>23850000</v>
      </c>
      <c r="O216" s="66">
        <f>'дод 3 '!P297</f>
        <v>29350000</v>
      </c>
      <c r="P216" s="230"/>
    </row>
    <row r="217" spans="1:16" s="28" customFormat="1" ht="45.75" customHeight="1" x14ac:dyDescent="0.25">
      <c r="A217" s="19">
        <v>7383</v>
      </c>
      <c r="B217" s="30" t="s">
        <v>81</v>
      </c>
      <c r="C217" s="31" t="s">
        <v>697</v>
      </c>
      <c r="D217" s="66">
        <f>'дод 3 '!E298</f>
        <v>0</v>
      </c>
      <c r="E217" s="66">
        <f>'дод 3 '!F298</f>
        <v>0</v>
      </c>
      <c r="F217" s="66">
        <f>'дод 3 '!G298</f>
        <v>0</v>
      </c>
      <c r="G217" s="66">
        <f>'дод 3 '!H298</f>
        <v>0</v>
      </c>
      <c r="H217" s="66">
        <f>'дод 3 '!I298</f>
        <v>0</v>
      </c>
      <c r="I217" s="66">
        <f>'дод 3 '!J298</f>
        <v>400000000</v>
      </c>
      <c r="J217" s="66">
        <f>'дод 3 '!K298</f>
        <v>0</v>
      </c>
      <c r="K217" s="66">
        <f>'дод 3 '!L298</f>
        <v>0</v>
      </c>
      <c r="L217" s="66">
        <f>'дод 3 '!M298</f>
        <v>0</v>
      </c>
      <c r="M217" s="66">
        <f>'дод 3 '!N298</f>
        <v>0</v>
      </c>
      <c r="N217" s="66">
        <f>'дод 3 '!O298</f>
        <v>400000000</v>
      </c>
      <c r="O217" s="66">
        <f>'дод 3 '!P298</f>
        <v>400000000</v>
      </c>
      <c r="P217" s="226"/>
    </row>
    <row r="218" spans="1:16" s="28" customFormat="1" ht="48" customHeight="1" x14ac:dyDescent="0.25">
      <c r="A218" s="19"/>
      <c r="B218" s="30"/>
      <c r="C218" s="44" t="s">
        <v>698</v>
      </c>
      <c r="D218" s="67">
        <f>'дод 3 '!E299</f>
        <v>0</v>
      </c>
      <c r="E218" s="67">
        <f>'дод 3 '!F299</f>
        <v>0</v>
      </c>
      <c r="F218" s="67">
        <f>'дод 3 '!G299</f>
        <v>0</v>
      </c>
      <c r="G218" s="67">
        <f>'дод 3 '!H299</f>
        <v>0</v>
      </c>
      <c r="H218" s="67">
        <f>'дод 3 '!I299</f>
        <v>0</v>
      </c>
      <c r="I218" s="67">
        <f>'дод 3 '!J299</f>
        <v>400000000</v>
      </c>
      <c r="J218" s="67">
        <f>'дод 3 '!K299</f>
        <v>0</v>
      </c>
      <c r="K218" s="67">
        <f>'дод 3 '!L299</f>
        <v>0</v>
      </c>
      <c r="L218" s="67">
        <f>'дод 3 '!M299</f>
        <v>0</v>
      </c>
      <c r="M218" s="67">
        <f>'дод 3 '!N299</f>
        <v>0</v>
      </c>
      <c r="N218" s="67">
        <f>'дод 3 '!O299</f>
        <v>400000000</v>
      </c>
      <c r="O218" s="67">
        <f>'дод 3 '!P299</f>
        <v>400000000</v>
      </c>
      <c r="P218" s="226"/>
    </row>
    <row r="219" spans="1:16" s="28" customFormat="1" ht="73.5" customHeight="1" x14ac:dyDescent="0.25">
      <c r="A219" s="19">
        <v>7384</v>
      </c>
      <c r="B219" s="30" t="s">
        <v>81</v>
      </c>
      <c r="C219" s="31" t="s">
        <v>723</v>
      </c>
      <c r="D219" s="66">
        <f>'дод 3 '!E138+'дод 3 '!E300</f>
        <v>0</v>
      </c>
      <c r="E219" s="66">
        <f>'дод 3 '!F138+'дод 3 '!F300</f>
        <v>0</v>
      </c>
      <c r="F219" s="66">
        <f>'дод 3 '!G138+'дод 3 '!G300</f>
        <v>0</v>
      </c>
      <c r="G219" s="66">
        <f>'дод 3 '!H138+'дод 3 '!H300</f>
        <v>0</v>
      </c>
      <c r="H219" s="66">
        <f>'дод 3 '!I138+'дод 3 '!I300</f>
        <v>0</v>
      </c>
      <c r="I219" s="66">
        <f>'дод 3 '!J138+'дод 3 '!J300</f>
        <v>68535256</v>
      </c>
      <c r="J219" s="66">
        <f>'дод 3 '!K138+'дод 3 '!K300</f>
        <v>0</v>
      </c>
      <c r="K219" s="66">
        <f>'дод 3 '!L138+'дод 3 '!L300</f>
        <v>0</v>
      </c>
      <c r="L219" s="66">
        <f>'дод 3 '!M138+'дод 3 '!M300</f>
        <v>0</v>
      </c>
      <c r="M219" s="66">
        <f>'дод 3 '!N138+'дод 3 '!N300</f>
        <v>0</v>
      </c>
      <c r="N219" s="66">
        <f>'дод 3 '!O138+'дод 3 '!O300</f>
        <v>68535256</v>
      </c>
      <c r="O219" s="66">
        <f>'дод 3 '!P138+'дод 3 '!P300</f>
        <v>68535256</v>
      </c>
      <c r="P219" s="230"/>
    </row>
    <row r="220" spans="1:16" s="28" customFormat="1" ht="110.25" customHeight="1" x14ac:dyDescent="0.25">
      <c r="A220" s="19"/>
      <c r="B220" s="30"/>
      <c r="C220" s="44" t="s">
        <v>725</v>
      </c>
      <c r="D220" s="67">
        <f>'дод 3 '!E139+'дод 3 '!E301</f>
        <v>0</v>
      </c>
      <c r="E220" s="67">
        <f>'дод 3 '!F139+'дод 3 '!F301</f>
        <v>0</v>
      </c>
      <c r="F220" s="67">
        <f>'дод 3 '!G139+'дод 3 '!G301</f>
        <v>0</v>
      </c>
      <c r="G220" s="67">
        <f>'дод 3 '!H139+'дод 3 '!H301</f>
        <v>0</v>
      </c>
      <c r="H220" s="67">
        <f>'дод 3 '!I139+'дод 3 '!I301</f>
        <v>0</v>
      </c>
      <c r="I220" s="67">
        <f>'дод 3 '!J139+'дод 3 '!J301</f>
        <v>68535256</v>
      </c>
      <c r="J220" s="67">
        <f>'дод 3 '!K139+'дод 3 '!K301</f>
        <v>0</v>
      </c>
      <c r="K220" s="67">
        <f>'дод 3 '!L139+'дод 3 '!L301</f>
        <v>0</v>
      </c>
      <c r="L220" s="67">
        <f>'дод 3 '!M139+'дод 3 '!M301</f>
        <v>0</v>
      </c>
      <c r="M220" s="67">
        <f>'дод 3 '!N139+'дод 3 '!N301</f>
        <v>0</v>
      </c>
      <c r="N220" s="67">
        <f>'дод 3 '!O139+'дод 3 '!O301</f>
        <v>68535256</v>
      </c>
      <c r="O220" s="67">
        <f>'дод 3 '!P139+'дод 3 '!P301</f>
        <v>68535256</v>
      </c>
      <c r="P220" s="230"/>
    </row>
    <row r="221" spans="1:16" s="26" customFormat="1" ht="34.5" customHeight="1" x14ac:dyDescent="0.25">
      <c r="A221" s="20" t="s">
        <v>84</v>
      </c>
      <c r="B221" s="23"/>
      <c r="C221" s="2" t="s">
        <v>563</v>
      </c>
      <c r="D221" s="25">
        <f>D225+D226+D227+D228+D230+D232+D231</f>
        <v>86285798</v>
      </c>
      <c r="E221" s="25">
        <f t="shared" ref="E221:N221" si="42">E225+E226+E227+E228+E230+E232+E231</f>
        <v>3812355</v>
      </c>
      <c r="F221" s="25">
        <f t="shared" si="42"/>
        <v>0</v>
      </c>
      <c r="G221" s="25">
        <f t="shared" si="42"/>
        <v>0</v>
      </c>
      <c r="H221" s="25">
        <f t="shared" si="42"/>
        <v>82473443</v>
      </c>
      <c r="I221" s="25">
        <f>I225+I226+I227+I228+I230+I232+I231</f>
        <v>16609000</v>
      </c>
      <c r="J221" s="25">
        <f t="shared" si="42"/>
        <v>0</v>
      </c>
      <c r="K221" s="25">
        <f t="shared" si="42"/>
        <v>16609000</v>
      </c>
      <c r="L221" s="25">
        <f t="shared" si="42"/>
        <v>0</v>
      </c>
      <c r="M221" s="25">
        <f t="shared" si="42"/>
        <v>0</v>
      </c>
      <c r="N221" s="25">
        <f t="shared" si="42"/>
        <v>0</v>
      </c>
      <c r="O221" s="25">
        <f>O225+O226+O227+O228+O230+O232+O231</f>
        <v>102894798</v>
      </c>
      <c r="P221" s="226"/>
    </row>
    <row r="222" spans="1:16" s="27" customFormat="1" ht="87" customHeight="1" x14ac:dyDescent="0.25">
      <c r="A222" s="32"/>
      <c r="B222" s="33"/>
      <c r="C222" s="36" t="s">
        <v>390</v>
      </c>
      <c r="D222" s="68">
        <f t="shared" ref="D222:O222" si="43">D233</f>
        <v>0</v>
      </c>
      <c r="E222" s="68">
        <f t="shared" si="43"/>
        <v>0</v>
      </c>
      <c r="F222" s="68">
        <f t="shared" si="43"/>
        <v>0</v>
      </c>
      <c r="G222" s="68">
        <f t="shared" si="43"/>
        <v>0</v>
      </c>
      <c r="H222" s="68">
        <f t="shared" si="43"/>
        <v>0</v>
      </c>
      <c r="I222" s="68">
        <f>I233</f>
        <v>16609000</v>
      </c>
      <c r="J222" s="68">
        <f t="shared" si="43"/>
        <v>0</v>
      </c>
      <c r="K222" s="68">
        <f t="shared" si="43"/>
        <v>16609000</v>
      </c>
      <c r="L222" s="68">
        <f t="shared" si="43"/>
        <v>0</v>
      </c>
      <c r="M222" s="68">
        <f t="shared" si="43"/>
        <v>0</v>
      </c>
      <c r="N222" s="68">
        <f t="shared" si="43"/>
        <v>0</v>
      </c>
      <c r="O222" s="68">
        <f t="shared" si="43"/>
        <v>16609000</v>
      </c>
      <c r="P222" s="226"/>
    </row>
    <row r="223" spans="1:16" s="27" customFormat="1" ht="65.25" hidden="1" customHeight="1" x14ac:dyDescent="0.25">
      <c r="A223" s="32"/>
      <c r="B223" s="33"/>
      <c r="C223" s="36" t="s">
        <v>429</v>
      </c>
      <c r="D223" s="68" t="e">
        <f>#REF!</f>
        <v>#REF!</v>
      </c>
      <c r="E223" s="68" t="e">
        <f>#REF!</f>
        <v>#REF!</v>
      </c>
      <c r="F223" s="68" t="e">
        <f>#REF!</f>
        <v>#REF!</v>
      </c>
      <c r="G223" s="68" t="e">
        <f>#REF!</f>
        <v>#REF!</v>
      </c>
      <c r="H223" s="68" t="e">
        <f>#REF!</f>
        <v>#REF!</v>
      </c>
      <c r="I223" s="68" t="e">
        <f>#REF!</f>
        <v>#REF!</v>
      </c>
      <c r="J223" s="68" t="e">
        <f>#REF!</f>
        <v>#REF!</v>
      </c>
      <c r="K223" s="68" t="e">
        <f>#REF!</f>
        <v>#REF!</v>
      </c>
      <c r="L223" s="68" t="e">
        <f>#REF!</f>
        <v>#REF!</v>
      </c>
      <c r="M223" s="68" t="e">
        <f>#REF!</f>
        <v>#REF!</v>
      </c>
      <c r="N223" s="68" t="e">
        <f>#REF!</f>
        <v>#REF!</v>
      </c>
      <c r="O223" s="68" t="e">
        <f>#REF!</f>
        <v>#REF!</v>
      </c>
      <c r="P223" s="226"/>
    </row>
    <row r="224" spans="1:16" s="27" customFormat="1" ht="3" hidden="1" customHeight="1" x14ac:dyDescent="0.25">
      <c r="A224" s="32"/>
      <c r="B224" s="33"/>
      <c r="C224" s="42" t="s">
        <v>388</v>
      </c>
      <c r="D224" s="68" t="e">
        <f>#REF!</f>
        <v>#REF!</v>
      </c>
      <c r="E224" s="68" t="e">
        <f>#REF!</f>
        <v>#REF!</v>
      </c>
      <c r="F224" s="68" t="e">
        <f>#REF!</f>
        <v>#REF!</v>
      </c>
      <c r="G224" s="68" t="e">
        <f>#REF!</f>
        <v>#REF!</v>
      </c>
      <c r="H224" s="68" t="e">
        <f>#REF!</f>
        <v>#REF!</v>
      </c>
      <c r="I224" s="68" t="e">
        <f>#REF!</f>
        <v>#REF!</v>
      </c>
      <c r="J224" s="68" t="e">
        <f>#REF!</f>
        <v>#REF!</v>
      </c>
      <c r="K224" s="68" t="e">
        <f>#REF!</f>
        <v>#REF!</v>
      </c>
      <c r="L224" s="68" t="e">
        <f>#REF!</f>
        <v>#REF!</v>
      </c>
      <c r="M224" s="68" t="e">
        <f>#REF!</f>
        <v>#REF!</v>
      </c>
      <c r="N224" s="68" t="e">
        <f>#REF!</f>
        <v>#REF!</v>
      </c>
      <c r="O224" s="68" t="e">
        <f>#REF!</f>
        <v>#REF!</v>
      </c>
      <c r="P224" s="226"/>
    </row>
    <row r="225" spans="1:16" s="28" customFormat="1" ht="18.75" customHeight="1" x14ac:dyDescent="0.25">
      <c r="A225" s="19" t="s">
        <v>3</v>
      </c>
      <c r="B225" s="19" t="s">
        <v>83</v>
      </c>
      <c r="C225" s="3" t="s">
        <v>35</v>
      </c>
      <c r="D225" s="66">
        <f>'дод 3 '!E42</f>
        <v>15185800</v>
      </c>
      <c r="E225" s="66">
        <f>'дод 3 '!F42</f>
        <v>0</v>
      </c>
      <c r="F225" s="66">
        <f>'дод 3 '!G42</f>
        <v>0</v>
      </c>
      <c r="G225" s="66">
        <f>'дод 3 '!H42</f>
        <v>0</v>
      </c>
      <c r="H225" s="66">
        <f>'дод 3 '!I42</f>
        <v>15185800</v>
      </c>
      <c r="I225" s="66">
        <f>'дод 3 '!J42</f>
        <v>0</v>
      </c>
      <c r="J225" s="66">
        <f>'дод 3 '!K42</f>
        <v>0</v>
      </c>
      <c r="K225" s="66">
        <f>'дод 3 '!L42</f>
        <v>0</v>
      </c>
      <c r="L225" s="66">
        <f>'дод 3 '!M42</f>
        <v>0</v>
      </c>
      <c r="M225" s="66">
        <f>'дод 3 '!N42</f>
        <v>0</v>
      </c>
      <c r="N225" s="66">
        <f>'дод 3 '!O42</f>
        <v>0</v>
      </c>
      <c r="O225" s="66">
        <f>'дод 3 '!P42</f>
        <v>15185800</v>
      </c>
      <c r="P225" s="226"/>
    </row>
    <row r="226" spans="1:16" s="28" customFormat="1" ht="20.25" customHeight="1" x14ac:dyDescent="0.25">
      <c r="A226" s="19">
        <v>7413</v>
      </c>
      <c r="B226" s="19" t="s">
        <v>83</v>
      </c>
      <c r="C226" s="3" t="s">
        <v>370</v>
      </c>
      <c r="D226" s="66">
        <f>'дод 3 '!E43</f>
        <v>5937700</v>
      </c>
      <c r="E226" s="66">
        <f>'дод 3 '!F43</f>
        <v>0</v>
      </c>
      <c r="F226" s="66">
        <f>'дод 3 '!G43</f>
        <v>0</v>
      </c>
      <c r="G226" s="66">
        <f>'дод 3 '!H43</f>
        <v>0</v>
      </c>
      <c r="H226" s="66">
        <f>'дод 3 '!I43</f>
        <v>5937700</v>
      </c>
      <c r="I226" s="66">
        <f>'дод 3 '!J43</f>
        <v>0</v>
      </c>
      <c r="J226" s="66">
        <f>'дод 3 '!K43</f>
        <v>0</v>
      </c>
      <c r="K226" s="66">
        <f>'дод 3 '!L43</f>
        <v>0</v>
      </c>
      <c r="L226" s="66">
        <f>'дод 3 '!M43</f>
        <v>0</v>
      </c>
      <c r="M226" s="66">
        <f>'дод 3 '!N43</f>
        <v>0</v>
      </c>
      <c r="N226" s="66">
        <f>'дод 3 '!O43</f>
        <v>0</v>
      </c>
      <c r="O226" s="66">
        <f>'дод 3 '!P43</f>
        <v>5937700</v>
      </c>
      <c r="P226" s="226"/>
    </row>
    <row r="227" spans="1:16" s="28" customFormat="1" ht="36" customHeight="1" x14ac:dyDescent="0.25">
      <c r="A227" s="24">
        <v>7422</v>
      </c>
      <c r="B227" s="53" t="s">
        <v>404</v>
      </c>
      <c r="C227" s="54" t="s">
        <v>526</v>
      </c>
      <c r="D227" s="66">
        <f>'дод 3 '!E44</f>
        <v>43433200</v>
      </c>
      <c r="E227" s="66">
        <f>'дод 3 '!F44</f>
        <v>0</v>
      </c>
      <c r="F227" s="66">
        <f>'дод 3 '!G44</f>
        <v>0</v>
      </c>
      <c r="G227" s="66">
        <f>'дод 3 '!H44</f>
        <v>0</v>
      </c>
      <c r="H227" s="66">
        <f>'дод 3 '!I44</f>
        <v>43433200</v>
      </c>
      <c r="I227" s="66">
        <f>'дод 3 '!J44</f>
        <v>0</v>
      </c>
      <c r="J227" s="66">
        <f>'дод 3 '!K44</f>
        <v>0</v>
      </c>
      <c r="K227" s="66">
        <f>'дод 3 '!L44</f>
        <v>0</v>
      </c>
      <c r="L227" s="66">
        <f>'дод 3 '!M44</f>
        <v>0</v>
      </c>
      <c r="M227" s="66">
        <f>'дод 3 '!N44</f>
        <v>0</v>
      </c>
      <c r="N227" s="66">
        <f>'дод 3 '!O44</f>
        <v>0</v>
      </c>
      <c r="O227" s="66">
        <f>'дод 3 '!P44</f>
        <v>43433200</v>
      </c>
      <c r="P227" s="226"/>
    </row>
    <row r="228" spans="1:16" s="28" customFormat="1" ht="24" customHeight="1" x14ac:dyDescent="0.25">
      <c r="A228" s="19">
        <v>7426</v>
      </c>
      <c r="B228" s="29" t="s">
        <v>404</v>
      </c>
      <c r="C228" s="3" t="s">
        <v>371</v>
      </c>
      <c r="D228" s="66">
        <f>'дод 3 '!E45</f>
        <v>17916743</v>
      </c>
      <c r="E228" s="66">
        <f>'дод 3 '!F45</f>
        <v>0</v>
      </c>
      <c r="F228" s="66">
        <f>'дод 3 '!G45</f>
        <v>0</v>
      </c>
      <c r="G228" s="66">
        <f>'дод 3 '!H45</f>
        <v>0</v>
      </c>
      <c r="H228" s="66">
        <f>'дод 3 '!I45</f>
        <v>17916743</v>
      </c>
      <c r="I228" s="66">
        <f>'дод 3 '!J45</f>
        <v>0</v>
      </c>
      <c r="J228" s="66">
        <f>'дод 3 '!K45</f>
        <v>0</v>
      </c>
      <c r="K228" s="66">
        <f>'дод 3 '!L45</f>
        <v>0</v>
      </c>
      <c r="L228" s="66">
        <f>'дод 3 '!M45</f>
        <v>0</v>
      </c>
      <c r="M228" s="66">
        <f>'дод 3 '!N45</f>
        <v>0</v>
      </c>
      <c r="N228" s="66">
        <f>'дод 3 '!O45</f>
        <v>0</v>
      </c>
      <c r="O228" s="66">
        <f>'дод 3 '!P45</f>
        <v>17916743</v>
      </c>
      <c r="P228" s="226"/>
    </row>
    <row r="229" spans="1:16" s="28" customFormat="1" ht="63" hidden="1" customHeight="1" x14ac:dyDescent="0.25">
      <c r="A229" s="38"/>
      <c r="B229" s="38"/>
      <c r="C229" s="39" t="s">
        <v>429</v>
      </c>
      <c r="D229" s="67">
        <f>'дод 3 '!E293</f>
        <v>0</v>
      </c>
      <c r="E229" s="67">
        <f>'дод 3 '!F293</f>
        <v>0</v>
      </c>
      <c r="F229" s="67">
        <f>'дод 3 '!G293</f>
        <v>0</v>
      </c>
      <c r="G229" s="67">
        <f>'дод 3 '!H293</f>
        <v>0</v>
      </c>
      <c r="H229" s="67">
        <f>'дод 3 '!I293</f>
        <v>0</v>
      </c>
      <c r="I229" s="67">
        <f>'дод 3 '!J293</f>
        <v>0</v>
      </c>
      <c r="J229" s="67">
        <f>'дод 3 '!K293</f>
        <v>0</v>
      </c>
      <c r="K229" s="67">
        <f>'дод 3 '!L293</f>
        <v>0</v>
      </c>
      <c r="L229" s="67">
        <f>'дод 3 '!M293</f>
        <v>0</v>
      </c>
      <c r="M229" s="67">
        <f>'дод 3 '!N293</f>
        <v>0</v>
      </c>
      <c r="N229" s="67">
        <f>'дод 3 '!O293</f>
        <v>0</v>
      </c>
      <c r="O229" s="67">
        <f>'дод 3 '!P293</f>
        <v>0</v>
      </c>
      <c r="P229" s="226"/>
    </row>
    <row r="230" spans="1:16" s="28" customFormat="1" ht="18" hidden="1" customHeight="1" x14ac:dyDescent="0.25">
      <c r="A230" s="29" t="s">
        <v>436</v>
      </c>
      <c r="B230" s="29" t="s">
        <v>393</v>
      </c>
      <c r="C230" s="3" t="s">
        <v>442</v>
      </c>
      <c r="D230" s="66">
        <f>'дод 3 '!E46</f>
        <v>0</v>
      </c>
      <c r="E230" s="66">
        <f>'дод 3 '!F46</f>
        <v>0</v>
      </c>
      <c r="F230" s="66">
        <f>'дод 3 '!G46</f>
        <v>0</v>
      </c>
      <c r="G230" s="66">
        <f>'дод 3 '!H46</f>
        <v>0</v>
      </c>
      <c r="H230" s="66">
        <f>'дод 3 '!I46</f>
        <v>0</v>
      </c>
      <c r="I230" s="66">
        <f>'дод 3 '!J46</f>
        <v>0</v>
      </c>
      <c r="J230" s="66">
        <f>'дод 3 '!K46</f>
        <v>0</v>
      </c>
      <c r="K230" s="66">
        <f>'дод 3 '!L46</f>
        <v>0</v>
      </c>
      <c r="L230" s="66">
        <f>'дод 3 '!M46</f>
        <v>0</v>
      </c>
      <c r="M230" s="66">
        <f>'дод 3 '!N46</f>
        <v>0</v>
      </c>
      <c r="N230" s="66">
        <f>'дод 3 '!O46</f>
        <v>0</v>
      </c>
      <c r="O230" s="66">
        <f>'дод 3 '!P46</f>
        <v>0</v>
      </c>
      <c r="P230" s="226"/>
    </row>
    <row r="231" spans="1:16" s="28" customFormat="1" ht="39" customHeight="1" x14ac:dyDescent="0.25">
      <c r="A231" s="29" t="s">
        <v>719</v>
      </c>
      <c r="B231" s="29" t="s">
        <v>393</v>
      </c>
      <c r="C231" s="31" t="s">
        <v>720</v>
      </c>
      <c r="D231" s="66">
        <f>'дод 3 '!E302</f>
        <v>3812355</v>
      </c>
      <c r="E231" s="66">
        <f>'дод 3 '!F302</f>
        <v>3812355</v>
      </c>
      <c r="F231" s="66">
        <f>'дод 3 '!G302</f>
        <v>0</v>
      </c>
      <c r="G231" s="66">
        <f>'дод 3 '!H302</f>
        <v>0</v>
      </c>
      <c r="H231" s="66">
        <f>'дод 3 '!I302</f>
        <v>0</v>
      </c>
      <c r="I231" s="66">
        <f>'дод 3 '!J302</f>
        <v>0</v>
      </c>
      <c r="J231" s="66">
        <f>'дод 3 '!K302</f>
        <v>0</v>
      </c>
      <c r="K231" s="66">
        <f>'дод 3 '!L302</f>
        <v>0</v>
      </c>
      <c r="L231" s="66">
        <f>'дод 3 '!M302</f>
        <v>0</v>
      </c>
      <c r="M231" s="66">
        <f>'дод 3 '!N302</f>
        <v>0</v>
      </c>
      <c r="N231" s="66">
        <f>'дод 3 '!O302</f>
        <v>0</v>
      </c>
      <c r="O231" s="66">
        <f>'дод 3 '!P302</f>
        <v>3812355</v>
      </c>
      <c r="P231" s="226"/>
    </row>
    <row r="232" spans="1:16" s="28" customFormat="1" ht="54.75" customHeight="1" x14ac:dyDescent="0.25">
      <c r="A232" s="29" t="s">
        <v>506</v>
      </c>
      <c r="B232" s="29" t="s">
        <v>393</v>
      </c>
      <c r="C232" s="58" t="s">
        <v>392</v>
      </c>
      <c r="D232" s="66">
        <f>'дод 3 '!E303</f>
        <v>0</v>
      </c>
      <c r="E232" s="66">
        <f>'дод 3 '!F303</f>
        <v>0</v>
      </c>
      <c r="F232" s="66">
        <f>'дод 3 '!G303</f>
        <v>0</v>
      </c>
      <c r="G232" s="66">
        <f>'дод 3 '!H303</f>
        <v>0</v>
      </c>
      <c r="H232" s="66">
        <f>'дод 3 '!I303</f>
        <v>0</v>
      </c>
      <c r="I232" s="66">
        <f>'дод 3 '!J303</f>
        <v>16609000</v>
      </c>
      <c r="J232" s="66">
        <f>'дод 3 '!K303</f>
        <v>0</v>
      </c>
      <c r="K232" s="66">
        <f>'дод 3 '!L303</f>
        <v>16609000</v>
      </c>
      <c r="L232" s="66">
        <f>'дод 3 '!M303</f>
        <v>0</v>
      </c>
      <c r="M232" s="66">
        <f>'дод 3 '!N303</f>
        <v>0</v>
      </c>
      <c r="N232" s="66">
        <f>'дод 3 '!O303</f>
        <v>0</v>
      </c>
      <c r="O232" s="66">
        <f>'дод 3 '!P303</f>
        <v>16609000</v>
      </c>
      <c r="P232" s="226"/>
    </row>
    <row r="233" spans="1:16" s="28" customFormat="1" ht="92.25" customHeight="1" x14ac:dyDescent="0.25">
      <c r="A233" s="38"/>
      <c r="B233" s="38"/>
      <c r="C233" s="39" t="s">
        <v>390</v>
      </c>
      <c r="D233" s="67">
        <f>'дод 3 '!E304</f>
        <v>0</v>
      </c>
      <c r="E233" s="67">
        <f>'дод 3 '!F304</f>
        <v>0</v>
      </c>
      <c r="F233" s="67">
        <f>'дод 3 '!G304</f>
        <v>0</v>
      </c>
      <c r="G233" s="67">
        <f>'дод 3 '!H304</f>
        <v>0</v>
      </c>
      <c r="H233" s="67">
        <f>'дод 3 '!I304</f>
        <v>0</v>
      </c>
      <c r="I233" s="67">
        <f>'дод 3 '!J304</f>
        <v>16609000</v>
      </c>
      <c r="J233" s="67">
        <f>'дод 3 '!K304</f>
        <v>0</v>
      </c>
      <c r="K233" s="67">
        <f>'дод 3 '!L304</f>
        <v>16609000</v>
      </c>
      <c r="L233" s="67">
        <f>'дод 3 '!M304</f>
        <v>0</v>
      </c>
      <c r="M233" s="67">
        <f>'дод 3 '!N304</f>
        <v>0</v>
      </c>
      <c r="N233" s="67">
        <f>'дод 3 '!O304</f>
        <v>0</v>
      </c>
      <c r="O233" s="67">
        <f>'дод 3 '!P304</f>
        <v>16609000</v>
      </c>
      <c r="P233" s="226"/>
    </row>
    <row r="234" spans="1:16" s="26" customFormat="1" ht="18.75" customHeight="1" x14ac:dyDescent="0.25">
      <c r="A234" s="21" t="s">
        <v>234</v>
      </c>
      <c r="B234" s="23"/>
      <c r="C234" s="2" t="s">
        <v>235</v>
      </c>
      <c r="D234" s="25">
        <f>D235</f>
        <v>6446348</v>
      </c>
      <c r="E234" s="25">
        <f t="shared" ref="E234:O234" si="44">E235</f>
        <v>6446348</v>
      </c>
      <c r="F234" s="25">
        <f t="shared" si="44"/>
        <v>0</v>
      </c>
      <c r="G234" s="25">
        <f t="shared" si="44"/>
        <v>0</v>
      </c>
      <c r="H234" s="25">
        <f t="shared" si="44"/>
        <v>0</v>
      </c>
      <c r="I234" s="25">
        <f>I235</f>
        <v>3793854</v>
      </c>
      <c r="J234" s="25">
        <f t="shared" si="44"/>
        <v>3793854</v>
      </c>
      <c r="K234" s="25">
        <f t="shared" si="44"/>
        <v>0</v>
      </c>
      <c r="L234" s="25">
        <f t="shared" si="44"/>
        <v>0</v>
      </c>
      <c r="M234" s="25">
        <f t="shared" si="44"/>
        <v>0</v>
      </c>
      <c r="N234" s="25">
        <f t="shared" si="44"/>
        <v>3793854</v>
      </c>
      <c r="O234" s="25">
        <f t="shared" si="44"/>
        <v>10240202</v>
      </c>
      <c r="P234" s="226"/>
    </row>
    <row r="235" spans="1:16" ht="19.5" customHeight="1" x14ac:dyDescent="0.25">
      <c r="A235" s="22" t="s">
        <v>232</v>
      </c>
      <c r="B235" s="22" t="s">
        <v>233</v>
      </c>
      <c r="C235" s="11" t="s">
        <v>231</v>
      </c>
      <c r="D235" s="66">
        <f>'дод 3 '!E47+'дод 3 '!E296</f>
        <v>6446348</v>
      </c>
      <c r="E235" s="66">
        <f>'дод 3 '!F47+'дод 3 '!F296</f>
        <v>6446348</v>
      </c>
      <c r="F235" s="66">
        <f>'дод 3 '!G47+'дод 3 '!G296</f>
        <v>0</v>
      </c>
      <c r="G235" s="66">
        <f>'дод 3 '!H47+'дод 3 '!H296</f>
        <v>0</v>
      </c>
      <c r="H235" s="66">
        <f>'дод 3 '!I47+'дод 3 '!I296</f>
        <v>0</v>
      </c>
      <c r="I235" s="66">
        <f>'дод 3 '!J47+'дод 3 '!J296</f>
        <v>3793854</v>
      </c>
      <c r="J235" s="66">
        <f>'дод 3 '!K47+'дод 3 '!K296</f>
        <v>3793854</v>
      </c>
      <c r="K235" s="66">
        <f>'дод 3 '!L47+'дод 3 '!L296</f>
        <v>0</v>
      </c>
      <c r="L235" s="66">
        <f>'дод 3 '!M47+'дод 3 '!M296</f>
        <v>0</v>
      </c>
      <c r="M235" s="66">
        <f>'дод 3 '!N47+'дод 3 '!N296</f>
        <v>0</v>
      </c>
      <c r="N235" s="66">
        <f>'дод 3 '!O47+'дод 3 '!O296</f>
        <v>3793854</v>
      </c>
      <c r="O235" s="66">
        <f>'дод 3 '!P47+'дод 3 '!P296</f>
        <v>10240202</v>
      </c>
      <c r="P235" s="226"/>
    </row>
    <row r="236" spans="1:16" s="26" customFormat="1" ht="39.75" customHeight="1" x14ac:dyDescent="0.25">
      <c r="A236" s="20" t="s">
        <v>87</v>
      </c>
      <c r="B236" s="23"/>
      <c r="C236" s="2" t="s">
        <v>412</v>
      </c>
      <c r="D236" s="25">
        <f>D238+D239+D241+D242+D243+D245+D246+D247</f>
        <v>10126469</v>
      </c>
      <c r="E236" s="25">
        <f t="shared" ref="E236:H236" si="45">E238+E239+E241+E242+E243+E245+E246+E247</f>
        <v>7659683</v>
      </c>
      <c r="F236" s="25">
        <f t="shared" si="45"/>
        <v>0</v>
      </c>
      <c r="G236" s="25">
        <f t="shared" si="45"/>
        <v>0</v>
      </c>
      <c r="H236" s="25">
        <f t="shared" si="45"/>
        <v>2466786</v>
      </c>
      <c r="I236" s="25">
        <f>I238+I239+I241+I242+I243+I245+I246+I247</f>
        <v>234796902.63</v>
      </c>
      <c r="J236" s="25">
        <f t="shared" ref="J236:O236" si="46">J238+J239+J241+J242+J243+J245+J246+J247</f>
        <v>234382222</v>
      </c>
      <c r="K236" s="25">
        <f t="shared" si="46"/>
        <v>414680.63</v>
      </c>
      <c r="L236" s="25">
        <f t="shared" si="46"/>
        <v>0</v>
      </c>
      <c r="M236" s="25">
        <f t="shared" si="46"/>
        <v>0</v>
      </c>
      <c r="N236" s="25">
        <f t="shared" si="46"/>
        <v>234382222</v>
      </c>
      <c r="O236" s="25">
        <f t="shared" si="46"/>
        <v>244923371.63</v>
      </c>
      <c r="P236" s="284">
        <v>49</v>
      </c>
    </row>
    <row r="237" spans="1:16" s="27" customFormat="1" ht="16.5" customHeight="1" x14ac:dyDescent="0.25">
      <c r="A237" s="32"/>
      <c r="B237" s="32"/>
      <c r="C237" s="42" t="s">
        <v>410</v>
      </c>
      <c r="D237" s="68">
        <f>D240+D244</f>
        <v>0</v>
      </c>
      <c r="E237" s="68">
        <f t="shared" ref="E237:O237" si="47">E240+E244</f>
        <v>0</v>
      </c>
      <c r="F237" s="68">
        <f t="shared" si="47"/>
        <v>0</v>
      </c>
      <c r="G237" s="68">
        <f t="shared" si="47"/>
        <v>0</v>
      </c>
      <c r="H237" s="68">
        <f t="shared" si="47"/>
        <v>0</v>
      </c>
      <c r="I237" s="68">
        <f t="shared" si="47"/>
        <v>92214546</v>
      </c>
      <c r="J237" s="68">
        <f t="shared" si="47"/>
        <v>92214546</v>
      </c>
      <c r="K237" s="68">
        <f t="shared" si="47"/>
        <v>0</v>
      </c>
      <c r="L237" s="68">
        <f t="shared" si="47"/>
        <v>0</v>
      </c>
      <c r="M237" s="68">
        <f t="shared" si="47"/>
        <v>0</v>
      </c>
      <c r="N237" s="68">
        <f t="shared" si="47"/>
        <v>92214546</v>
      </c>
      <c r="O237" s="68">
        <f t="shared" si="47"/>
        <v>92214546</v>
      </c>
      <c r="P237" s="284"/>
    </row>
    <row r="238" spans="1:16" ht="27" customHeight="1" x14ac:dyDescent="0.25">
      <c r="A238" s="19" t="s">
        <v>4</v>
      </c>
      <c r="B238" s="19" t="s">
        <v>86</v>
      </c>
      <c r="C238" s="3" t="s">
        <v>23</v>
      </c>
      <c r="D238" s="66">
        <f>'дод 3 '!E48+'дод 3 '!E377+'дод 3 '!E385+'дод 3 '!E396+'дод 3 '!E327+'дод 3 '!E372</f>
        <v>520000</v>
      </c>
      <c r="E238" s="66">
        <f>'дод 3 '!F48+'дод 3 '!F377+'дод 3 '!F385+'дод 3 '!F396+'дод 3 '!F327+'дод 3 '!F372</f>
        <v>170000</v>
      </c>
      <c r="F238" s="66">
        <f>'дод 3 '!G48+'дод 3 '!G377+'дод 3 '!G385+'дод 3 '!G396+'дод 3 '!G327+'дод 3 '!G372</f>
        <v>0</v>
      </c>
      <c r="G238" s="66">
        <f>'дод 3 '!H48+'дод 3 '!H377+'дод 3 '!H385+'дод 3 '!H396+'дод 3 '!H327+'дод 3 '!H372</f>
        <v>0</v>
      </c>
      <c r="H238" s="66">
        <f>'дод 3 '!I48+'дод 3 '!I377+'дод 3 '!I385+'дод 3 '!I396+'дод 3 '!I327+'дод 3 '!I372</f>
        <v>350000</v>
      </c>
      <c r="I238" s="66">
        <f>'дод 3 '!J48+'дод 3 '!J377+'дод 3 '!J385+'дод 3 '!J396+'дод 3 '!J327+'дод 3 '!J372</f>
        <v>0</v>
      </c>
      <c r="J238" s="66">
        <f>'дод 3 '!K48+'дод 3 '!K377+'дод 3 '!K385+'дод 3 '!K396+'дод 3 '!K327+'дод 3 '!K372</f>
        <v>0</v>
      </c>
      <c r="K238" s="66">
        <f>'дод 3 '!L48+'дод 3 '!L377+'дод 3 '!L385+'дод 3 '!L396+'дод 3 '!L327+'дод 3 '!L372</f>
        <v>0</v>
      </c>
      <c r="L238" s="66">
        <f>'дод 3 '!M48+'дод 3 '!M377+'дод 3 '!M385+'дод 3 '!M396+'дод 3 '!M327+'дод 3 '!M372</f>
        <v>0</v>
      </c>
      <c r="M238" s="66">
        <f>'дод 3 '!N48+'дод 3 '!N377+'дод 3 '!N385+'дод 3 '!N396+'дод 3 '!N327+'дод 3 '!N372</f>
        <v>0</v>
      </c>
      <c r="N238" s="66">
        <f>'дод 3 '!O48+'дод 3 '!O377+'дод 3 '!O385+'дод 3 '!O396+'дод 3 '!O327+'дод 3 '!O372</f>
        <v>0</v>
      </c>
      <c r="O238" s="66">
        <f>'дод 3 '!P48+'дод 3 '!P377+'дод 3 '!P385+'дод 3 '!P396+'дод 3 '!P327+'дод 3 '!P372</f>
        <v>520000</v>
      </c>
      <c r="P238" s="284"/>
    </row>
    <row r="239" spans="1:16" ht="25.5" customHeight="1" x14ac:dyDescent="0.25">
      <c r="A239" s="19" t="s">
        <v>2</v>
      </c>
      <c r="B239" s="19" t="s">
        <v>85</v>
      </c>
      <c r="C239" s="3" t="s">
        <v>409</v>
      </c>
      <c r="D239" s="66">
        <f>'дод 3 '!E140+'дод 3 '!E186+'дод 3 '!E254+'дод 3 '!E305+'дод 3 '!E354+'дод 3 '!E404+'дод 3 '!E232+'дод 3 '!E49</f>
        <v>5919500</v>
      </c>
      <c r="E239" s="66">
        <f>'дод 3 '!F140+'дод 3 '!F186+'дод 3 '!F254+'дод 3 '!F305+'дод 3 '!F354+'дод 3 '!F404+'дод 3 '!F232+'дод 3 '!F49</f>
        <v>4152714</v>
      </c>
      <c r="F239" s="66">
        <f>'дод 3 '!G140+'дод 3 '!G186+'дод 3 '!G254+'дод 3 '!G305+'дод 3 '!G354+'дод 3 '!G404+'дод 3 '!G232+'дод 3 '!G49</f>
        <v>0</v>
      </c>
      <c r="G239" s="66">
        <f>'дод 3 '!H140+'дод 3 '!H186+'дод 3 '!H254+'дод 3 '!H305+'дод 3 '!H354+'дод 3 '!H404+'дод 3 '!H232+'дод 3 '!H49</f>
        <v>0</v>
      </c>
      <c r="H239" s="66">
        <f>'дод 3 '!I140+'дод 3 '!I186+'дод 3 '!I254+'дод 3 '!I305+'дод 3 '!I354+'дод 3 '!I404+'дод 3 '!I232+'дод 3 '!I49</f>
        <v>1766786</v>
      </c>
      <c r="I239" s="66">
        <f>'дод 3 '!J140+'дод 3 '!J186+'дод 3 '!J254+'дод 3 '!J305+'дод 3 '!J354+'дод 3 '!J404+'дод 3 '!J232+'дод 3 '!J49</f>
        <v>230367432</v>
      </c>
      <c r="J239" s="66">
        <f>'дод 3 '!K140+'дод 3 '!K186+'дод 3 '!K254+'дод 3 '!K305+'дод 3 '!K354+'дод 3 '!K404+'дод 3 '!K232+'дод 3 '!K49</f>
        <v>230367432</v>
      </c>
      <c r="K239" s="66">
        <f>'дод 3 '!L140+'дод 3 '!L186+'дод 3 '!L254+'дод 3 '!L305+'дод 3 '!L354+'дод 3 '!L404+'дод 3 '!L232+'дод 3 '!L49</f>
        <v>0</v>
      </c>
      <c r="L239" s="66">
        <f>'дод 3 '!M140+'дод 3 '!M186+'дод 3 '!M254+'дод 3 '!M305+'дод 3 '!M354+'дод 3 '!M404+'дод 3 '!M232+'дод 3 '!M49</f>
        <v>0</v>
      </c>
      <c r="M239" s="66">
        <f>'дод 3 '!N140+'дод 3 '!N186+'дод 3 '!N254+'дод 3 '!N305+'дод 3 '!N354+'дод 3 '!N404+'дод 3 '!N232+'дод 3 '!N49</f>
        <v>0</v>
      </c>
      <c r="N239" s="66">
        <f>'дод 3 '!O140+'дод 3 '!O186+'дод 3 '!O254+'дод 3 '!O305+'дод 3 '!O354+'дод 3 '!O404+'дод 3 '!O232+'дод 3 '!O49</f>
        <v>230367432</v>
      </c>
      <c r="O239" s="66">
        <f>'дод 3 '!P140+'дод 3 '!P186+'дод 3 '!P254+'дод 3 '!P305+'дод 3 '!P354+'дод 3 '!P404+'дод 3 '!P232+'дод 3 '!P49</f>
        <v>236286932</v>
      </c>
      <c r="P239" s="284"/>
    </row>
    <row r="240" spans="1:16" s="28" customFormat="1" ht="17.25" customHeight="1" x14ac:dyDescent="0.25">
      <c r="A240" s="38"/>
      <c r="B240" s="38"/>
      <c r="C240" s="44" t="s">
        <v>410</v>
      </c>
      <c r="D240" s="67">
        <f>'дод 3 '!E187+'дод 3 '!E355</f>
        <v>0</v>
      </c>
      <c r="E240" s="67">
        <f>'дод 3 '!F187+'дод 3 '!F355</f>
        <v>0</v>
      </c>
      <c r="F240" s="67">
        <f>'дод 3 '!G187+'дод 3 '!G355</f>
        <v>0</v>
      </c>
      <c r="G240" s="67">
        <f>'дод 3 '!H187+'дод 3 '!H355</f>
        <v>0</v>
      </c>
      <c r="H240" s="67">
        <f>'дод 3 '!I187+'дод 3 '!I355</f>
        <v>0</v>
      </c>
      <c r="I240" s="67">
        <f>'дод 3 '!J187+'дод 3 '!J355</f>
        <v>92214546</v>
      </c>
      <c r="J240" s="67">
        <f>'дод 3 '!K187+'дод 3 '!K355</f>
        <v>92214546</v>
      </c>
      <c r="K240" s="67">
        <f>'дод 3 '!L187+'дод 3 '!L355</f>
        <v>0</v>
      </c>
      <c r="L240" s="67">
        <f>'дод 3 '!M187+'дод 3 '!M355</f>
        <v>0</v>
      </c>
      <c r="M240" s="67">
        <f>'дод 3 '!N187+'дод 3 '!N355</f>
        <v>0</v>
      </c>
      <c r="N240" s="67">
        <f>'дод 3 '!O187+'дод 3 '!O355</f>
        <v>92214546</v>
      </c>
      <c r="O240" s="67">
        <f>'дод 3 '!P187+'дод 3 '!P355</f>
        <v>92214546</v>
      </c>
      <c r="P240" s="284"/>
    </row>
    <row r="241" spans="1:16" ht="33.75" customHeight="1" x14ac:dyDescent="0.25">
      <c r="A241" s="19" t="s">
        <v>264</v>
      </c>
      <c r="B241" s="19" t="s">
        <v>81</v>
      </c>
      <c r="C241" s="3" t="s">
        <v>341</v>
      </c>
      <c r="D241" s="66">
        <f>'дод 3 '!E378+'дод 3 '!E386+'дод 3 '!E397</f>
        <v>0</v>
      </c>
      <c r="E241" s="66">
        <f>'дод 3 '!F378+'дод 3 '!F386+'дод 3 '!F397</f>
        <v>0</v>
      </c>
      <c r="F241" s="66">
        <f>'дод 3 '!G378+'дод 3 '!G386+'дод 3 '!G397</f>
        <v>0</v>
      </c>
      <c r="G241" s="66">
        <f>'дод 3 '!H378+'дод 3 '!H386+'дод 3 '!H397</f>
        <v>0</v>
      </c>
      <c r="H241" s="66">
        <f>'дод 3 '!I378+'дод 3 '!I386+'дод 3 '!I397</f>
        <v>0</v>
      </c>
      <c r="I241" s="66">
        <f>'дод 3 '!J378+'дод 3 '!J386+'дод 3 '!J397</f>
        <v>30000</v>
      </c>
      <c r="J241" s="66">
        <f>'дод 3 '!K378+'дод 3 '!K386+'дод 3 '!K397</f>
        <v>30000</v>
      </c>
      <c r="K241" s="66">
        <f>'дод 3 '!L378+'дод 3 '!L386+'дод 3 '!L397</f>
        <v>0</v>
      </c>
      <c r="L241" s="66">
        <f>'дод 3 '!M378+'дод 3 '!M386+'дод 3 '!M397</f>
        <v>0</v>
      </c>
      <c r="M241" s="66">
        <f>'дод 3 '!N378+'дод 3 '!N386+'дод 3 '!N397</f>
        <v>0</v>
      </c>
      <c r="N241" s="66">
        <f>'дод 3 '!O378+'дод 3 '!O386+'дод 3 '!O397</f>
        <v>30000</v>
      </c>
      <c r="O241" s="66">
        <f>'дод 3 '!P378+'дод 3 '!P386+'дод 3 '!P397</f>
        <v>30000</v>
      </c>
      <c r="P241" s="284"/>
    </row>
    <row r="242" spans="1:16" ht="47.25" customHeight="1" x14ac:dyDescent="0.25">
      <c r="A242" s="19" t="s">
        <v>266</v>
      </c>
      <c r="B242" s="19" t="s">
        <v>81</v>
      </c>
      <c r="C242" s="3" t="s">
        <v>267</v>
      </c>
      <c r="D242" s="66">
        <f>'дод 3 '!E379+'дод 3 '!E387+'дод 3 '!E398</f>
        <v>0</v>
      </c>
      <c r="E242" s="66">
        <f>'дод 3 '!F379+'дод 3 '!F387+'дод 3 '!F398</f>
        <v>0</v>
      </c>
      <c r="F242" s="66">
        <f>'дод 3 '!G379+'дод 3 '!G387+'дод 3 '!G398</f>
        <v>0</v>
      </c>
      <c r="G242" s="66">
        <f>'дод 3 '!H379+'дод 3 '!H387+'дод 3 '!H398</f>
        <v>0</v>
      </c>
      <c r="H242" s="66">
        <f>'дод 3 '!I379+'дод 3 '!I387+'дод 3 '!I398</f>
        <v>0</v>
      </c>
      <c r="I242" s="66">
        <f>'дод 3 '!J379+'дод 3 '!J387+'дод 3 '!J398</f>
        <v>145000</v>
      </c>
      <c r="J242" s="66">
        <f>'дод 3 '!K379+'дод 3 '!K387+'дод 3 '!K398</f>
        <v>145000</v>
      </c>
      <c r="K242" s="66">
        <f>'дод 3 '!L379+'дод 3 '!L387+'дод 3 '!L398</f>
        <v>0</v>
      </c>
      <c r="L242" s="66">
        <f>'дод 3 '!M379+'дод 3 '!M387+'дод 3 '!M398</f>
        <v>0</v>
      </c>
      <c r="M242" s="66">
        <f>'дод 3 '!N379+'дод 3 '!N387+'дод 3 '!N398</f>
        <v>0</v>
      </c>
      <c r="N242" s="66">
        <f>'дод 3 '!O379+'дод 3 '!O387+'дод 3 '!O398</f>
        <v>145000</v>
      </c>
      <c r="O242" s="66">
        <f>'дод 3 '!P379+'дод 3 '!P387+'дод 3 '!P398</f>
        <v>145000</v>
      </c>
      <c r="P242" s="284"/>
    </row>
    <row r="243" spans="1:16" ht="23.25" customHeight="1" x14ac:dyDescent="0.25">
      <c r="A243" s="19" t="s">
        <v>5</v>
      </c>
      <c r="B243" s="19" t="s">
        <v>81</v>
      </c>
      <c r="C243" s="3" t="s">
        <v>636</v>
      </c>
      <c r="D243" s="66"/>
      <c r="E243" s="66"/>
      <c r="F243" s="66"/>
      <c r="G243" s="66"/>
      <c r="H243" s="66"/>
      <c r="I243" s="66">
        <f>'дод 3 '!J50+'дод 3 '!J306</f>
        <v>3839790</v>
      </c>
      <c r="J243" s="66">
        <f>'дод 3 '!K50+'дод 3 '!K306</f>
        <v>3839790</v>
      </c>
      <c r="K243" s="66">
        <f>'дод 3 '!L50+'дод 3 '!L306+'дод 3 '!L306</f>
        <v>0</v>
      </c>
      <c r="L243" s="66">
        <f>'дод 3 '!M50+'дод 3 '!M306+'дод 3 '!M306</f>
        <v>0</v>
      </c>
      <c r="M243" s="66">
        <f>'дод 3 '!N50+'дод 3 '!N306+'дод 3 '!N306</f>
        <v>0</v>
      </c>
      <c r="N243" s="66">
        <f>'дод 3 '!O50+'дод 3 '!O306</f>
        <v>3839790</v>
      </c>
      <c r="O243" s="66">
        <f>'дод 3 '!P50+'дод 3 '!P306</f>
        <v>3839790</v>
      </c>
      <c r="P243" s="284"/>
    </row>
    <row r="244" spans="1:16" ht="16.5" hidden="1" customHeight="1" x14ac:dyDescent="0.25">
      <c r="A244" s="19"/>
      <c r="B244" s="19"/>
      <c r="C244" s="44" t="s">
        <v>410</v>
      </c>
      <c r="D244" s="66">
        <f>'дод 3 '!E307</f>
        <v>0</v>
      </c>
      <c r="E244" s="66">
        <f>'дод 3 '!F307</f>
        <v>0</v>
      </c>
      <c r="F244" s="66">
        <f>'дод 3 '!G307</f>
        <v>0</v>
      </c>
      <c r="G244" s="66">
        <f>'дод 3 '!H307</f>
        <v>0</v>
      </c>
      <c r="H244" s="66">
        <f>'дод 3 '!I307</f>
        <v>0</v>
      </c>
      <c r="I244" s="66">
        <f>'дод 3 '!J307</f>
        <v>0</v>
      </c>
      <c r="J244" s="66">
        <f>'дод 3 '!K307</f>
        <v>0</v>
      </c>
      <c r="K244" s="66">
        <f>'дод 3 '!L307</f>
        <v>0</v>
      </c>
      <c r="L244" s="66">
        <f>'дод 3 '!M307</f>
        <v>0</v>
      </c>
      <c r="M244" s="66">
        <f>'дод 3 '!N307</f>
        <v>0</v>
      </c>
      <c r="N244" s="66">
        <f>'дод 3 '!O307</f>
        <v>0</v>
      </c>
      <c r="O244" s="66">
        <f>'дод 3 '!P307</f>
        <v>0</v>
      </c>
      <c r="P244" s="284"/>
    </row>
    <row r="245" spans="1:16" ht="33.75" customHeight="1" x14ac:dyDescent="0.25">
      <c r="A245" s="19" t="s">
        <v>245</v>
      </c>
      <c r="B245" s="19" t="s">
        <v>81</v>
      </c>
      <c r="C245" s="3" t="s">
        <v>246</v>
      </c>
      <c r="D245" s="66">
        <f>'дод 3 '!E51</f>
        <v>452139</v>
      </c>
      <c r="E245" s="66">
        <f>'дод 3 '!F51</f>
        <v>452139</v>
      </c>
      <c r="F245" s="66">
        <f>'дод 3 '!G51</f>
        <v>0</v>
      </c>
      <c r="G245" s="66">
        <f>'дод 3 '!H51</f>
        <v>0</v>
      </c>
      <c r="H245" s="66">
        <f>'дод 3 '!I51</f>
        <v>0</v>
      </c>
      <c r="I245" s="66">
        <f>'дод 3 '!J51</f>
        <v>0</v>
      </c>
      <c r="J245" s="66">
        <f>'дод 3 '!K51</f>
        <v>0</v>
      </c>
      <c r="K245" s="66">
        <f>'дод 3 '!L51</f>
        <v>0</v>
      </c>
      <c r="L245" s="66">
        <f>'дод 3 '!M51</f>
        <v>0</v>
      </c>
      <c r="M245" s="66">
        <f>'дод 3 '!N51</f>
        <v>0</v>
      </c>
      <c r="N245" s="66">
        <f>'дод 3 '!O51</f>
        <v>0</v>
      </c>
      <c r="O245" s="66">
        <f>'дод 3 '!P51</f>
        <v>452139</v>
      </c>
      <c r="P245" s="284"/>
    </row>
    <row r="246" spans="1:16" s="28" customFormat="1" ht="90" customHeight="1" x14ac:dyDescent="0.25">
      <c r="A246" s="19" t="s">
        <v>291</v>
      </c>
      <c r="B246" s="19" t="s">
        <v>81</v>
      </c>
      <c r="C246" s="3" t="s">
        <v>309</v>
      </c>
      <c r="D246" s="66">
        <f>'дод 3 '!E52+'дод 3 '!E308+'дод 3 '!E356+'дод 3 '!E365+'дод 3 '!E399</f>
        <v>0</v>
      </c>
      <c r="E246" s="66">
        <f>'дод 3 '!F52+'дод 3 '!F308+'дод 3 '!F356+'дод 3 '!F365+'дод 3 '!F399</f>
        <v>0</v>
      </c>
      <c r="F246" s="66">
        <f>'дод 3 '!G52+'дод 3 '!G308+'дод 3 '!G356+'дод 3 '!G365+'дод 3 '!G399</f>
        <v>0</v>
      </c>
      <c r="G246" s="66">
        <f>'дод 3 '!H52+'дод 3 '!H308+'дод 3 '!H356+'дод 3 '!H365+'дод 3 '!H399</f>
        <v>0</v>
      </c>
      <c r="H246" s="66">
        <f>'дод 3 '!I52+'дод 3 '!I308+'дод 3 '!I356+'дод 3 '!I365+'дод 3 '!I399</f>
        <v>0</v>
      </c>
      <c r="I246" s="66">
        <f>'дод 3 '!J52+'дод 3 '!J308+'дод 3 '!J356+'дод 3 '!J365+'дод 3 '!J399</f>
        <v>414680.63</v>
      </c>
      <c r="J246" s="66">
        <f>'дод 3 '!K52+'дод 3 '!K308+'дод 3 '!K356+'дод 3 '!K365+'дод 3 '!K399</f>
        <v>0</v>
      </c>
      <c r="K246" s="66">
        <f>'дод 3 '!L52+'дод 3 '!L308+'дод 3 '!L356+'дод 3 '!L365+'дод 3 '!L399</f>
        <v>414680.63</v>
      </c>
      <c r="L246" s="66">
        <f>'дод 3 '!M52+'дод 3 '!M308+'дод 3 '!M356+'дод 3 '!M365+'дод 3 '!M399</f>
        <v>0</v>
      </c>
      <c r="M246" s="66">
        <f>'дод 3 '!N52+'дод 3 '!N308+'дод 3 '!N356+'дод 3 '!N365+'дод 3 '!N399</f>
        <v>0</v>
      </c>
      <c r="N246" s="66">
        <f>'дод 3 '!O52+'дод 3 '!O308+'дод 3 '!O356+'дод 3 '!O365+'дод 3 '!O399</f>
        <v>0</v>
      </c>
      <c r="O246" s="66">
        <f>'дод 3 '!P52+'дод 3 '!P308+'дод 3 '!P356+'дод 3 '!P365+'дод 3 '!P399</f>
        <v>414680.63</v>
      </c>
      <c r="P246" s="284"/>
    </row>
    <row r="247" spans="1:16" s="28" customFormat="1" ht="23.25" customHeight="1" x14ac:dyDescent="0.25">
      <c r="A247" s="19" t="s">
        <v>236</v>
      </c>
      <c r="B247" s="19" t="s">
        <v>81</v>
      </c>
      <c r="C247" s="3" t="s">
        <v>17</v>
      </c>
      <c r="D247" s="66">
        <f>'дод 3 '!E53+'дод 3 '!E380+'дод 3 '!E405+'дод 3 '!E137+'дод 3 '!E388+'дод 3 '!E400+'дод 3 '!E142</f>
        <v>3234830</v>
      </c>
      <c r="E247" s="66">
        <f>'дод 3 '!F53+'дод 3 '!F380+'дод 3 '!F405+'дод 3 '!F137+'дод 3 '!F388+'дод 3 '!F400+'дод 3 '!F142</f>
        <v>2884830</v>
      </c>
      <c r="F247" s="66">
        <f>'дод 3 '!G53+'дод 3 '!G380+'дод 3 '!G405+'дод 3 '!G137+'дод 3 '!G388+'дод 3 '!G400+'дод 3 '!G142</f>
        <v>0</v>
      </c>
      <c r="G247" s="66">
        <f>'дод 3 '!H53+'дод 3 '!H380+'дод 3 '!H405+'дод 3 '!H137+'дод 3 '!H388+'дод 3 '!H400+'дод 3 '!H142</f>
        <v>0</v>
      </c>
      <c r="H247" s="66">
        <f>'дод 3 '!I53+'дод 3 '!I380+'дод 3 '!I405+'дод 3 '!I137+'дод 3 '!I388+'дод 3 '!I400+'дод 3 '!I142</f>
        <v>350000</v>
      </c>
      <c r="I247" s="66">
        <f>'дод 3 '!J53+'дод 3 '!J380+'дод 3 '!J405+'дод 3 '!J137+'дод 3 '!J388+'дод 3 '!J400+'дод 3 '!J142</f>
        <v>0</v>
      </c>
      <c r="J247" s="66">
        <f>'дод 3 '!K53+'дод 3 '!K380+'дод 3 '!K405+'дод 3 '!K137+'дод 3 '!K388+'дод 3 '!K400+'дод 3 '!K142</f>
        <v>0</v>
      </c>
      <c r="K247" s="66">
        <f>'дод 3 '!L53+'дод 3 '!L380+'дод 3 '!L405+'дод 3 '!L137+'дод 3 '!L388+'дод 3 '!L400+'дод 3 '!L142</f>
        <v>0</v>
      </c>
      <c r="L247" s="66">
        <f>'дод 3 '!M53+'дод 3 '!M380+'дод 3 '!M405+'дод 3 '!M137+'дод 3 '!M388+'дод 3 '!M400+'дод 3 '!M142</f>
        <v>0</v>
      </c>
      <c r="M247" s="66">
        <f>'дод 3 '!N53+'дод 3 '!N380+'дод 3 '!N405+'дод 3 '!N137+'дод 3 '!N388+'дод 3 '!N400+'дод 3 '!N142</f>
        <v>0</v>
      </c>
      <c r="N247" s="66">
        <f>'дод 3 '!O53+'дод 3 '!O380+'дод 3 '!O405+'дод 3 '!O137+'дод 3 '!O388+'дод 3 '!O400+'дод 3 '!O142</f>
        <v>0</v>
      </c>
      <c r="O247" s="66">
        <f>'дод 3 '!P53+'дод 3 '!P380+'дод 3 '!P405+'дод 3 '!P137+'дод 3 '!P388+'дод 3 '!P400+'дод 3 '!P142</f>
        <v>3234830</v>
      </c>
      <c r="P247" s="284"/>
    </row>
    <row r="248" spans="1:16" s="27" customFormat="1" ht="47.25" customHeight="1" x14ac:dyDescent="0.25">
      <c r="A248" s="20">
        <v>7700</v>
      </c>
      <c r="B248" s="20"/>
      <c r="C248" s="50" t="s">
        <v>661</v>
      </c>
      <c r="D248" s="25">
        <f>D250</f>
        <v>10000</v>
      </c>
      <c r="E248" s="25">
        <f>E250</f>
        <v>10000</v>
      </c>
      <c r="F248" s="25">
        <f t="shared" ref="E248:O249" si="48">F250</f>
        <v>0</v>
      </c>
      <c r="G248" s="25">
        <f t="shared" si="48"/>
        <v>0</v>
      </c>
      <c r="H248" s="25">
        <f t="shared" si="48"/>
        <v>0</v>
      </c>
      <c r="I248" s="25">
        <f>I250</f>
        <v>5010000</v>
      </c>
      <c r="J248" s="25">
        <f>J250</f>
        <v>420000</v>
      </c>
      <c r="K248" s="25">
        <f t="shared" si="48"/>
        <v>50000</v>
      </c>
      <c r="L248" s="25">
        <f t="shared" si="48"/>
        <v>0</v>
      </c>
      <c r="M248" s="25">
        <f t="shared" si="48"/>
        <v>0</v>
      </c>
      <c r="N248" s="25">
        <f>N250</f>
        <v>4960000</v>
      </c>
      <c r="O248" s="25">
        <f t="shared" si="48"/>
        <v>5020000</v>
      </c>
      <c r="P248" s="284"/>
    </row>
    <row r="249" spans="1:16" s="27" customFormat="1" ht="27.75" customHeight="1" x14ac:dyDescent="0.25">
      <c r="A249" s="20"/>
      <c r="B249" s="20"/>
      <c r="C249" s="42" t="s">
        <v>662</v>
      </c>
      <c r="D249" s="25">
        <f>D251</f>
        <v>0</v>
      </c>
      <c r="E249" s="25">
        <f t="shared" si="48"/>
        <v>0</v>
      </c>
      <c r="F249" s="25">
        <f t="shared" si="48"/>
        <v>0</v>
      </c>
      <c r="G249" s="25">
        <f t="shared" si="48"/>
        <v>0</v>
      </c>
      <c r="H249" s="25">
        <f t="shared" si="48"/>
        <v>0</v>
      </c>
      <c r="I249" s="68">
        <f>I251</f>
        <v>4590000</v>
      </c>
      <c r="J249" s="25">
        <f t="shared" si="48"/>
        <v>0</v>
      </c>
      <c r="K249" s="68">
        <f t="shared" si="48"/>
        <v>50000</v>
      </c>
      <c r="L249" s="25">
        <f t="shared" si="48"/>
        <v>0</v>
      </c>
      <c r="M249" s="25">
        <f t="shared" si="48"/>
        <v>0</v>
      </c>
      <c r="N249" s="68">
        <f t="shared" si="48"/>
        <v>4540000</v>
      </c>
      <c r="O249" s="68">
        <f t="shared" si="48"/>
        <v>4590000</v>
      </c>
      <c r="P249" s="284"/>
    </row>
    <row r="250" spans="1:16" s="28" customFormat="1" ht="46.5" customHeight="1" x14ac:dyDescent="0.25">
      <c r="A250" s="19">
        <v>7700</v>
      </c>
      <c r="B250" s="29" t="s">
        <v>92</v>
      </c>
      <c r="C250" s="31" t="s">
        <v>661</v>
      </c>
      <c r="D250" s="66">
        <f>'дод 3 '!E141+'дод 3 '!E188+'дод 3 '!E406+'дод 3 '!E143</f>
        <v>10000</v>
      </c>
      <c r="E250" s="66">
        <f>'дод 3 '!F141+'дод 3 '!F188+'дод 3 '!F406+'дод 3 '!F143</f>
        <v>10000</v>
      </c>
      <c r="F250" s="66">
        <f>'дод 3 '!G141+'дод 3 '!G188+'дод 3 '!G406+'дод 3 '!G143</f>
        <v>0</v>
      </c>
      <c r="G250" s="66">
        <f>'дод 3 '!H141+'дод 3 '!H188+'дод 3 '!H406+'дод 3 '!H143</f>
        <v>0</v>
      </c>
      <c r="H250" s="66">
        <f>'дод 3 '!I141+'дод 3 '!I188+'дод 3 '!I406+'дод 3 '!I143</f>
        <v>0</v>
      </c>
      <c r="I250" s="66">
        <f>'дод 3 '!J141+'дод 3 '!J188+'дод 3 '!J406+'дод 3 '!J143</f>
        <v>5010000</v>
      </c>
      <c r="J250" s="66">
        <f>'дод 3 '!K141+'дод 3 '!K188+'дод 3 '!K406+'дод 3 '!K143</f>
        <v>420000</v>
      </c>
      <c r="K250" s="66">
        <f>'дод 3 '!L141+'дод 3 '!L188+'дод 3 '!L406+'дод 3 '!L143</f>
        <v>50000</v>
      </c>
      <c r="L250" s="66">
        <f>'дод 3 '!M141+'дод 3 '!M188+'дод 3 '!M406+'дод 3 '!M143</f>
        <v>0</v>
      </c>
      <c r="M250" s="66">
        <f>'дод 3 '!N141+'дод 3 '!N188+'дод 3 '!N406+'дод 3 '!N143</f>
        <v>0</v>
      </c>
      <c r="N250" s="66">
        <f>'дод 3 '!O141+'дод 3 '!O188+'дод 3 '!O406+'дод 3 '!O143</f>
        <v>4960000</v>
      </c>
      <c r="O250" s="66">
        <f>'дод 3 '!P141+'дод 3 '!P188+'дод 3 '!P406+'дод 3 '!P143</f>
        <v>5020000</v>
      </c>
      <c r="P250" s="284"/>
    </row>
    <row r="251" spans="1:16" s="28" customFormat="1" ht="26.25" customHeight="1" x14ac:dyDescent="0.25">
      <c r="A251" s="19"/>
      <c r="B251" s="29"/>
      <c r="C251" s="44" t="s">
        <v>662</v>
      </c>
      <c r="D251" s="66">
        <f>'дод 3 '!E189+'дод 3 '!E144</f>
        <v>0</v>
      </c>
      <c r="E251" s="66">
        <f>'дод 3 '!F189+'дод 3 '!F144</f>
        <v>0</v>
      </c>
      <c r="F251" s="66">
        <f>'дод 3 '!G189+'дод 3 '!G144</f>
        <v>0</v>
      </c>
      <c r="G251" s="66">
        <f>'дод 3 '!H189+'дод 3 '!H144</f>
        <v>0</v>
      </c>
      <c r="H251" s="66">
        <f>'дод 3 '!I189+'дод 3 '!I144</f>
        <v>0</v>
      </c>
      <c r="I251" s="67">
        <f>'дод 3 '!J189+'дод 3 '!J144</f>
        <v>4590000</v>
      </c>
      <c r="J251" s="66">
        <f>'дод 3 '!K189+'дод 3 '!K144</f>
        <v>0</v>
      </c>
      <c r="K251" s="67">
        <f>'дод 3 '!L189+'дод 3 '!L144</f>
        <v>50000</v>
      </c>
      <c r="L251" s="66">
        <f>'дод 3 '!M189+'дод 3 '!M144</f>
        <v>0</v>
      </c>
      <c r="M251" s="66">
        <f>'дод 3 '!N189+'дод 3 '!N144</f>
        <v>0</v>
      </c>
      <c r="N251" s="67">
        <f>'дод 3 '!O189+'дод 3 '!O144</f>
        <v>4540000</v>
      </c>
      <c r="O251" s="67">
        <f>'дод 3 '!P189+'дод 3 '!P144</f>
        <v>4590000</v>
      </c>
      <c r="P251" s="284"/>
    </row>
    <row r="252" spans="1:16" s="26" customFormat="1" ht="30.75" customHeight="1" x14ac:dyDescent="0.25">
      <c r="A252" s="20" t="s">
        <v>93</v>
      </c>
      <c r="B252" s="21"/>
      <c r="C252" s="2" t="s">
        <v>653</v>
      </c>
      <c r="D252" s="25">
        <f t="shared" ref="D252:O252" si="49">D254+D259+D262+D266+D268+D269</f>
        <v>121724067.56</v>
      </c>
      <c r="E252" s="25">
        <f t="shared" si="49"/>
        <v>101743894.7</v>
      </c>
      <c r="F252" s="25">
        <f t="shared" si="49"/>
        <v>1999500</v>
      </c>
      <c r="G252" s="25">
        <f t="shared" si="49"/>
        <v>7979447</v>
      </c>
      <c r="H252" s="25">
        <f t="shared" si="49"/>
        <v>0</v>
      </c>
      <c r="I252" s="25">
        <f t="shared" si="49"/>
        <v>67364320</v>
      </c>
      <c r="J252" s="25">
        <f t="shared" si="49"/>
        <v>64022120</v>
      </c>
      <c r="K252" s="25">
        <f t="shared" si="49"/>
        <v>1967822</v>
      </c>
      <c r="L252" s="25">
        <f t="shared" si="49"/>
        <v>0</v>
      </c>
      <c r="M252" s="25">
        <f t="shared" si="49"/>
        <v>1600</v>
      </c>
      <c r="N252" s="25">
        <f t="shared" si="49"/>
        <v>65396498</v>
      </c>
      <c r="O252" s="25">
        <f t="shared" si="49"/>
        <v>189088387.56</v>
      </c>
      <c r="P252" s="284"/>
    </row>
    <row r="253" spans="1:16" s="27" customFormat="1" ht="57.75" hidden="1" customHeight="1" x14ac:dyDescent="0.25">
      <c r="A253" s="32"/>
      <c r="B253" s="35"/>
      <c r="C253" s="36" t="s">
        <v>377</v>
      </c>
      <c r="D253" s="68">
        <f>D255</f>
        <v>458400</v>
      </c>
      <c r="E253" s="68">
        <f t="shared" ref="E253:O253" si="50">E255</f>
        <v>458400</v>
      </c>
      <c r="F253" s="68">
        <f t="shared" si="50"/>
        <v>375680</v>
      </c>
      <c r="G253" s="68">
        <f t="shared" si="50"/>
        <v>0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0</v>
      </c>
      <c r="L253" s="68">
        <f t="shared" si="50"/>
        <v>0</v>
      </c>
      <c r="M253" s="68">
        <f t="shared" si="50"/>
        <v>0</v>
      </c>
      <c r="N253" s="68">
        <f t="shared" si="50"/>
        <v>0</v>
      </c>
      <c r="O253" s="68">
        <f t="shared" si="50"/>
        <v>458400</v>
      </c>
      <c r="P253" s="284"/>
    </row>
    <row r="254" spans="1:16" s="26" customFormat="1" ht="44.25" customHeight="1" x14ac:dyDescent="0.25">
      <c r="A254" s="20" t="s">
        <v>95</v>
      </c>
      <c r="B254" s="21"/>
      <c r="C254" s="2" t="s">
        <v>677</v>
      </c>
      <c r="D254" s="25">
        <f t="shared" ref="D254:O254" si="51">D256+D257</f>
        <v>28070876</v>
      </c>
      <c r="E254" s="25">
        <f t="shared" si="51"/>
        <v>28070876</v>
      </c>
      <c r="F254" s="25">
        <f t="shared" si="51"/>
        <v>1999500</v>
      </c>
      <c r="G254" s="25">
        <f t="shared" si="51"/>
        <v>108000</v>
      </c>
      <c r="H254" s="25">
        <f t="shared" si="51"/>
        <v>0</v>
      </c>
      <c r="I254" s="25">
        <f>I256+I257</f>
        <v>53859605</v>
      </c>
      <c r="J254" s="25">
        <f t="shared" si="51"/>
        <v>53853505</v>
      </c>
      <c r="K254" s="25">
        <f t="shared" si="51"/>
        <v>6100</v>
      </c>
      <c r="L254" s="25">
        <f t="shared" si="51"/>
        <v>0</v>
      </c>
      <c r="M254" s="25">
        <f t="shared" si="51"/>
        <v>1600</v>
      </c>
      <c r="N254" s="25">
        <f t="shared" si="51"/>
        <v>53853505</v>
      </c>
      <c r="O254" s="25">
        <f t="shared" si="51"/>
        <v>81930481</v>
      </c>
      <c r="P254" s="284"/>
    </row>
    <row r="255" spans="1:16" s="27" customFormat="1" ht="59.25" customHeight="1" x14ac:dyDescent="0.25">
      <c r="A255" s="32"/>
      <c r="B255" s="35"/>
      <c r="C255" s="37" t="str">
        <f>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5" s="68">
        <f>D258</f>
        <v>458400</v>
      </c>
      <c r="E255" s="68">
        <f t="shared" ref="E255:O255" si="52">E258</f>
        <v>458400</v>
      </c>
      <c r="F255" s="68">
        <f t="shared" si="52"/>
        <v>375680</v>
      </c>
      <c r="G255" s="68">
        <f t="shared" si="52"/>
        <v>0</v>
      </c>
      <c r="H255" s="68">
        <f t="shared" si="52"/>
        <v>0</v>
      </c>
      <c r="I255" s="68">
        <f t="shared" si="52"/>
        <v>0</v>
      </c>
      <c r="J255" s="68">
        <f t="shared" si="52"/>
        <v>0</v>
      </c>
      <c r="K255" s="68">
        <f t="shared" si="52"/>
        <v>0</v>
      </c>
      <c r="L255" s="68">
        <f t="shared" si="52"/>
        <v>0</v>
      </c>
      <c r="M255" s="68">
        <f t="shared" si="52"/>
        <v>0</v>
      </c>
      <c r="N255" s="68">
        <f t="shared" si="52"/>
        <v>0</v>
      </c>
      <c r="O255" s="68">
        <f t="shared" si="52"/>
        <v>458400</v>
      </c>
      <c r="P255" s="284"/>
    </row>
    <row r="256" spans="1:16" s="26" customFormat="1" ht="36.75" customHeight="1" x14ac:dyDescent="0.25">
      <c r="A256" s="22" t="s">
        <v>7</v>
      </c>
      <c r="B256" s="22" t="s">
        <v>88</v>
      </c>
      <c r="C256" s="3" t="s">
        <v>292</v>
      </c>
      <c r="D256" s="66">
        <f>'дод 3 '!E54+'дод 3 '!E309</f>
        <v>25471291</v>
      </c>
      <c r="E256" s="66">
        <f>'дод 3 '!F54+'дод 3 '!F309</f>
        <v>25471291</v>
      </c>
      <c r="F256" s="66">
        <f>'дод 3 '!G54+'дод 3 '!G309</f>
        <v>0</v>
      </c>
      <c r="G256" s="66">
        <f>'дод 3 '!H54+'дод 3 '!H309</f>
        <v>20900</v>
      </c>
      <c r="H256" s="66">
        <f>'дод 3 '!I54+'дод 3 '!I309</f>
        <v>0</v>
      </c>
      <c r="I256" s="66">
        <f>'дод 3 '!J54+'дод 3 '!J309</f>
        <v>53853505</v>
      </c>
      <c r="J256" s="66">
        <f>'дод 3 '!K54+'дод 3 '!K309</f>
        <v>53853505</v>
      </c>
      <c r="K256" s="66">
        <f>'дод 3 '!L54+'дод 3 '!L309</f>
        <v>0</v>
      </c>
      <c r="L256" s="66">
        <f>'дод 3 '!M54+'дод 3 '!M309</f>
        <v>0</v>
      </c>
      <c r="M256" s="66">
        <f>'дод 3 '!N54+'дод 3 '!N309</f>
        <v>0</v>
      </c>
      <c r="N256" s="66">
        <f>'дод 3 '!O54+'дод 3 '!O309</f>
        <v>53853505</v>
      </c>
      <c r="O256" s="66">
        <f>'дод 3 '!P54+'дод 3 '!P309</f>
        <v>79324796</v>
      </c>
      <c r="P256" s="284"/>
    </row>
    <row r="257" spans="1:16" ht="30" customHeight="1" x14ac:dyDescent="0.25">
      <c r="A257" s="19" t="s">
        <v>145</v>
      </c>
      <c r="B257" s="24" t="s">
        <v>88</v>
      </c>
      <c r="C257" s="3" t="s">
        <v>676</v>
      </c>
      <c r="D257" s="66">
        <f>'дод 3 '!E55</f>
        <v>2599585</v>
      </c>
      <c r="E257" s="66">
        <f>'дод 3 '!F55</f>
        <v>2599585</v>
      </c>
      <c r="F257" s="66">
        <f>'дод 3 '!G55</f>
        <v>1999500</v>
      </c>
      <c r="G257" s="66">
        <f>'дод 3 '!H55</f>
        <v>87100</v>
      </c>
      <c r="H257" s="66">
        <f>'дод 3 '!I55</f>
        <v>0</v>
      </c>
      <c r="I257" s="66">
        <f>'дод 3 '!J55</f>
        <v>6100</v>
      </c>
      <c r="J257" s="66">
        <f>'дод 3 '!K55</f>
        <v>0</v>
      </c>
      <c r="K257" s="66">
        <f>'дод 3 '!L55</f>
        <v>6100</v>
      </c>
      <c r="L257" s="66">
        <f>'дод 3 '!M55</f>
        <v>0</v>
      </c>
      <c r="M257" s="66">
        <f>'дод 3 '!N55</f>
        <v>1600</v>
      </c>
      <c r="N257" s="66">
        <f>'дод 3 '!O55</f>
        <v>0</v>
      </c>
      <c r="O257" s="66">
        <f>'дод 3 '!P55</f>
        <v>2605685</v>
      </c>
      <c r="P257" s="284"/>
    </row>
    <row r="258" spans="1:16" s="28" customFormat="1" ht="52.5" customHeight="1" x14ac:dyDescent="0.25">
      <c r="A258" s="38"/>
      <c r="B258" s="47"/>
      <c r="C258" s="46" t="s">
        <v>377</v>
      </c>
      <c r="D258" s="67">
        <f>'дод 3 '!E56</f>
        <v>458400</v>
      </c>
      <c r="E258" s="67">
        <f>'дод 3 '!F56</f>
        <v>458400</v>
      </c>
      <c r="F258" s="67">
        <f>'дод 3 '!G56</f>
        <v>375680</v>
      </c>
      <c r="G258" s="67">
        <f>'дод 3 '!H56</f>
        <v>0</v>
      </c>
      <c r="H258" s="67">
        <f>'дод 3 '!I56</f>
        <v>0</v>
      </c>
      <c r="I258" s="67">
        <f>'дод 3 '!J56</f>
        <v>0</v>
      </c>
      <c r="J258" s="67">
        <f>'дод 3 '!K56</f>
        <v>0</v>
      </c>
      <c r="K258" s="67">
        <f>'дод 3 '!L56</f>
        <v>0</v>
      </c>
      <c r="L258" s="67">
        <f>'дод 3 '!M56</f>
        <v>0</v>
      </c>
      <c r="M258" s="67">
        <f>'дод 3 '!N56</f>
        <v>0</v>
      </c>
      <c r="N258" s="67">
        <f>'дод 3 '!O56</f>
        <v>0</v>
      </c>
      <c r="O258" s="67">
        <f>'дод 3 '!P56</f>
        <v>458400</v>
      </c>
      <c r="P258" s="284"/>
    </row>
    <row r="259" spans="1:16" s="26" customFormat="1" ht="23.25" customHeight="1" x14ac:dyDescent="0.25">
      <c r="A259" s="20" t="s">
        <v>247</v>
      </c>
      <c r="B259" s="20"/>
      <c r="C259" s="12" t="s">
        <v>248</v>
      </c>
      <c r="D259" s="25">
        <f>D260+D261</f>
        <v>71564209.700000003</v>
      </c>
      <c r="E259" s="25">
        <f t="shared" ref="E259:O259" si="53">E260+E261</f>
        <v>71564209.700000003</v>
      </c>
      <c r="F259" s="25">
        <f t="shared" si="53"/>
        <v>0</v>
      </c>
      <c r="G259" s="25">
        <f t="shared" si="53"/>
        <v>7871447</v>
      </c>
      <c r="H259" s="25">
        <f t="shared" si="53"/>
        <v>0</v>
      </c>
      <c r="I259" s="25">
        <f t="shared" si="53"/>
        <v>10168615</v>
      </c>
      <c r="J259" s="25">
        <f t="shared" si="53"/>
        <v>10168615</v>
      </c>
      <c r="K259" s="25">
        <f t="shared" si="53"/>
        <v>0</v>
      </c>
      <c r="L259" s="25">
        <f t="shared" si="53"/>
        <v>0</v>
      </c>
      <c r="M259" s="25">
        <f t="shared" si="53"/>
        <v>0</v>
      </c>
      <c r="N259" s="25">
        <f t="shared" si="53"/>
        <v>10168615</v>
      </c>
      <c r="O259" s="25">
        <f t="shared" si="53"/>
        <v>81732824.700000003</v>
      </c>
      <c r="P259" s="284"/>
    </row>
    <row r="260" spans="1:16" ht="22.5" customHeight="1" x14ac:dyDescent="0.25">
      <c r="A260" s="19" t="s">
        <v>241</v>
      </c>
      <c r="B260" s="24" t="s">
        <v>242</v>
      </c>
      <c r="C260" s="3" t="s">
        <v>243</v>
      </c>
      <c r="D260" s="66">
        <f>'дод 3 '!E57+'дод 3 '!E310</f>
        <v>671900</v>
      </c>
      <c r="E260" s="66">
        <f>'дод 3 '!F57+'дод 3 '!F310</f>
        <v>671900</v>
      </c>
      <c r="F260" s="66">
        <f>'дод 3 '!G57+'дод 3 '!G310</f>
        <v>0</v>
      </c>
      <c r="G260" s="66">
        <f>'дод 3 '!H57+'дод 3 '!H310</f>
        <v>489475</v>
      </c>
      <c r="H260" s="66">
        <f>'дод 3 '!I57+'дод 3 '!I310</f>
        <v>0</v>
      </c>
      <c r="I260" s="66">
        <f>'дод 3 '!J57+'дод 3 '!J310</f>
        <v>0</v>
      </c>
      <c r="J260" s="66">
        <f>'дод 3 '!K57+'дод 3 '!K310</f>
        <v>0</v>
      </c>
      <c r="K260" s="66">
        <f>'дод 3 '!L57+'дод 3 '!L310</f>
        <v>0</v>
      </c>
      <c r="L260" s="66">
        <f>'дод 3 '!M57+'дод 3 '!M310</f>
        <v>0</v>
      </c>
      <c r="M260" s="66">
        <f>'дод 3 '!N57+'дод 3 '!N310</f>
        <v>0</v>
      </c>
      <c r="N260" s="66">
        <f>'дод 3 '!O57+'дод 3 '!O310</f>
        <v>0</v>
      </c>
      <c r="O260" s="66">
        <f>'дод 3 '!P57+'дод 3 '!P310</f>
        <v>671900</v>
      </c>
      <c r="P260" s="284"/>
    </row>
    <row r="261" spans="1:16" ht="22.5" customHeight="1" x14ac:dyDescent="0.25">
      <c r="A261" s="19">
        <v>8240</v>
      </c>
      <c r="B261" s="24" t="s">
        <v>242</v>
      </c>
      <c r="C261" s="3" t="s">
        <v>591</v>
      </c>
      <c r="D261" s="66">
        <f>'дод 3 '!E58+'дод 3 '!E311+'дод 3 '!E145</f>
        <v>70892309.700000003</v>
      </c>
      <c r="E261" s="66">
        <f>'дод 3 '!F58+'дод 3 '!F311+'дод 3 '!F145</f>
        <v>70892309.700000003</v>
      </c>
      <c r="F261" s="66">
        <f>'дод 3 '!G58+'дод 3 '!G311+'дод 3 '!G145</f>
        <v>0</v>
      </c>
      <c r="G261" s="66">
        <f>'дод 3 '!H58+'дод 3 '!H311+'дод 3 '!H145</f>
        <v>7381972</v>
      </c>
      <c r="H261" s="66">
        <f>'дод 3 '!I58+'дод 3 '!I311+'дод 3 '!I145</f>
        <v>0</v>
      </c>
      <c r="I261" s="66">
        <f>'дод 3 '!J58+'дод 3 '!J311+'дод 3 '!J145</f>
        <v>10168615</v>
      </c>
      <c r="J261" s="66">
        <f>'дод 3 '!K58+'дод 3 '!K311+'дод 3 '!K145</f>
        <v>10168615</v>
      </c>
      <c r="K261" s="66">
        <f>'дод 3 '!L58+'дод 3 '!L311+'дод 3 '!L145</f>
        <v>0</v>
      </c>
      <c r="L261" s="66">
        <f>'дод 3 '!M58+'дод 3 '!M311+'дод 3 '!M145</f>
        <v>0</v>
      </c>
      <c r="M261" s="66">
        <f>'дод 3 '!N58+'дод 3 '!N311+'дод 3 '!N145</f>
        <v>0</v>
      </c>
      <c r="N261" s="66">
        <f>'дод 3 '!O58+'дод 3 '!O311+'дод 3 '!O145</f>
        <v>10168615</v>
      </c>
      <c r="O261" s="66">
        <f>'дод 3 '!P58+'дод 3 '!P311+'дод 3 '!P145</f>
        <v>81060924.700000003</v>
      </c>
      <c r="P261" s="284"/>
    </row>
    <row r="262" spans="1:16" s="26" customFormat="1" ht="22.5" customHeight="1" x14ac:dyDescent="0.25">
      <c r="A262" s="20" t="s">
        <v>6</v>
      </c>
      <c r="B262" s="21"/>
      <c r="C262" s="2" t="s">
        <v>8</v>
      </c>
      <c r="D262" s="25">
        <f>D265+D264+D263</f>
        <v>608000</v>
      </c>
      <c r="E262" s="25">
        <f t="shared" ref="E262:N262" si="54">E265+E264+E263</f>
        <v>608000</v>
      </c>
      <c r="F262" s="25">
        <f t="shared" si="54"/>
        <v>0</v>
      </c>
      <c r="G262" s="25">
        <f t="shared" si="54"/>
        <v>0</v>
      </c>
      <c r="H262" s="25">
        <f t="shared" si="54"/>
        <v>0</v>
      </c>
      <c r="I262" s="25">
        <f>I265+I264+I263</f>
        <v>3336100</v>
      </c>
      <c r="J262" s="25">
        <f t="shared" si="54"/>
        <v>0</v>
      </c>
      <c r="K262" s="25">
        <f t="shared" si="54"/>
        <v>1961722</v>
      </c>
      <c r="L262" s="25">
        <f t="shared" si="54"/>
        <v>0</v>
      </c>
      <c r="M262" s="25">
        <f t="shared" si="54"/>
        <v>0</v>
      </c>
      <c r="N262" s="25">
        <f t="shared" si="54"/>
        <v>1374378</v>
      </c>
      <c r="O262" s="25">
        <f>O265+O264+O263</f>
        <v>3944100</v>
      </c>
      <c r="P262" s="284"/>
    </row>
    <row r="263" spans="1:16" s="26" customFormat="1" ht="22.5" customHeight="1" x14ac:dyDescent="0.25">
      <c r="A263" s="19">
        <v>8312</v>
      </c>
      <c r="B263" s="53" t="s">
        <v>687</v>
      </c>
      <c r="C263" s="3" t="s">
        <v>688</v>
      </c>
      <c r="D263" s="66">
        <f>'дод 3 '!E312</f>
        <v>500000</v>
      </c>
      <c r="E263" s="66">
        <f>'дод 3 '!F312</f>
        <v>500000</v>
      </c>
      <c r="F263" s="66">
        <f>'дод 3 '!G312</f>
        <v>0</v>
      </c>
      <c r="G263" s="66">
        <f>'дод 3 '!H312</f>
        <v>0</v>
      </c>
      <c r="H263" s="66">
        <f>'дод 3 '!I312</f>
        <v>0</v>
      </c>
      <c r="I263" s="66">
        <f>'дод 3 '!J312</f>
        <v>0</v>
      </c>
      <c r="J263" s="66">
        <f>'дод 3 '!K312</f>
        <v>0</v>
      </c>
      <c r="K263" s="66">
        <f>'дод 3 '!L312</f>
        <v>0</v>
      </c>
      <c r="L263" s="66">
        <f>'дод 3 '!M312</f>
        <v>0</v>
      </c>
      <c r="M263" s="66">
        <f>'дод 3 '!N312</f>
        <v>0</v>
      </c>
      <c r="N263" s="66">
        <f>'дод 3 '!O312</f>
        <v>0</v>
      </c>
      <c r="O263" s="66">
        <f>'дод 3 '!P312</f>
        <v>500000</v>
      </c>
      <c r="P263" s="284"/>
    </row>
    <row r="264" spans="1:16" s="26" customFormat="1" ht="33.75" customHeight="1" x14ac:dyDescent="0.25">
      <c r="A264" s="19">
        <v>8330</v>
      </c>
      <c r="B264" s="29" t="s">
        <v>91</v>
      </c>
      <c r="C264" s="3" t="s">
        <v>343</v>
      </c>
      <c r="D264" s="66">
        <f>'дод 3 '!E407</f>
        <v>108000</v>
      </c>
      <c r="E264" s="66">
        <f>'дод 3 '!F407</f>
        <v>108000</v>
      </c>
      <c r="F264" s="66">
        <f>'дод 3 '!G407</f>
        <v>0</v>
      </c>
      <c r="G264" s="66">
        <f>'дод 3 '!H407</f>
        <v>0</v>
      </c>
      <c r="H264" s="66">
        <f>'дод 3 '!I407</f>
        <v>0</v>
      </c>
      <c r="I264" s="66">
        <f>'дод 3 '!J407</f>
        <v>0</v>
      </c>
      <c r="J264" s="66">
        <f>'дод 3 '!K407</f>
        <v>0</v>
      </c>
      <c r="K264" s="66">
        <f>'дод 3 '!L407</f>
        <v>0</v>
      </c>
      <c r="L264" s="66">
        <f>'дод 3 '!M407</f>
        <v>0</v>
      </c>
      <c r="M264" s="66">
        <f>'дод 3 '!N407</f>
        <v>0</v>
      </c>
      <c r="N264" s="66">
        <f>'дод 3 '!O407</f>
        <v>0</v>
      </c>
      <c r="O264" s="66">
        <f>'дод 3 '!P407</f>
        <v>108000</v>
      </c>
      <c r="P264" s="284"/>
    </row>
    <row r="265" spans="1:16" s="26" customFormat="1" ht="19.5" customHeight="1" x14ac:dyDescent="0.25">
      <c r="A265" s="19" t="s">
        <v>9</v>
      </c>
      <c r="B265" s="19" t="s">
        <v>91</v>
      </c>
      <c r="C265" s="3" t="s">
        <v>10</v>
      </c>
      <c r="D265" s="66">
        <f>'дод 3 '!E59+'дод 3 '!E146+'дод 3 '!E313+'дод 3 '!E408+'дод 3 '!E255</f>
        <v>0</v>
      </c>
      <c r="E265" s="66">
        <f>'дод 3 '!F59+'дод 3 '!F146+'дод 3 '!F313+'дод 3 '!F408+'дод 3 '!F255</f>
        <v>0</v>
      </c>
      <c r="F265" s="66">
        <f>'дод 3 '!G59+'дод 3 '!G146+'дод 3 '!G313+'дод 3 '!G408+'дод 3 '!G255</f>
        <v>0</v>
      </c>
      <c r="G265" s="66">
        <f>'дод 3 '!H59+'дод 3 '!H146+'дод 3 '!H313+'дод 3 '!H408+'дод 3 '!H255</f>
        <v>0</v>
      </c>
      <c r="H265" s="66">
        <f>'дод 3 '!I59+'дод 3 '!I146+'дод 3 '!I313+'дод 3 '!I408+'дод 3 '!I255</f>
        <v>0</v>
      </c>
      <c r="I265" s="66">
        <f>'дод 3 '!J59+'дод 3 '!J146+'дод 3 '!J313+'дод 3 '!J408+'дод 3 '!J255</f>
        <v>3336100</v>
      </c>
      <c r="J265" s="66">
        <f>'дод 3 '!K59+'дод 3 '!K146+'дод 3 '!K313+'дод 3 '!K408+'дод 3 '!K255</f>
        <v>0</v>
      </c>
      <c r="K265" s="66">
        <f>'дод 3 '!L59+'дод 3 '!L146+'дод 3 '!L313+'дод 3 '!L408+'дод 3 '!L255</f>
        <v>1961722</v>
      </c>
      <c r="L265" s="66">
        <f>'дод 3 '!M59+'дод 3 '!M146+'дод 3 '!M313+'дод 3 '!M408+'дод 3 '!M255</f>
        <v>0</v>
      </c>
      <c r="M265" s="66">
        <f>'дод 3 '!N59+'дод 3 '!N146+'дод 3 '!N313+'дод 3 '!N408+'дод 3 '!N255</f>
        <v>0</v>
      </c>
      <c r="N265" s="66">
        <f>'дод 3 '!O59+'дод 3 '!O146+'дод 3 '!O313+'дод 3 '!O408+'дод 3 '!O255</f>
        <v>1374378</v>
      </c>
      <c r="O265" s="66">
        <f>'дод 3 '!P59+'дод 3 '!P146+'дод 3 '!P313+'дод 3 '!P408+'дод 3 '!P255</f>
        <v>3336100</v>
      </c>
      <c r="P265" s="284"/>
    </row>
    <row r="266" spans="1:16" s="26" customFormat="1" ht="20.25" hidden="1" customHeight="1" x14ac:dyDescent="0.25">
      <c r="A266" s="20" t="s">
        <v>131</v>
      </c>
      <c r="B266" s="21"/>
      <c r="C266" s="2" t="s">
        <v>75</v>
      </c>
      <c r="D266" s="25">
        <f t="shared" ref="D266:O266" si="55">D267</f>
        <v>0</v>
      </c>
      <c r="E266" s="25">
        <f t="shared" si="55"/>
        <v>0</v>
      </c>
      <c r="F266" s="25">
        <f t="shared" si="55"/>
        <v>0</v>
      </c>
      <c r="G266" s="25">
        <f t="shared" si="55"/>
        <v>0</v>
      </c>
      <c r="H266" s="25">
        <f t="shared" si="55"/>
        <v>0</v>
      </c>
      <c r="I266" s="25">
        <f t="shared" si="55"/>
        <v>0</v>
      </c>
      <c r="J266" s="25">
        <f t="shared" si="55"/>
        <v>0</v>
      </c>
      <c r="K266" s="25">
        <f t="shared" si="55"/>
        <v>0</v>
      </c>
      <c r="L266" s="25">
        <f t="shared" si="55"/>
        <v>0</v>
      </c>
      <c r="M266" s="25">
        <f t="shared" si="55"/>
        <v>0</v>
      </c>
      <c r="N266" s="25">
        <f t="shared" si="55"/>
        <v>0</v>
      </c>
      <c r="O266" s="25">
        <f t="shared" si="55"/>
        <v>0</v>
      </c>
      <c r="P266" s="284"/>
    </row>
    <row r="267" spans="1:16" s="26" customFormat="1" ht="21" hidden="1" customHeight="1" x14ac:dyDescent="0.25">
      <c r="A267" s="19" t="s">
        <v>252</v>
      </c>
      <c r="B267" s="24" t="s">
        <v>76</v>
      </c>
      <c r="C267" s="3" t="s">
        <v>253</v>
      </c>
      <c r="D267" s="66">
        <f>'дод 3 '!E60</f>
        <v>0</v>
      </c>
      <c r="E267" s="66">
        <f>'дод 3 '!F60</f>
        <v>0</v>
      </c>
      <c r="F267" s="66">
        <f>'дод 3 '!G60</f>
        <v>0</v>
      </c>
      <c r="G267" s="66">
        <f>'дод 3 '!H60</f>
        <v>0</v>
      </c>
      <c r="H267" s="66">
        <f>'дод 3 '!I60</f>
        <v>0</v>
      </c>
      <c r="I267" s="66">
        <f>'дод 3 '!J60</f>
        <v>0</v>
      </c>
      <c r="J267" s="66">
        <f>'дод 3 '!K60</f>
        <v>0</v>
      </c>
      <c r="K267" s="66">
        <f>'дод 3 '!L60</f>
        <v>0</v>
      </c>
      <c r="L267" s="66">
        <f>'дод 3 '!M60</f>
        <v>0</v>
      </c>
      <c r="M267" s="66">
        <f>'дод 3 '!N60</f>
        <v>0</v>
      </c>
      <c r="N267" s="66">
        <f>'дод 3 '!O60</f>
        <v>0</v>
      </c>
      <c r="O267" s="66">
        <f>'дод 3 '!P60</f>
        <v>0</v>
      </c>
      <c r="P267" s="284"/>
    </row>
    <row r="268" spans="1:16" s="26" customFormat="1" ht="21" customHeight="1" x14ac:dyDescent="0.25">
      <c r="A268" s="20" t="s">
        <v>94</v>
      </c>
      <c r="B268" s="20" t="s">
        <v>89</v>
      </c>
      <c r="C268" s="2" t="s">
        <v>11</v>
      </c>
      <c r="D268" s="25">
        <f>'дод 3 '!E409</f>
        <v>1500809</v>
      </c>
      <c r="E268" s="25">
        <f>'дод 3 '!F409</f>
        <v>1500809</v>
      </c>
      <c r="F268" s="25">
        <f>'дод 3 '!G409</f>
        <v>0</v>
      </c>
      <c r="G268" s="25">
        <f>'дод 3 '!H409</f>
        <v>0</v>
      </c>
      <c r="H268" s="25">
        <f>'дод 3 '!I409</f>
        <v>0</v>
      </c>
      <c r="I268" s="25">
        <f>'дод 3 '!J409</f>
        <v>0</v>
      </c>
      <c r="J268" s="25">
        <f>'дод 3 '!K409</f>
        <v>0</v>
      </c>
      <c r="K268" s="25">
        <f>'дод 3 '!L409</f>
        <v>0</v>
      </c>
      <c r="L268" s="25">
        <f>'дод 3 '!M409</f>
        <v>0</v>
      </c>
      <c r="M268" s="25">
        <f>'дод 3 '!N409</f>
        <v>0</v>
      </c>
      <c r="N268" s="25">
        <f>'дод 3 '!O409</f>
        <v>0</v>
      </c>
      <c r="O268" s="25">
        <f>'дод 3 '!P409</f>
        <v>1500809</v>
      </c>
      <c r="P268" s="284"/>
    </row>
    <row r="269" spans="1:16" s="26" customFormat="1" ht="21" customHeight="1" x14ac:dyDescent="0.25">
      <c r="A269" s="20">
        <v>8700</v>
      </c>
      <c r="B269" s="20"/>
      <c r="C269" s="2" t="s">
        <v>587</v>
      </c>
      <c r="D269" s="25">
        <f>D270+D274+D272+D273+D271</f>
        <v>19980172.860000003</v>
      </c>
      <c r="E269" s="25">
        <f t="shared" ref="E269:O269" si="56">E270+E274+E272+E273+E271</f>
        <v>0</v>
      </c>
      <c r="F269" s="25">
        <f t="shared" si="56"/>
        <v>0</v>
      </c>
      <c r="G269" s="25">
        <f t="shared" si="56"/>
        <v>0</v>
      </c>
      <c r="H269" s="25">
        <f t="shared" si="56"/>
        <v>0</v>
      </c>
      <c r="I269" s="25">
        <f t="shared" si="56"/>
        <v>0</v>
      </c>
      <c r="J269" s="25">
        <f t="shared" si="56"/>
        <v>0</v>
      </c>
      <c r="K269" s="25">
        <f t="shared" si="56"/>
        <v>0</v>
      </c>
      <c r="L269" s="25">
        <f t="shared" si="56"/>
        <v>0</v>
      </c>
      <c r="M269" s="25">
        <f t="shared" si="56"/>
        <v>0</v>
      </c>
      <c r="N269" s="25">
        <f t="shared" si="56"/>
        <v>0</v>
      </c>
      <c r="O269" s="25">
        <f t="shared" si="56"/>
        <v>19980172.860000003</v>
      </c>
      <c r="P269" s="284"/>
    </row>
    <row r="270" spans="1:16" ht="25.5" customHeight="1" x14ac:dyDescent="0.25">
      <c r="A270" s="19">
        <v>8710</v>
      </c>
      <c r="B270" s="19" t="s">
        <v>92</v>
      </c>
      <c r="C270" s="3" t="s">
        <v>488</v>
      </c>
      <c r="D270" s="66">
        <f>'дод 3 '!E410</f>
        <v>19980172.860000003</v>
      </c>
      <c r="E270" s="66">
        <f>'дод 3 '!F410</f>
        <v>0</v>
      </c>
      <c r="F270" s="66">
        <f>'дод 3 '!G410</f>
        <v>0</v>
      </c>
      <c r="G270" s="66">
        <f>'дод 3 '!H410</f>
        <v>0</v>
      </c>
      <c r="H270" s="66">
        <f>'дод 3 '!I410</f>
        <v>0</v>
      </c>
      <c r="I270" s="66">
        <f>'дод 3 '!J410</f>
        <v>0</v>
      </c>
      <c r="J270" s="66">
        <f>'дод 3 '!K410</f>
        <v>0</v>
      </c>
      <c r="K270" s="66">
        <f>'дод 3 '!L410</f>
        <v>0</v>
      </c>
      <c r="L270" s="66">
        <f>'дод 3 '!M410</f>
        <v>0</v>
      </c>
      <c r="M270" s="66">
        <f>'дод 3 '!N410</f>
        <v>0</v>
      </c>
      <c r="N270" s="66">
        <f>'дод 3 '!O410</f>
        <v>0</v>
      </c>
      <c r="O270" s="66">
        <f>'дод 3 '!P410</f>
        <v>19980172.860000003</v>
      </c>
      <c r="P270" s="284"/>
    </row>
    <row r="271" spans="1:16" ht="55.5" hidden="1" customHeight="1" x14ac:dyDescent="0.25">
      <c r="A271" s="19">
        <v>8741</v>
      </c>
      <c r="B271" s="19">
        <v>610</v>
      </c>
      <c r="C271" s="3" t="s">
        <v>600</v>
      </c>
      <c r="D271" s="66">
        <f>'дод 3 '!E314</f>
        <v>0</v>
      </c>
      <c r="E271" s="66">
        <f>'дод 3 '!F314</f>
        <v>0</v>
      </c>
      <c r="F271" s="66">
        <f>'дод 3 '!G314</f>
        <v>0</v>
      </c>
      <c r="G271" s="66">
        <f>'дод 3 '!H314</f>
        <v>0</v>
      </c>
      <c r="H271" s="66">
        <f>'дод 3 '!I314</f>
        <v>0</v>
      </c>
      <c r="I271" s="66">
        <f>'дод 3 '!J314</f>
        <v>0</v>
      </c>
      <c r="J271" s="66">
        <f>'дод 3 '!K314</f>
        <v>0</v>
      </c>
      <c r="K271" s="66">
        <f>'дод 3 '!L314</f>
        <v>0</v>
      </c>
      <c r="L271" s="66">
        <f>'дод 3 '!M314</f>
        <v>0</v>
      </c>
      <c r="M271" s="66">
        <f>'дод 3 '!N314</f>
        <v>0</v>
      </c>
      <c r="N271" s="66">
        <f>'дод 3 '!O314</f>
        <v>0</v>
      </c>
      <c r="O271" s="66">
        <f>'дод 3 '!P314</f>
        <v>0</v>
      </c>
      <c r="P271" s="71"/>
    </row>
    <row r="272" spans="1:16" ht="63" hidden="1" customHeight="1" x14ac:dyDescent="0.25">
      <c r="A272" s="19">
        <v>8746</v>
      </c>
      <c r="B272" s="19">
        <v>640</v>
      </c>
      <c r="C272" s="3" t="s">
        <v>598</v>
      </c>
      <c r="D272" s="66">
        <f>'дод 3 '!E315</f>
        <v>0</v>
      </c>
      <c r="E272" s="66">
        <f>'дод 3 '!F315</f>
        <v>0</v>
      </c>
      <c r="F272" s="66">
        <f>'дод 3 '!G315</f>
        <v>0</v>
      </c>
      <c r="G272" s="66">
        <f>'дод 3 '!H315</f>
        <v>0</v>
      </c>
      <c r="H272" s="66">
        <f>'дод 3 '!I315</f>
        <v>0</v>
      </c>
      <c r="I272" s="66">
        <f>'дод 3 '!J315</f>
        <v>0</v>
      </c>
      <c r="J272" s="66">
        <f>'дод 3 '!K315</f>
        <v>0</v>
      </c>
      <c r="K272" s="66">
        <f>'дод 3 '!L315</f>
        <v>0</v>
      </c>
      <c r="L272" s="66">
        <f>'дод 3 '!M315</f>
        <v>0</v>
      </c>
      <c r="M272" s="66">
        <f>'дод 3 '!N315</f>
        <v>0</v>
      </c>
      <c r="N272" s="66">
        <f>'дод 3 '!O315</f>
        <v>0</v>
      </c>
      <c r="O272" s="66">
        <f>'дод 3 '!P315</f>
        <v>0</v>
      </c>
      <c r="P272" s="71"/>
    </row>
    <row r="273" spans="1:18" ht="47.25" hidden="1" customHeight="1" x14ac:dyDescent="0.25">
      <c r="A273" s="19">
        <v>8751</v>
      </c>
      <c r="B273" s="19">
        <v>1070</v>
      </c>
      <c r="C273" s="3" t="s">
        <v>597</v>
      </c>
      <c r="D273" s="66">
        <f>'дод 3 '!E233</f>
        <v>0</v>
      </c>
      <c r="E273" s="66">
        <f>'дод 3 '!F233</f>
        <v>0</v>
      </c>
      <c r="F273" s="66">
        <f>'дод 3 '!G233</f>
        <v>0</v>
      </c>
      <c r="G273" s="66">
        <f>'дод 3 '!H233</f>
        <v>0</v>
      </c>
      <c r="H273" s="66">
        <f>'дод 3 '!I233</f>
        <v>0</v>
      </c>
      <c r="I273" s="66">
        <f>'дод 3 '!J233</f>
        <v>0</v>
      </c>
      <c r="J273" s="66">
        <f>'дод 3 '!K233</f>
        <v>0</v>
      </c>
      <c r="K273" s="66">
        <f>'дод 3 '!L233</f>
        <v>0</v>
      </c>
      <c r="L273" s="66">
        <f>'дод 3 '!M233</f>
        <v>0</v>
      </c>
      <c r="M273" s="66">
        <f>'дод 3 '!N233</f>
        <v>0</v>
      </c>
      <c r="N273" s="66">
        <f>'дод 3 '!O233</f>
        <v>0</v>
      </c>
      <c r="O273" s="66">
        <f>'дод 3 '!P233</f>
        <v>0</v>
      </c>
      <c r="P273" s="71"/>
    </row>
    <row r="274" spans="1:18" ht="33.75" hidden="1" customHeight="1" x14ac:dyDescent="0.25">
      <c r="A274" s="19">
        <v>8775</v>
      </c>
      <c r="B274" s="19" t="s">
        <v>92</v>
      </c>
      <c r="C274" s="3" t="s">
        <v>585</v>
      </c>
      <c r="D274" s="66">
        <f>'дод 3 '!E62+'дод 3 '!E191+'дод 3 '!E234+'дод 3 '!E316</f>
        <v>0</v>
      </c>
      <c r="E274" s="66">
        <f>'дод 3 '!F62+'дод 3 '!F191+'дод 3 '!F234+'дод 3 '!F316</f>
        <v>0</v>
      </c>
      <c r="F274" s="66">
        <f>'дод 3 '!G62+'дод 3 '!G191+'дод 3 '!G234+'дод 3 '!G316</f>
        <v>0</v>
      </c>
      <c r="G274" s="66">
        <f>'дод 3 '!H62+'дод 3 '!H191+'дод 3 '!H234+'дод 3 '!H316</f>
        <v>0</v>
      </c>
      <c r="H274" s="66">
        <f>'дод 3 '!I62+'дод 3 '!I191+'дод 3 '!I234+'дод 3 '!I316</f>
        <v>0</v>
      </c>
      <c r="I274" s="66">
        <f>'дод 3 '!J62+'дод 3 '!J191+'дод 3 '!J234+'дод 3 '!J316</f>
        <v>0</v>
      </c>
      <c r="J274" s="66">
        <f>'дод 3 '!K62+'дод 3 '!K191+'дод 3 '!K234+'дод 3 '!K316</f>
        <v>0</v>
      </c>
      <c r="K274" s="66">
        <f>'дод 3 '!L62+'дод 3 '!L191+'дод 3 '!L234+'дод 3 '!L316</f>
        <v>0</v>
      </c>
      <c r="L274" s="66">
        <f>'дод 3 '!M62+'дод 3 '!M191+'дод 3 '!M234+'дод 3 '!M316</f>
        <v>0</v>
      </c>
      <c r="M274" s="66">
        <f>'дод 3 '!N62+'дод 3 '!N191+'дод 3 '!N234+'дод 3 '!N316</f>
        <v>0</v>
      </c>
      <c r="N274" s="66">
        <f>'дод 3 '!O62+'дод 3 '!O191+'дод 3 '!O234+'дод 3 '!O316</f>
        <v>0</v>
      </c>
      <c r="O274" s="66">
        <f>'дод 3 '!P62+'дод 3 '!P191+'дод 3 '!P234+'дод 3 '!P316</f>
        <v>0</v>
      </c>
      <c r="P274" s="71"/>
    </row>
    <row r="275" spans="1:18" s="26" customFormat="1" ht="24" customHeight="1" x14ac:dyDescent="0.25">
      <c r="A275" s="20" t="s">
        <v>12</v>
      </c>
      <c r="B275" s="20"/>
      <c r="C275" s="2" t="s">
        <v>564</v>
      </c>
      <c r="D275" s="25">
        <f>D277+D279+D283+D287</f>
        <v>181819882</v>
      </c>
      <c r="E275" s="25">
        <f t="shared" ref="E275:O275" si="57">E277+E279+E283+E287</f>
        <v>181819882</v>
      </c>
      <c r="F275" s="25">
        <f t="shared" si="57"/>
        <v>0</v>
      </c>
      <c r="G275" s="25">
        <f t="shared" si="57"/>
        <v>0</v>
      </c>
      <c r="H275" s="25">
        <f t="shared" si="57"/>
        <v>0</v>
      </c>
      <c r="I275" s="25">
        <f t="shared" si="57"/>
        <v>94736033.609999999</v>
      </c>
      <c r="J275" s="25">
        <f t="shared" si="57"/>
        <v>94736033.609999999</v>
      </c>
      <c r="K275" s="25">
        <f t="shared" si="57"/>
        <v>0</v>
      </c>
      <c r="L275" s="25">
        <f t="shared" si="57"/>
        <v>0</v>
      </c>
      <c r="M275" s="25">
        <f t="shared" si="57"/>
        <v>0</v>
      </c>
      <c r="N275" s="25">
        <f t="shared" si="57"/>
        <v>94736033.609999999</v>
      </c>
      <c r="O275" s="25">
        <f t="shared" si="57"/>
        <v>276555915.61000001</v>
      </c>
      <c r="P275" s="285">
        <v>50</v>
      </c>
    </row>
    <row r="276" spans="1:18" s="26" customFormat="1" ht="36.75" hidden="1" customHeight="1" x14ac:dyDescent="0.25">
      <c r="A276" s="20"/>
      <c r="B276" s="20"/>
      <c r="C276" s="37" t="s">
        <v>505</v>
      </c>
      <c r="D276" s="68">
        <f>D280</f>
        <v>0</v>
      </c>
      <c r="E276" s="68">
        <f t="shared" ref="E276:O276" si="58">E280</f>
        <v>0</v>
      </c>
      <c r="F276" s="68">
        <f t="shared" si="58"/>
        <v>0</v>
      </c>
      <c r="G276" s="68">
        <f t="shared" si="58"/>
        <v>0</v>
      </c>
      <c r="H276" s="68">
        <f t="shared" si="58"/>
        <v>0</v>
      </c>
      <c r="I276" s="68">
        <f t="shared" si="58"/>
        <v>0</v>
      </c>
      <c r="J276" s="68">
        <f t="shared" si="58"/>
        <v>0</v>
      </c>
      <c r="K276" s="68">
        <f t="shared" si="58"/>
        <v>0</v>
      </c>
      <c r="L276" s="68">
        <f t="shared" si="58"/>
        <v>0</v>
      </c>
      <c r="M276" s="68">
        <f t="shared" si="58"/>
        <v>0</v>
      </c>
      <c r="N276" s="68">
        <f t="shared" si="58"/>
        <v>0</v>
      </c>
      <c r="O276" s="68">
        <f t="shared" si="58"/>
        <v>0</v>
      </c>
      <c r="P276" s="285"/>
    </row>
    <row r="277" spans="1:18" s="26" customFormat="1" ht="21.75" customHeight="1" x14ac:dyDescent="0.25">
      <c r="A277" s="20" t="s">
        <v>250</v>
      </c>
      <c r="B277" s="20"/>
      <c r="C277" s="2" t="s">
        <v>293</v>
      </c>
      <c r="D277" s="25">
        <f t="shared" ref="D277:O277" si="59">D278</f>
        <v>126998500</v>
      </c>
      <c r="E277" s="25">
        <f t="shared" si="59"/>
        <v>126998500</v>
      </c>
      <c r="F277" s="25">
        <f t="shared" si="59"/>
        <v>0</v>
      </c>
      <c r="G277" s="25">
        <f t="shared" si="59"/>
        <v>0</v>
      </c>
      <c r="H277" s="25">
        <f t="shared" si="59"/>
        <v>0</v>
      </c>
      <c r="I277" s="25">
        <f t="shared" si="59"/>
        <v>0</v>
      </c>
      <c r="J277" s="25">
        <f t="shared" si="59"/>
        <v>0</v>
      </c>
      <c r="K277" s="25">
        <f t="shared" si="59"/>
        <v>0</v>
      </c>
      <c r="L277" s="25">
        <f t="shared" si="59"/>
        <v>0</v>
      </c>
      <c r="M277" s="25">
        <f t="shared" si="59"/>
        <v>0</v>
      </c>
      <c r="N277" s="25">
        <f t="shared" si="59"/>
        <v>0</v>
      </c>
      <c r="O277" s="25">
        <f t="shared" si="59"/>
        <v>126998500</v>
      </c>
      <c r="P277" s="285"/>
    </row>
    <row r="278" spans="1:18" s="26" customFormat="1" ht="21" customHeight="1" x14ac:dyDescent="0.25">
      <c r="A278" s="19" t="s">
        <v>90</v>
      </c>
      <c r="B278" s="24" t="s">
        <v>44</v>
      </c>
      <c r="C278" s="3" t="s">
        <v>109</v>
      </c>
      <c r="D278" s="66">
        <f>'дод 3 '!E411</f>
        <v>126998500</v>
      </c>
      <c r="E278" s="66">
        <f>'дод 3 '!F411</f>
        <v>126998500</v>
      </c>
      <c r="F278" s="66">
        <f>'дод 3 '!G411</f>
        <v>0</v>
      </c>
      <c r="G278" s="66">
        <f>'дод 3 '!H411</f>
        <v>0</v>
      </c>
      <c r="H278" s="66">
        <f>'дод 3 '!I411</f>
        <v>0</v>
      </c>
      <c r="I278" s="66">
        <f>'дод 3 '!J411</f>
        <v>0</v>
      </c>
      <c r="J278" s="66">
        <f>'дод 3 '!K411</f>
        <v>0</v>
      </c>
      <c r="K278" s="66">
        <f>'дод 3 '!L411</f>
        <v>0</v>
      </c>
      <c r="L278" s="66">
        <f>'дод 3 '!M411</f>
        <v>0</v>
      </c>
      <c r="M278" s="66">
        <f>'дод 3 '!N411</f>
        <v>0</v>
      </c>
      <c r="N278" s="66">
        <f>'дод 3 '!O411</f>
        <v>0</v>
      </c>
      <c r="O278" s="66">
        <f>'дод 3 '!P411</f>
        <v>126998500</v>
      </c>
      <c r="P278" s="285"/>
      <c r="R278" s="26" t="s">
        <v>699</v>
      </c>
    </row>
    <row r="279" spans="1:18" s="26" customFormat="1" ht="63" hidden="1" customHeight="1" x14ac:dyDescent="0.25">
      <c r="A279" s="20">
        <v>9300</v>
      </c>
      <c r="B279" s="56"/>
      <c r="C279" s="2" t="s">
        <v>502</v>
      </c>
      <c r="D279" s="25">
        <f>D281</f>
        <v>0</v>
      </c>
      <c r="E279" s="25">
        <f t="shared" ref="E279:O279" si="60">E281</f>
        <v>0</v>
      </c>
      <c r="F279" s="25">
        <f t="shared" si="60"/>
        <v>0</v>
      </c>
      <c r="G279" s="25">
        <f t="shared" si="60"/>
        <v>0</v>
      </c>
      <c r="H279" s="25">
        <f t="shared" si="60"/>
        <v>0</v>
      </c>
      <c r="I279" s="25">
        <f t="shared" si="60"/>
        <v>0</v>
      </c>
      <c r="J279" s="25">
        <f t="shared" si="60"/>
        <v>0</v>
      </c>
      <c r="K279" s="25">
        <f t="shared" si="60"/>
        <v>0</v>
      </c>
      <c r="L279" s="25">
        <f t="shared" si="60"/>
        <v>0</v>
      </c>
      <c r="M279" s="25">
        <f t="shared" si="60"/>
        <v>0</v>
      </c>
      <c r="N279" s="25">
        <f t="shared" si="60"/>
        <v>0</v>
      </c>
      <c r="O279" s="25">
        <f t="shared" si="60"/>
        <v>0</v>
      </c>
      <c r="P279" s="285"/>
    </row>
    <row r="280" spans="1:18" s="26" customFormat="1" ht="31.5" hidden="1" customHeight="1" x14ac:dyDescent="0.25">
      <c r="A280" s="20"/>
      <c r="B280" s="53"/>
      <c r="C280" s="37" t="s">
        <v>505</v>
      </c>
      <c r="D280" s="68">
        <f>D282</f>
        <v>0</v>
      </c>
      <c r="E280" s="68">
        <f t="shared" ref="E280:O280" si="61">E282</f>
        <v>0</v>
      </c>
      <c r="F280" s="68">
        <f t="shared" si="61"/>
        <v>0</v>
      </c>
      <c r="G280" s="68">
        <f t="shared" si="61"/>
        <v>0</v>
      </c>
      <c r="H280" s="68">
        <f t="shared" si="61"/>
        <v>0</v>
      </c>
      <c r="I280" s="68">
        <f t="shared" si="61"/>
        <v>0</v>
      </c>
      <c r="J280" s="68">
        <f t="shared" si="61"/>
        <v>0</v>
      </c>
      <c r="K280" s="68">
        <f t="shared" si="61"/>
        <v>0</v>
      </c>
      <c r="L280" s="68">
        <f t="shared" si="61"/>
        <v>0</v>
      </c>
      <c r="M280" s="68">
        <f t="shared" si="61"/>
        <v>0</v>
      </c>
      <c r="N280" s="68">
        <f t="shared" si="61"/>
        <v>0</v>
      </c>
      <c r="O280" s="68">
        <f t="shared" si="61"/>
        <v>0</v>
      </c>
      <c r="P280" s="285"/>
    </row>
    <row r="281" spans="1:18" s="26" customFormat="1" ht="47.25" hidden="1" customHeight="1" x14ac:dyDescent="0.25">
      <c r="A281" s="19">
        <v>9320</v>
      </c>
      <c r="B281" s="53" t="s">
        <v>44</v>
      </c>
      <c r="C281" s="6" t="s">
        <v>503</v>
      </c>
      <c r="D281" s="66">
        <f>'дод 3 '!E147</f>
        <v>0</v>
      </c>
      <c r="E281" s="66">
        <f>'дод 3 '!F147</f>
        <v>0</v>
      </c>
      <c r="F281" s="66">
        <f>'дод 3 '!G147</f>
        <v>0</v>
      </c>
      <c r="G281" s="66">
        <f>'дод 3 '!H147</f>
        <v>0</v>
      </c>
      <c r="H281" s="66">
        <f>'дод 3 '!I147</f>
        <v>0</v>
      </c>
      <c r="I281" s="66">
        <f>'дод 3 '!J147</f>
        <v>0</v>
      </c>
      <c r="J281" s="66">
        <f>'дод 3 '!K147</f>
        <v>0</v>
      </c>
      <c r="K281" s="66">
        <f>'дод 3 '!L147</f>
        <v>0</v>
      </c>
      <c r="L281" s="66">
        <f>'дод 3 '!M147</f>
        <v>0</v>
      </c>
      <c r="M281" s="66">
        <f>'дод 3 '!N147</f>
        <v>0</v>
      </c>
      <c r="N281" s="66">
        <f>'дод 3 '!O147</f>
        <v>0</v>
      </c>
      <c r="O281" s="66">
        <f>'дод 3 '!P147</f>
        <v>0</v>
      </c>
      <c r="P281" s="285"/>
    </row>
    <row r="282" spans="1:18" s="27" customFormat="1" ht="31.5" hidden="1" customHeight="1" x14ac:dyDescent="0.25">
      <c r="A282" s="38"/>
      <c r="B282" s="55"/>
      <c r="C282" s="46" t="s">
        <v>505</v>
      </c>
      <c r="D282" s="67">
        <f>'дод 3 '!E148</f>
        <v>0</v>
      </c>
      <c r="E282" s="67">
        <f>'дод 3 '!F148</f>
        <v>0</v>
      </c>
      <c r="F282" s="67">
        <f>'дод 3 '!G148</f>
        <v>0</v>
      </c>
      <c r="G282" s="67">
        <f>'дод 3 '!H148</f>
        <v>0</v>
      </c>
      <c r="H282" s="67">
        <f>'дод 3 '!I148</f>
        <v>0</v>
      </c>
      <c r="I282" s="67">
        <f>'дод 3 '!J148</f>
        <v>0</v>
      </c>
      <c r="J282" s="67">
        <f>'дод 3 '!K148</f>
        <v>0</v>
      </c>
      <c r="K282" s="67">
        <f>'дод 3 '!L148</f>
        <v>0</v>
      </c>
      <c r="L282" s="67">
        <f>'дод 3 '!M148</f>
        <v>0</v>
      </c>
      <c r="M282" s="67">
        <f>'дод 3 '!N148</f>
        <v>0</v>
      </c>
      <c r="N282" s="67">
        <f>'дод 3 '!O148</f>
        <v>0</v>
      </c>
      <c r="O282" s="67">
        <f>'дод 3 '!P148</f>
        <v>0</v>
      </c>
      <c r="P282" s="285"/>
    </row>
    <row r="283" spans="1:18" s="26" customFormat="1" ht="45.75" customHeight="1" x14ac:dyDescent="0.25">
      <c r="A283" s="20" t="s">
        <v>13</v>
      </c>
      <c r="B283" s="56"/>
      <c r="C283" s="2" t="s">
        <v>342</v>
      </c>
      <c r="D283" s="25">
        <f>D284+D285+D286</f>
        <v>9355746</v>
      </c>
      <c r="E283" s="25">
        <f t="shared" ref="E283:O283" si="62">E284+E285+E286</f>
        <v>9355746</v>
      </c>
      <c r="F283" s="25">
        <f t="shared" si="62"/>
        <v>0</v>
      </c>
      <c r="G283" s="25">
        <f t="shared" si="62"/>
        <v>0</v>
      </c>
      <c r="H283" s="25">
        <f t="shared" si="62"/>
        <v>0</v>
      </c>
      <c r="I283" s="25">
        <f t="shared" si="62"/>
        <v>13517787.609999999</v>
      </c>
      <c r="J283" s="25">
        <f t="shared" si="62"/>
        <v>13517787.609999999</v>
      </c>
      <c r="K283" s="25">
        <f t="shared" si="62"/>
        <v>0</v>
      </c>
      <c r="L283" s="25">
        <f t="shared" si="62"/>
        <v>0</v>
      </c>
      <c r="M283" s="25">
        <f t="shared" si="62"/>
        <v>0</v>
      </c>
      <c r="N283" s="25">
        <f t="shared" si="62"/>
        <v>13517787.609999999</v>
      </c>
      <c r="O283" s="25">
        <f t="shared" si="62"/>
        <v>22873533.609999999</v>
      </c>
      <c r="P283" s="285"/>
    </row>
    <row r="284" spans="1:18" s="26" customFormat="1" ht="79.5" hidden="1" customHeight="1" x14ac:dyDescent="0.25">
      <c r="A284" s="51">
        <v>9730</v>
      </c>
      <c r="B284" s="30" t="s">
        <v>44</v>
      </c>
      <c r="C284" s="31" t="s">
        <v>533</v>
      </c>
      <c r="D284" s="66">
        <f>'дод 3 '!E317</f>
        <v>0</v>
      </c>
      <c r="E284" s="66">
        <f>'дод 3 '!F317</f>
        <v>0</v>
      </c>
      <c r="F284" s="66">
        <f>'дод 3 '!G317</f>
        <v>0</v>
      </c>
      <c r="G284" s="66">
        <f>'дод 3 '!H317</f>
        <v>0</v>
      </c>
      <c r="H284" s="66">
        <f>'дод 3 '!I317</f>
        <v>0</v>
      </c>
      <c r="I284" s="66">
        <f>'дод 3 '!J317</f>
        <v>0</v>
      </c>
      <c r="J284" s="66">
        <f>'дод 3 '!K317</f>
        <v>0</v>
      </c>
      <c r="K284" s="66">
        <f>'дод 3 '!L317</f>
        <v>0</v>
      </c>
      <c r="L284" s="66">
        <f>'дод 3 '!M317</f>
        <v>0</v>
      </c>
      <c r="M284" s="66">
        <f>'дод 3 '!N317</f>
        <v>0</v>
      </c>
      <c r="N284" s="66">
        <f>'дод 3 '!O317</f>
        <v>0</v>
      </c>
      <c r="O284" s="66">
        <f>'дод 3 '!P317</f>
        <v>0</v>
      </c>
      <c r="P284" s="285"/>
    </row>
    <row r="285" spans="1:18" ht="31.5" hidden="1" customHeight="1" x14ac:dyDescent="0.25">
      <c r="A285" s="19">
        <v>9750</v>
      </c>
      <c r="B285" s="24" t="s">
        <v>44</v>
      </c>
      <c r="C285" s="31" t="s">
        <v>495</v>
      </c>
      <c r="D285" s="66">
        <f>'дод 3 '!E318</f>
        <v>0</v>
      </c>
      <c r="E285" s="66">
        <f>'дод 3 '!F318</f>
        <v>0</v>
      </c>
      <c r="F285" s="66">
        <f>'дод 3 '!G318</f>
        <v>0</v>
      </c>
      <c r="G285" s="66">
        <f>'дод 3 '!H318</f>
        <v>0</v>
      </c>
      <c r="H285" s="66">
        <f>'дод 3 '!I318</f>
        <v>0</v>
      </c>
      <c r="I285" s="66">
        <f>'дод 3 '!J318</f>
        <v>0</v>
      </c>
      <c r="J285" s="66">
        <f>'дод 3 '!K318</f>
        <v>0</v>
      </c>
      <c r="K285" s="66">
        <f>'дод 3 '!L318</f>
        <v>0</v>
      </c>
      <c r="L285" s="66">
        <f>'дод 3 '!M318</f>
        <v>0</v>
      </c>
      <c r="M285" s="66">
        <f>'дод 3 '!N318</f>
        <v>0</v>
      </c>
      <c r="N285" s="66">
        <f>'дод 3 '!O318</f>
        <v>0</v>
      </c>
      <c r="O285" s="66">
        <f>'дод 3 '!P318</f>
        <v>0</v>
      </c>
      <c r="P285" s="285"/>
    </row>
    <row r="286" spans="1:18" s="26" customFormat="1" ht="24" customHeight="1" x14ac:dyDescent="0.25">
      <c r="A286" s="19" t="s">
        <v>14</v>
      </c>
      <c r="B286" s="24" t="s">
        <v>44</v>
      </c>
      <c r="C286" s="6" t="s">
        <v>351</v>
      </c>
      <c r="D286" s="66">
        <f>'дод 3 '!E149+'дод 3 '!E190+'дод 3 '!E235+'дод 3 '!E319+'дод 3 '!E61+'дод 3 '!E63</f>
        <v>9355746</v>
      </c>
      <c r="E286" s="66">
        <f>'дод 3 '!F149+'дод 3 '!F190+'дод 3 '!F235+'дод 3 '!F319+'дод 3 '!F61+'дод 3 '!F63</f>
        <v>9355746</v>
      </c>
      <c r="F286" s="66">
        <f>'дод 3 '!G149+'дод 3 '!G190+'дод 3 '!G235+'дод 3 '!G319+'дод 3 '!G61+'дод 3 '!G63</f>
        <v>0</v>
      </c>
      <c r="G286" s="66">
        <f>'дод 3 '!H149+'дод 3 '!H190+'дод 3 '!H235+'дод 3 '!H319+'дод 3 '!H61+'дод 3 '!H63</f>
        <v>0</v>
      </c>
      <c r="H286" s="66">
        <f>'дод 3 '!I149+'дод 3 '!I190+'дод 3 '!I235+'дод 3 '!I319+'дод 3 '!I61+'дод 3 '!I63</f>
        <v>0</v>
      </c>
      <c r="I286" s="66">
        <f>'дод 3 '!J149+'дод 3 '!J190+'дод 3 '!J235+'дод 3 '!J319+'дод 3 '!J61+'дод 3 '!J63</f>
        <v>13517787.609999999</v>
      </c>
      <c r="J286" s="66">
        <f>'дод 3 '!K149+'дод 3 '!K190+'дод 3 '!K235+'дод 3 '!K319+'дод 3 '!K61+'дод 3 '!K63</f>
        <v>13517787.609999999</v>
      </c>
      <c r="K286" s="66">
        <f>'дод 3 '!L149+'дод 3 '!L190+'дод 3 '!L235+'дод 3 '!L319+'дод 3 '!L61+'дод 3 '!L63</f>
        <v>0</v>
      </c>
      <c r="L286" s="66">
        <f>'дод 3 '!M149+'дод 3 '!M190+'дод 3 '!M235+'дод 3 '!M319+'дод 3 '!M61+'дод 3 '!M63</f>
        <v>0</v>
      </c>
      <c r="M286" s="66">
        <f>'дод 3 '!N149+'дод 3 '!N190+'дод 3 '!N235+'дод 3 '!N319+'дод 3 '!N61+'дод 3 '!N63</f>
        <v>0</v>
      </c>
      <c r="N286" s="66">
        <f>'дод 3 '!O149+'дод 3 '!O190+'дод 3 '!O235+'дод 3 '!O319+'дод 3 '!O61+'дод 3 '!O63</f>
        <v>13517787.609999999</v>
      </c>
      <c r="O286" s="66">
        <f>'дод 3 '!P149+'дод 3 '!P190+'дод 3 '!P235+'дод 3 '!P319+'дод 3 '!P61+'дод 3 '!P63</f>
        <v>22873533.609999999</v>
      </c>
      <c r="P286" s="285"/>
    </row>
    <row r="287" spans="1:18" s="26" customFormat="1" ht="51" customHeight="1" x14ac:dyDescent="0.25">
      <c r="A287" s="20">
        <v>9800</v>
      </c>
      <c r="B287" s="21" t="s">
        <v>44</v>
      </c>
      <c r="C287" s="9" t="s">
        <v>362</v>
      </c>
      <c r="D287" s="25">
        <f>'дод 3 '!E150+'дод 3 '!E64+'дод 3 '!E320</f>
        <v>45465636</v>
      </c>
      <c r="E287" s="25">
        <f>'дод 3 '!F150+'дод 3 '!F64+'дод 3 '!F320</f>
        <v>45465636</v>
      </c>
      <c r="F287" s="25">
        <f>'дод 3 '!G150+'дод 3 '!G64+'дод 3 '!G320</f>
        <v>0</v>
      </c>
      <c r="G287" s="25">
        <f>'дод 3 '!H150+'дод 3 '!H64+'дод 3 '!H320</f>
        <v>0</v>
      </c>
      <c r="H287" s="25">
        <f>'дод 3 '!I150+'дод 3 '!I64+'дод 3 '!I320</f>
        <v>0</v>
      </c>
      <c r="I287" s="25">
        <f>'дод 3 '!J150+'дод 3 '!J64+'дод 3 '!J320</f>
        <v>81218246</v>
      </c>
      <c r="J287" s="25">
        <f>'дод 3 '!K150+'дод 3 '!K64+'дод 3 '!K320</f>
        <v>81218246</v>
      </c>
      <c r="K287" s="25">
        <f>'дод 3 '!L150+'дод 3 '!L64+'дод 3 '!L320</f>
        <v>0</v>
      </c>
      <c r="L287" s="25">
        <f>'дод 3 '!M150+'дод 3 '!M64+'дод 3 '!M320</f>
        <v>0</v>
      </c>
      <c r="M287" s="25">
        <f>'дод 3 '!N150+'дод 3 '!N64+'дод 3 '!N320</f>
        <v>0</v>
      </c>
      <c r="N287" s="25">
        <f>'дод 3 '!O150+'дод 3 '!O64+'дод 3 '!O320</f>
        <v>81218246</v>
      </c>
      <c r="O287" s="25">
        <f>'дод 3 '!P150+'дод 3 '!P64+'дод 3 '!P320</f>
        <v>126683882</v>
      </c>
      <c r="P287" s="285"/>
    </row>
    <row r="288" spans="1:18" s="26" customFormat="1" ht="21" customHeight="1" x14ac:dyDescent="0.25">
      <c r="A288" s="7"/>
      <c r="B288" s="7"/>
      <c r="C288" s="2" t="s">
        <v>399</v>
      </c>
      <c r="D288" s="25">
        <f t="shared" ref="D288:O288" si="63">D14+D21+D90+D115+D156+D161+D170+D185+D252+D275</f>
        <v>2973657837.4299998</v>
      </c>
      <c r="E288" s="25">
        <f t="shared" si="63"/>
        <v>2811847972.5699997</v>
      </c>
      <c r="F288" s="25">
        <f t="shared" si="63"/>
        <v>1204383471.28</v>
      </c>
      <c r="G288" s="25">
        <f t="shared" si="63"/>
        <v>159331124.29000002</v>
      </c>
      <c r="H288" s="25">
        <f t="shared" si="63"/>
        <v>141829692</v>
      </c>
      <c r="I288" s="25">
        <f t="shared" si="63"/>
        <v>1623849573.9999998</v>
      </c>
      <c r="J288" s="25">
        <f t="shared" si="63"/>
        <v>1027711655.8200001</v>
      </c>
      <c r="K288" s="25">
        <f t="shared" si="63"/>
        <v>120531507.63</v>
      </c>
      <c r="L288" s="25">
        <f t="shared" si="63"/>
        <v>9145692</v>
      </c>
      <c r="M288" s="25">
        <f t="shared" si="63"/>
        <v>6561045</v>
      </c>
      <c r="N288" s="25">
        <f t="shared" si="63"/>
        <v>1503318066.3699999</v>
      </c>
      <c r="O288" s="25">
        <f t="shared" si="63"/>
        <v>4597507411.4300003</v>
      </c>
      <c r="P288" s="285"/>
    </row>
    <row r="289" spans="1:16" s="27" customFormat="1" ht="27" customHeight="1" x14ac:dyDescent="0.25">
      <c r="A289" s="45"/>
      <c r="B289" s="45"/>
      <c r="C289" s="36" t="s">
        <v>394</v>
      </c>
      <c r="D289" s="68">
        <f t="shared" ref="D289:O289" si="64">D22+D23+D32+D196+D189</f>
        <v>473819800</v>
      </c>
      <c r="E289" s="68">
        <f t="shared" si="64"/>
        <v>473819800</v>
      </c>
      <c r="F289" s="68">
        <f t="shared" si="64"/>
        <v>389369340</v>
      </c>
      <c r="G289" s="68">
        <f t="shared" si="64"/>
        <v>0</v>
      </c>
      <c r="H289" s="68">
        <f t="shared" si="64"/>
        <v>0</v>
      </c>
      <c r="I289" s="68">
        <f t="shared" si="64"/>
        <v>400008554.01999998</v>
      </c>
      <c r="J289" s="68">
        <f t="shared" si="64"/>
        <v>8554.02</v>
      </c>
      <c r="K289" s="68">
        <f t="shared" si="64"/>
        <v>0</v>
      </c>
      <c r="L289" s="68">
        <f t="shared" si="64"/>
        <v>0</v>
      </c>
      <c r="M289" s="68">
        <f t="shared" si="64"/>
        <v>0</v>
      </c>
      <c r="N289" s="68">
        <f t="shared" si="64"/>
        <v>400008554.01999998</v>
      </c>
      <c r="O289" s="68">
        <f t="shared" si="64"/>
        <v>873828354.01999998</v>
      </c>
      <c r="P289" s="285"/>
    </row>
    <row r="290" spans="1:16" s="27" customFormat="1" ht="35.25" customHeight="1" x14ac:dyDescent="0.25">
      <c r="A290" s="45"/>
      <c r="B290" s="45"/>
      <c r="C290" s="36" t="s">
        <v>395</v>
      </c>
      <c r="D290" s="68">
        <f>D24+D26+D118+D119+D258+D31+D93+D94+D162+D30+D187+D181+D96+D117+D116+D33+D222+D190+D34+D35</f>
        <v>9996264.8299999982</v>
      </c>
      <c r="E290" s="68">
        <f t="shared" ref="E290:O290" si="65">E24+E26+E118+E119+E258+E31+E93+E94+E162+E30+E187+E181+E96+E117+E116+E33+E222+E190+E34+E35</f>
        <v>9996264.8299999982</v>
      </c>
      <c r="F290" s="68">
        <f t="shared" si="65"/>
        <v>3469886</v>
      </c>
      <c r="G290" s="68">
        <f t="shared" si="65"/>
        <v>0</v>
      </c>
      <c r="H290" s="68">
        <f t="shared" si="65"/>
        <v>0</v>
      </c>
      <c r="I290" s="68">
        <f t="shared" si="65"/>
        <v>152218291.78999999</v>
      </c>
      <c r="J290" s="68">
        <f t="shared" si="65"/>
        <v>64276123.789999999</v>
      </c>
      <c r="K290" s="68">
        <f t="shared" si="65"/>
        <v>18531428</v>
      </c>
      <c r="L290" s="68">
        <f t="shared" si="65"/>
        <v>0</v>
      </c>
      <c r="M290" s="68">
        <f t="shared" si="65"/>
        <v>0</v>
      </c>
      <c r="N290" s="68">
        <f t="shared" si="65"/>
        <v>133686863.78999999</v>
      </c>
      <c r="O290" s="68">
        <f t="shared" si="65"/>
        <v>162214556.62</v>
      </c>
      <c r="P290" s="285"/>
    </row>
    <row r="291" spans="1:16" s="27" customFormat="1" ht="30.75" customHeight="1" x14ac:dyDescent="0.25">
      <c r="A291" s="45"/>
      <c r="B291" s="45"/>
      <c r="C291" s="36" t="s">
        <v>713</v>
      </c>
      <c r="D291" s="68">
        <f t="shared" ref="D291:O291" si="66">D188</f>
        <v>0</v>
      </c>
      <c r="E291" s="68">
        <f t="shared" si="66"/>
        <v>0</v>
      </c>
      <c r="F291" s="68">
        <f t="shared" si="66"/>
        <v>0</v>
      </c>
      <c r="G291" s="68">
        <f t="shared" si="66"/>
        <v>0</v>
      </c>
      <c r="H291" s="68">
        <f t="shared" si="66"/>
        <v>0</v>
      </c>
      <c r="I291" s="68">
        <f t="shared" si="66"/>
        <v>7344000</v>
      </c>
      <c r="J291" s="68">
        <f t="shared" si="66"/>
        <v>7344000</v>
      </c>
      <c r="K291" s="68">
        <f t="shared" si="66"/>
        <v>0</v>
      </c>
      <c r="L291" s="68">
        <f t="shared" si="66"/>
        <v>0</v>
      </c>
      <c r="M291" s="68">
        <f t="shared" si="66"/>
        <v>0</v>
      </c>
      <c r="N291" s="68">
        <f t="shared" si="66"/>
        <v>7344000</v>
      </c>
      <c r="O291" s="68">
        <f t="shared" si="66"/>
        <v>7344000</v>
      </c>
      <c r="P291" s="285"/>
    </row>
    <row r="292" spans="1:16" s="27" customFormat="1" ht="23.25" customHeight="1" x14ac:dyDescent="0.25">
      <c r="A292" s="32"/>
      <c r="B292" s="32"/>
      <c r="C292" s="42" t="s">
        <v>410</v>
      </c>
      <c r="D292" s="68">
        <f t="shared" ref="D292:O292" si="67">D191</f>
        <v>0</v>
      </c>
      <c r="E292" s="68">
        <f t="shared" si="67"/>
        <v>0</v>
      </c>
      <c r="F292" s="68">
        <f t="shared" si="67"/>
        <v>0</v>
      </c>
      <c r="G292" s="68">
        <f t="shared" si="67"/>
        <v>0</v>
      </c>
      <c r="H292" s="68">
        <f t="shared" si="67"/>
        <v>0</v>
      </c>
      <c r="I292" s="68">
        <f t="shared" si="67"/>
        <v>92214546</v>
      </c>
      <c r="J292" s="68">
        <f t="shared" si="67"/>
        <v>92214546</v>
      </c>
      <c r="K292" s="68">
        <f t="shared" si="67"/>
        <v>0</v>
      </c>
      <c r="L292" s="68">
        <f t="shared" si="67"/>
        <v>0</v>
      </c>
      <c r="M292" s="68">
        <f t="shared" si="67"/>
        <v>0</v>
      </c>
      <c r="N292" s="68">
        <f t="shared" si="67"/>
        <v>92214546</v>
      </c>
      <c r="O292" s="68">
        <f t="shared" si="67"/>
        <v>92214546</v>
      </c>
      <c r="P292" s="285"/>
    </row>
    <row r="293" spans="1:16" s="27" customFormat="1" ht="23.25" customHeight="1" x14ac:dyDescent="0.25">
      <c r="A293" s="32"/>
      <c r="B293" s="32"/>
      <c r="C293" s="42" t="s">
        <v>662</v>
      </c>
      <c r="D293" s="68">
        <f>D249</f>
        <v>0</v>
      </c>
      <c r="E293" s="68">
        <f t="shared" ref="E293:O293" si="68">E249</f>
        <v>0</v>
      </c>
      <c r="F293" s="68">
        <f t="shared" si="68"/>
        <v>0</v>
      </c>
      <c r="G293" s="68">
        <f t="shared" si="68"/>
        <v>0</v>
      </c>
      <c r="H293" s="68">
        <f t="shared" si="68"/>
        <v>0</v>
      </c>
      <c r="I293" s="68">
        <f t="shared" si="68"/>
        <v>4590000</v>
      </c>
      <c r="J293" s="68">
        <f t="shared" si="68"/>
        <v>0</v>
      </c>
      <c r="K293" s="68">
        <f t="shared" si="68"/>
        <v>50000</v>
      </c>
      <c r="L293" s="68">
        <f t="shared" si="68"/>
        <v>0</v>
      </c>
      <c r="M293" s="68">
        <f t="shared" si="68"/>
        <v>0</v>
      </c>
      <c r="N293" s="68">
        <f t="shared" si="68"/>
        <v>4540000</v>
      </c>
      <c r="O293" s="68">
        <f t="shared" si="68"/>
        <v>4590000</v>
      </c>
      <c r="P293" s="285"/>
    </row>
    <row r="294" spans="1:16" s="27" customFormat="1" ht="27" customHeight="1" x14ac:dyDescent="0.25">
      <c r="A294" s="75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85"/>
    </row>
    <row r="295" spans="1:16" s="27" customFormat="1" ht="32.25" customHeight="1" x14ac:dyDescent="0.55000000000000004">
      <c r="A295" s="167" t="s">
        <v>739</v>
      </c>
      <c r="B295" s="167"/>
      <c r="C295" s="168"/>
      <c r="D295" s="169"/>
      <c r="E295" s="170"/>
      <c r="F295" s="88"/>
      <c r="G295" s="87"/>
      <c r="H295" s="170"/>
      <c r="I295" s="170"/>
      <c r="J295" s="170"/>
      <c r="K295" s="258" t="s">
        <v>741</v>
      </c>
      <c r="L295" s="171"/>
      <c r="M295" s="170"/>
      <c r="N295" s="170"/>
      <c r="O295" s="241"/>
      <c r="P295" s="285"/>
    </row>
    <row r="296" spans="1:16" ht="32.25" customHeight="1" x14ac:dyDescent="0.55000000000000004">
      <c r="A296" s="167" t="s">
        <v>740</v>
      </c>
      <c r="B296" s="175"/>
      <c r="C296" s="176"/>
      <c r="D296" s="176"/>
      <c r="E296" s="177"/>
      <c r="F296" s="88"/>
      <c r="G296" s="87"/>
      <c r="H296" s="77"/>
      <c r="I296" s="77"/>
      <c r="J296" s="77"/>
      <c r="K296" s="77"/>
      <c r="L296" s="77"/>
      <c r="M296" s="77"/>
      <c r="N296" s="77"/>
      <c r="O296" s="241"/>
      <c r="P296" s="285"/>
    </row>
    <row r="297" spans="1:16" ht="31.5" customHeight="1" x14ac:dyDescent="0.55000000000000004">
      <c r="A297" s="167"/>
      <c r="B297" s="239"/>
      <c r="C297" s="239"/>
      <c r="D297" s="239"/>
      <c r="E297" s="239"/>
      <c r="F297" s="88"/>
      <c r="G297" s="87"/>
      <c r="H297" s="195"/>
      <c r="I297" s="195"/>
      <c r="J297" s="195"/>
      <c r="K297" s="195"/>
      <c r="L297" s="88"/>
      <c r="M297" s="195"/>
      <c r="N297" s="195"/>
      <c r="O297" s="241"/>
      <c r="P297" s="285"/>
    </row>
    <row r="298" spans="1:16" ht="34.5" customHeight="1" x14ac:dyDescent="0.25">
      <c r="P298" s="71"/>
    </row>
    <row r="299" spans="1:16" x14ac:dyDescent="0.25">
      <c r="D299" s="64">
        <f>D288-'дод 3 '!E415</f>
        <v>0</v>
      </c>
      <c r="E299" s="64">
        <f>E288-'дод 3 '!F415</f>
        <v>0</v>
      </c>
      <c r="F299" s="64">
        <f>F288-'дод 3 '!G415</f>
        <v>0</v>
      </c>
      <c r="G299" s="64">
        <f>G288-'дод 3 '!H415</f>
        <v>0</v>
      </c>
      <c r="H299" s="64">
        <f>H288-'дод 3 '!I415</f>
        <v>0</v>
      </c>
      <c r="I299" s="64">
        <f>I288-'дод 3 '!J415</f>
        <v>0</v>
      </c>
      <c r="K299" s="64">
        <f>K288-'дод 3 '!L415</f>
        <v>0</v>
      </c>
      <c r="L299" s="64">
        <f>L288-'дод 3 '!M415</f>
        <v>0</v>
      </c>
      <c r="M299" s="64">
        <f>M288-'дод 3 '!N415</f>
        <v>0</v>
      </c>
      <c r="N299" s="64">
        <f>N288-'дод 3 '!O415</f>
        <v>0</v>
      </c>
      <c r="O299" s="64">
        <f>O288-'дод 3 '!P415</f>
        <v>0</v>
      </c>
      <c r="P299" s="71"/>
    </row>
    <row r="300" spans="1:16" x14ac:dyDescent="0.25">
      <c r="D300" s="64">
        <f>D289-'дод 3 '!E416</f>
        <v>0</v>
      </c>
      <c r="E300" s="64">
        <f>E289-'дод 3 '!F416</f>
        <v>0</v>
      </c>
      <c r="F300" s="64">
        <f>F289-'дод 3 '!G416</f>
        <v>0</v>
      </c>
      <c r="G300" s="64">
        <f>G289-'дод 3 '!H416</f>
        <v>0</v>
      </c>
      <c r="H300" s="64">
        <f>H289-'дод 3 '!I416</f>
        <v>0</v>
      </c>
      <c r="I300" s="64">
        <f>I289-'дод 3 '!J416</f>
        <v>0</v>
      </c>
      <c r="J300" s="64">
        <f>J289-'дод 3 '!K416</f>
        <v>0</v>
      </c>
      <c r="K300" s="64">
        <f>K289-'дод 3 '!L416</f>
        <v>0</v>
      </c>
      <c r="L300" s="64">
        <f>L289-'дод 3 '!M416</f>
        <v>0</v>
      </c>
      <c r="M300" s="64">
        <f>M289-'дод 3 '!N416</f>
        <v>0</v>
      </c>
      <c r="N300" s="64">
        <f>N289-'дод 3 '!O416</f>
        <v>0</v>
      </c>
      <c r="O300" s="64">
        <f>O289-'дод 3 '!P416</f>
        <v>0</v>
      </c>
      <c r="P300" s="71"/>
    </row>
    <row r="301" spans="1:16" x14ac:dyDescent="0.25">
      <c r="D301" s="64">
        <f>D290-'дод 3 '!E417</f>
        <v>0</v>
      </c>
      <c r="E301" s="64">
        <f>E290-'дод 3 '!F417</f>
        <v>0</v>
      </c>
      <c r="F301" s="64">
        <f>F290-'дод 3 '!G417</f>
        <v>0</v>
      </c>
      <c r="G301" s="64">
        <f>G290-'дод 3 '!H417</f>
        <v>0</v>
      </c>
      <c r="H301" s="64">
        <f>H290-'дод 3 '!I417</f>
        <v>0</v>
      </c>
      <c r="I301" s="64">
        <f>I290-'дод 3 '!J417</f>
        <v>0</v>
      </c>
      <c r="J301" s="64">
        <f>J290-'дод 3 '!K417</f>
        <v>0</v>
      </c>
      <c r="K301" s="64">
        <f>K290-'дод 3 '!L417</f>
        <v>0</v>
      </c>
      <c r="L301" s="64">
        <f>L290-'дод 3 '!M417</f>
        <v>0</v>
      </c>
      <c r="M301" s="64">
        <f>M290-'дод 3 '!N417</f>
        <v>0</v>
      </c>
      <c r="N301" s="64">
        <f>N290-'дод 3 '!O417</f>
        <v>0</v>
      </c>
      <c r="O301" s="64">
        <f>O290-'дод 3 '!P417</f>
        <v>0</v>
      </c>
      <c r="P301" s="71"/>
    </row>
    <row r="302" spans="1:16" x14ac:dyDescent="0.25">
      <c r="D302" s="64">
        <f>D291-'дод 3 '!E418</f>
        <v>0</v>
      </c>
      <c r="E302" s="64">
        <f>E291-'дод 3 '!F418</f>
        <v>0</v>
      </c>
      <c r="F302" s="64">
        <f>F291-'дод 3 '!G418</f>
        <v>0</v>
      </c>
      <c r="G302" s="64">
        <f>G291-'дод 3 '!H418</f>
        <v>0</v>
      </c>
      <c r="H302" s="64">
        <f>H291-'дод 3 '!I418</f>
        <v>0</v>
      </c>
      <c r="I302" s="64">
        <f>I291-'дод 3 '!J418</f>
        <v>0</v>
      </c>
      <c r="J302" s="64">
        <f>J291-'дод 3 '!K418</f>
        <v>0</v>
      </c>
      <c r="K302" s="64">
        <f>K291-'дод 3 '!L418</f>
        <v>0</v>
      </c>
      <c r="L302" s="64">
        <f>L291-'дод 3 '!M418</f>
        <v>0</v>
      </c>
      <c r="M302" s="64">
        <f>M291-'дод 3 '!N418</f>
        <v>0</v>
      </c>
      <c r="N302" s="64">
        <f>N291-'дод 3 '!O418</f>
        <v>0</v>
      </c>
      <c r="O302" s="64">
        <f>O291-'дод 3 '!P418</f>
        <v>0</v>
      </c>
      <c r="P302" s="71"/>
    </row>
    <row r="303" spans="1:16" x14ac:dyDescent="0.25">
      <c r="D303" s="64">
        <f>D292-'дод 3 '!E419</f>
        <v>0</v>
      </c>
      <c r="E303" s="64">
        <f>E292-'дод 3 '!F419</f>
        <v>0</v>
      </c>
      <c r="F303" s="64">
        <f>F292-'дод 3 '!G419</f>
        <v>0</v>
      </c>
      <c r="G303" s="64">
        <f>G292-'дод 3 '!H419</f>
        <v>0</v>
      </c>
      <c r="H303" s="64">
        <f>H292-'дод 3 '!I419</f>
        <v>0</v>
      </c>
      <c r="I303" s="64">
        <f>I292-'дод 3 '!J419</f>
        <v>0</v>
      </c>
      <c r="J303" s="64">
        <f>J292-'дод 3 '!K419</f>
        <v>0</v>
      </c>
      <c r="K303" s="64">
        <f>K292-'дод 3 '!L419</f>
        <v>0</v>
      </c>
      <c r="L303" s="64">
        <f>L292-'дод 3 '!M419</f>
        <v>0</v>
      </c>
      <c r="M303" s="64">
        <f>M292-'дод 3 '!N419</f>
        <v>0</v>
      </c>
      <c r="N303" s="64">
        <f>N292-'дод 3 '!O419</f>
        <v>0</v>
      </c>
      <c r="O303" s="64">
        <f>O292-'дод 3 '!P419</f>
        <v>0</v>
      </c>
      <c r="P303" s="71"/>
    </row>
    <row r="304" spans="1:16" x14ac:dyDescent="0.25">
      <c r="D304" s="64">
        <f>D293-'дод 3 '!E420</f>
        <v>0</v>
      </c>
      <c r="E304" s="64">
        <f>E293-'дод 3 '!F420</f>
        <v>0</v>
      </c>
      <c r="F304" s="64">
        <f>F293-'дод 3 '!G420</f>
        <v>0</v>
      </c>
      <c r="G304" s="64">
        <f>G293-'дод 3 '!H420</f>
        <v>0</v>
      </c>
      <c r="H304" s="64">
        <f>H293-'дод 3 '!I420</f>
        <v>0</v>
      </c>
      <c r="I304" s="64">
        <f>I293-'дод 3 '!J420</f>
        <v>0</v>
      </c>
      <c r="J304" s="64">
        <f>J293-'дод 3 '!K420</f>
        <v>0</v>
      </c>
      <c r="K304" s="64">
        <f>K293-'дод 3 '!L420</f>
        <v>0</v>
      </c>
      <c r="L304" s="64">
        <f>L293-'дод 3 '!M420</f>
        <v>0</v>
      </c>
      <c r="M304" s="64">
        <f>M293-'дод 3 '!N420</f>
        <v>0</v>
      </c>
      <c r="N304" s="64">
        <f>N293-'дод 3 '!O420</f>
        <v>0</v>
      </c>
      <c r="O304" s="64">
        <f>O293-'дод 3 '!P420</f>
        <v>0</v>
      </c>
      <c r="P304" s="71"/>
    </row>
    <row r="305" spans="16:16" x14ac:dyDescent="0.25">
      <c r="P305" s="71"/>
    </row>
    <row r="306" spans="16:16" x14ac:dyDescent="0.25">
      <c r="P306" s="71"/>
    </row>
    <row r="307" spans="16:16" x14ac:dyDescent="0.25">
      <c r="P307" s="71"/>
    </row>
    <row r="308" spans="16:16" x14ac:dyDescent="0.25">
      <c r="P308" s="71"/>
    </row>
    <row r="309" spans="16:16" x14ac:dyDescent="0.25">
      <c r="P309" s="71"/>
    </row>
    <row r="310" spans="16:16" x14ac:dyDescent="0.25">
      <c r="P310" s="71"/>
    </row>
    <row r="311" spans="16:16" x14ac:dyDescent="0.25">
      <c r="P311" s="71"/>
    </row>
    <row r="312" spans="16:16" x14ac:dyDescent="0.25">
      <c r="P312" s="71"/>
    </row>
    <row r="313" spans="16:16" x14ac:dyDescent="0.25">
      <c r="P313" s="71"/>
    </row>
    <row r="314" spans="16:16" x14ac:dyDescent="0.25">
      <c r="P314" s="71"/>
    </row>
  </sheetData>
  <mergeCells count="26">
    <mergeCell ref="Q1:Q108"/>
    <mergeCell ref="P1:P52"/>
    <mergeCell ref="P53:P125"/>
    <mergeCell ref="P126:P164"/>
    <mergeCell ref="F12:G12"/>
    <mergeCell ref="K12:K13"/>
    <mergeCell ref="H12:H13"/>
    <mergeCell ref="I12:I13"/>
    <mergeCell ref="I11:N11"/>
    <mergeCell ref="J12:J13"/>
    <mergeCell ref="P236:P270"/>
    <mergeCell ref="P275:P297"/>
    <mergeCell ref="J4:O4"/>
    <mergeCell ref="N12:N13"/>
    <mergeCell ref="O11:O13"/>
    <mergeCell ref="A8:O8"/>
    <mergeCell ref="A9:O9"/>
    <mergeCell ref="A7:O7"/>
    <mergeCell ref="B11:B13"/>
    <mergeCell ref="C11:C13"/>
    <mergeCell ref="A11:A13"/>
    <mergeCell ref="D12:D13"/>
    <mergeCell ref="L12:M12"/>
    <mergeCell ref="E12:E13"/>
    <mergeCell ref="D11:H11"/>
    <mergeCell ref="J5:M5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6</vt:lpstr>
      <vt:lpstr>'дод 3 '!Заголовки_для_печати</vt:lpstr>
      <vt:lpstr>'дод 6'!Заголовки_для_печати</vt:lpstr>
      <vt:lpstr>'дод 3 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Сабурова Ольга Миколаївна</cp:lastModifiedBy>
  <cp:lastPrinted>2023-12-25T08:12:34Z</cp:lastPrinted>
  <dcterms:created xsi:type="dcterms:W3CDTF">2014-01-17T10:52:16Z</dcterms:created>
  <dcterms:modified xsi:type="dcterms:W3CDTF">2023-12-25T12:21:27Z</dcterms:modified>
</cp:coreProperties>
</file>