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1 Листопад\Наказ 10.11.23\Наказ\"/>
    </mc:Choice>
  </mc:AlternateContent>
  <bookViews>
    <workbookView xWindow="-105" yWindow="-105" windowWidth="23250" windowHeight="12570" tabRatio="322" activeTab="1"/>
  </bookViews>
  <sheets>
    <sheet name="дод 3 " sheetId="1" r:id="rId1"/>
    <sheet name="дод 7" sheetId="3" r:id="rId2"/>
  </sheets>
  <definedNames>
    <definedName name="_xlnm.Print_Titles" localSheetId="0">'дод 3 '!$10:$12</definedName>
    <definedName name="_xlnm.Print_Titles" localSheetId="1">'дод 7'!$11:$13</definedName>
    <definedName name="_xlnm.Print_Area" localSheetId="0">'дод 3 '!$A$1:$P$457</definedName>
    <definedName name="_xlnm.Print_Area" localSheetId="1">'дод 7'!$A$1:$O$297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9" i="1" l="1"/>
  <c r="E409" i="1"/>
  <c r="O58" i="1" l="1"/>
  <c r="K58" i="1"/>
  <c r="F413" i="1" l="1"/>
  <c r="G413" i="1"/>
  <c r="H413" i="1"/>
  <c r="I413" i="1"/>
  <c r="J413" i="1"/>
  <c r="K413" i="1"/>
  <c r="L413" i="1"/>
  <c r="M413" i="1"/>
  <c r="N413" i="1"/>
  <c r="O413" i="1"/>
  <c r="P413" i="1"/>
  <c r="E413" i="1"/>
  <c r="C192" i="3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I100" i="3"/>
  <c r="I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P165" i="1"/>
  <c r="P169" i="1"/>
  <c r="J164" i="1"/>
  <c r="J165" i="1"/>
  <c r="J166" i="1"/>
  <c r="J159" i="1" s="1"/>
  <c r="J167" i="1"/>
  <c r="P167" i="1" s="1"/>
  <c r="J168" i="1"/>
  <c r="J169" i="1"/>
  <c r="J170" i="1"/>
  <c r="E164" i="1"/>
  <c r="P164" i="1" s="1"/>
  <c r="E165" i="1"/>
  <c r="E166" i="1"/>
  <c r="D100" i="3" s="1"/>
  <c r="D94" i="3" s="1"/>
  <c r="E167" i="1"/>
  <c r="E168" i="1"/>
  <c r="P168" i="1" s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E159" i="1" l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F276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G90" i="1"/>
  <c r="G89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O225" i="1"/>
  <c r="O224" i="1"/>
  <c r="K224" i="1"/>
  <c r="M257" i="1"/>
  <c r="N257" i="1"/>
  <c r="G371" i="1"/>
  <c r="F371" i="1"/>
  <c r="K64" i="1"/>
  <c r="D138" i="1" l="1"/>
  <c r="O85" i="1" l="1"/>
  <c r="K85" i="1"/>
  <c r="O64" i="1"/>
  <c r="J64" i="1" s="1"/>
  <c r="F64" i="1"/>
  <c r="O354" i="1"/>
  <c r="K354" i="1"/>
  <c r="F54" i="1"/>
  <c r="F402" i="1"/>
  <c r="F404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O280" i="1"/>
  <c r="K280" i="1"/>
  <c r="F280" i="1"/>
  <c r="F311" i="1"/>
  <c r="H276" i="1"/>
  <c r="F305" i="1"/>
  <c r="O281" i="1"/>
  <c r="K281" i="1"/>
  <c r="F269" i="1"/>
  <c r="O248" i="1"/>
  <c r="F252" i="1"/>
  <c r="F218" i="1"/>
  <c r="G210" i="1"/>
  <c r="F210" i="1"/>
  <c r="F202" i="1"/>
  <c r="O186" i="1"/>
  <c r="K186" i="1"/>
  <c r="O163" i="1"/>
  <c r="N97" i="3" s="1"/>
  <c r="K163" i="1"/>
  <c r="J97" i="3" s="1"/>
  <c r="F130" i="1"/>
  <c r="H84" i="1"/>
  <c r="F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F85" i="1"/>
  <c r="K36" i="1"/>
  <c r="O36" i="1"/>
  <c r="F36" i="1"/>
  <c r="F35" i="1"/>
  <c r="F34" i="1"/>
  <c r="F33" i="1"/>
  <c r="H58" i="1"/>
  <c r="O54" i="1"/>
  <c r="K54" i="1"/>
  <c r="F17" i="1"/>
  <c r="F25" i="1"/>
  <c r="O349" i="1"/>
  <c r="K349" i="1"/>
  <c r="O309" i="1"/>
  <c r="K309" i="1"/>
  <c r="F309" i="1"/>
  <c r="O285" i="1"/>
  <c r="K285" i="1"/>
  <c r="F271" i="1"/>
  <c r="F250" i="1"/>
  <c r="O101" i="1"/>
  <c r="K101" i="1"/>
  <c r="O84" i="1"/>
  <c r="K84" i="1"/>
  <c r="F58" i="1"/>
  <c r="F163" i="1"/>
  <c r="E97" i="3" s="1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K225" i="1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K222" i="1"/>
  <c r="O342" i="1" l="1"/>
  <c r="F61" i="1" l="1"/>
  <c r="D303" i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22" i="1"/>
  <c r="O223" i="1"/>
  <c r="K223" i="1"/>
  <c r="O227" i="1"/>
  <c r="K227" i="1"/>
  <c r="O299" i="1"/>
  <c r="J258" i="1" l="1"/>
  <c r="D233" i="3"/>
  <c r="P304" i="1"/>
  <c r="O140" i="1"/>
  <c r="K140" i="1"/>
  <c r="O233" i="3" l="1"/>
  <c r="P258" i="1"/>
  <c r="F201" i="1"/>
  <c r="O229" i="1"/>
  <c r="K229" i="1"/>
  <c r="K284" i="1"/>
  <c r="O284" i="1"/>
  <c r="O298" i="1"/>
  <c r="F212" i="1" l="1"/>
  <c r="F181" i="1"/>
  <c r="H145" i="1"/>
  <c r="F145" i="1"/>
  <c r="O181" i="1"/>
  <c r="K181" i="1"/>
  <c r="E302" i="1" l="1"/>
  <c r="D231" i="3" s="1"/>
  <c r="J302" i="1"/>
  <c r="I231" i="3" s="1"/>
  <c r="C302" i="1"/>
  <c r="D302" i="1"/>
  <c r="O226" i="1"/>
  <c r="K226" i="1"/>
  <c r="P302" i="1" l="1"/>
  <c r="O231" i="3" s="1"/>
  <c r="F19" i="1"/>
  <c r="F87" i="1"/>
  <c r="O47" i="1" l="1"/>
  <c r="K47" i="1"/>
  <c r="H17" i="1"/>
  <c r="O146" i="1"/>
  <c r="L146" i="1"/>
  <c r="L66" i="1" s="1"/>
  <c r="F175" i="1"/>
  <c r="F173" i="1"/>
  <c r="F170" i="1"/>
  <c r="I305" i="1"/>
  <c r="O270" i="1"/>
  <c r="K270" i="1"/>
  <c r="F180" i="1"/>
  <c r="F83" i="1"/>
  <c r="H85" i="1"/>
  <c r="I275" i="1"/>
  <c r="I271" i="1"/>
  <c r="O249" i="1"/>
  <c r="K249" i="1"/>
  <c r="J140" i="1"/>
  <c r="F37" i="1"/>
  <c r="I257" i="1" l="1"/>
  <c r="H57" i="1"/>
  <c r="F57" i="1"/>
  <c r="H55" i="1"/>
  <c r="F55" i="1"/>
  <c r="H131" i="1"/>
  <c r="F131" i="1"/>
  <c r="H37" i="1"/>
  <c r="H35" i="1"/>
  <c r="H251" i="1"/>
  <c r="F251" i="1"/>
  <c r="H250" i="1"/>
  <c r="H249" i="1"/>
  <c r="F249" i="1"/>
  <c r="H248" i="1"/>
  <c r="F248" i="1"/>
  <c r="H31" i="1"/>
  <c r="F31" i="1"/>
  <c r="H228" i="1"/>
  <c r="F22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101" i="1"/>
  <c r="F101" i="1"/>
  <c r="H88" i="1"/>
  <c r="F88" i="1"/>
  <c r="H87" i="1"/>
  <c r="H333" i="1"/>
  <c r="F333" i="1"/>
  <c r="H402" i="1"/>
  <c r="H391" i="1"/>
  <c r="F391" i="1"/>
  <c r="H368" i="1"/>
  <c r="F368" i="1"/>
  <c r="H383" i="1"/>
  <c r="F383" i="1"/>
  <c r="H371" i="1"/>
  <c r="H267" i="1"/>
  <c r="H257" i="1" s="1"/>
  <c r="F267" i="1"/>
  <c r="H247" i="1"/>
  <c r="F247" i="1"/>
  <c r="H239" i="1"/>
  <c r="F239" i="1"/>
  <c r="H198" i="1"/>
  <c r="F198" i="1"/>
  <c r="H162" i="1"/>
  <c r="F162" i="1"/>
  <c r="H83" i="1"/>
  <c r="F46" i="1"/>
  <c r="G85" i="1"/>
  <c r="G402" i="1"/>
  <c r="G391" i="1"/>
  <c r="G383" i="1"/>
  <c r="G368" i="1"/>
  <c r="G333" i="1"/>
  <c r="G267" i="1"/>
  <c r="G257" i="1" s="1"/>
  <c r="G247" i="1"/>
  <c r="G239" i="1"/>
  <c r="G198" i="1"/>
  <c r="G162" i="1"/>
  <c r="G83" i="1"/>
  <c r="G17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276" i="1" l="1"/>
  <c r="K276" i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F462" i="1" s="1"/>
  <c r="G264" i="1"/>
  <c r="F188" i="3" s="1"/>
  <c r="F291" i="3" s="1"/>
  <c r="G462" i="1" s="1"/>
  <c r="H264" i="1"/>
  <c r="I264" i="1"/>
  <c r="K264" i="1"/>
  <c r="J188" i="3" s="1"/>
  <c r="J291" i="3" s="1"/>
  <c r="K462" i="1" s="1"/>
  <c r="L264" i="1"/>
  <c r="M264" i="1"/>
  <c r="N264" i="1"/>
  <c r="M188" i="3" s="1"/>
  <c r="M291" i="3" s="1"/>
  <c r="N462" i="1" s="1"/>
  <c r="O264" i="1"/>
  <c r="N188" i="3" s="1"/>
  <c r="N291" i="3" s="1"/>
  <c r="O462" i="1" s="1"/>
  <c r="E282" i="1"/>
  <c r="D199" i="3"/>
  <c r="J283" i="1"/>
  <c r="M414" i="1" l="1"/>
  <c r="L188" i="3"/>
  <c r="L291" i="3" s="1"/>
  <c r="M462" i="1" s="1"/>
  <c r="H414" i="1"/>
  <c r="G188" i="3"/>
  <c r="G291" i="3" s="1"/>
  <c r="H462" i="1" s="1"/>
  <c r="L414" i="1"/>
  <c r="K188" i="3"/>
  <c r="K291" i="3" s="1"/>
  <c r="L462" i="1" s="1"/>
  <c r="I414" i="1"/>
  <c r="H188" i="3"/>
  <c r="H291" i="3" s="1"/>
  <c r="I462" i="1" s="1"/>
  <c r="P283" i="1"/>
  <c r="O199" i="3" s="1"/>
  <c r="O414" i="1"/>
  <c r="N302" i="3" s="1"/>
  <c r="K414" i="1"/>
  <c r="J302" i="3" s="1"/>
  <c r="G414" i="1"/>
  <c r="F302" i="3" s="1"/>
  <c r="J264" i="1"/>
  <c r="I188" i="3" s="1"/>
  <c r="I291" i="3" s="1"/>
  <c r="J462" i="1" s="1"/>
  <c r="N414" i="1"/>
  <c r="M302" i="3" s="1"/>
  <c r="F414" i="1"/>
  <c r="E302" i="3" s="1"/>
  <c r="I199" i="3"/>
  <c r="E264" i="1"/>
  <c r="D188" i="3" s="1"/>
  <c r="D291" i="3" s="1"/>
  <c r="E462" i="1" s="1"/>
  <c r="K302" i="3" l="1"/>
  <c r="L302" i="3"/>
  <c r="H302" i="3"/>
  <c r="G302" i="3"/>
  <c r="P264" i="1"/>
  <c r="E414" i="1"/>
  <c r="J414" i="1"/>
  <c r="D302" i="3" l="1"/>
  <c r="I302" i="3"/>
  <c r="P414" i="1"/>
  <c r="O188" i="3"/>
  <c r="O291" i="3" s="1"/>
  <c r="P462" i="1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7" i="1"/>
  <c r="P144" i="1" l="1"/>
  <c r="P143" i="1"/>
  <c r="P82" i="1" l="1"/>
  <c r="J285" i="1" l="1"/>
  <c r="F408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P278" i="1" s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7" i="1" l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H16" i="3"/>
  <c r="K16" i="3"/>
  <c r="L16" i="3"/>
  <c r="M16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0" i="1" l="1"/>
  <c r="H375" i="1" l="1"/>
  <c r="G375" i="1"/>
  <c r="F16" i="3" s="1"/>
  <c r="F375" i="1"/>
  <c r="F186" i="1"/>
  <c r="F406" i="1"/>
  <c r="E264" i="3" s="1"/>
  <c r="F403" i="1"/>
  <c r="F241" i="1"/>
  <c r="F51" i="1"/>
  <c r="D55" i="1"/>
  <c r="F256" i="1" l="1"/>
  <c r="E16" i="3"/>
  <c r="G16" i="3"/>
  <c r="D89" i="1" l="1"/>
  <c r="D188" i="1" l="1"/>
  <c r="D163" i="1"/>
  <c r="D85" i="1"/>
  <c r="D50" i="1"/>
  <c r="E249" i="3" l="1"/>
  <c r="F249" i="3"/>
  <c r="G249" i="3"/>
  <c r="H249" i="3"/>
  <c r="J249" i="3"/>
  <c r="K249" i="3"/>
  <c r="L249" i="3"/>
  <c r="M249" i="3"/>
  <c r="F161" i="1"/>
  <c r="F416" i="1" s="1"/>
  <c r="G161" i="1"/>
  <c r="G416" i="1" s="1"/>
  <c r="H161" i="1"/>
  <c r="H416" i="1" s="1"/>
  <c r="I161" i="1"/>
  <c r="I416" i="1" s="1"/>
  <c r="K161" i="1"/>
  <c r="K416" i="1" s="1"/>
  <c r="L161" i="1"/>
  <c r="L416" i="1" s="1"/>
  <c r="M161" i="1"/>
  <c r="M416" i="1" s="1"/>
  <c r="N161" i="1"/>
  <c r="N416" i="1" s="1"/>
  <c r="O189" i="1"/>
  <c r="E189" i="1"/>
  <c r="G293" i="3" l="1"/>
  <c r="H464" i="1" s="1"/>
  <c r="G192" i="3"/>
  <c r="F293" i="3"/>
  <c r="G464" i="1" s="1"/>
  <c r="F192" i="3"/>
  <c r="M293" i="3"/>
  <c r="N464" i="1" s="1"/>
  <c r="M192" i="3"/>
  <c r="H293" i="3"/>
  <c r="I464" i="1" s="1"/>
  <c r="H192" i="3"/>
  <c r="L293" i="3"/>
  <c r="M464" i="1" s="1"/>
  <c r="L192" i="3"/>
  <c r="K293" i="3"/>
  <c r="K192" i="3"/>
  <c r="J293" i="3"/>
  <c r="K464" i="1" s="1"/>
  <c r="J192" i="3"/>
  <c r="E293" i="3"/>
  <c r="E192" i="3"/>
  <c r="M304" i="3"/>
  <c r="G304" i="3"/>
  <c r="K304" i="3"/>
  <c r="L304" i="3"/>
  <c r="J304" i="3"/>
  <c r="D251" i="3"/>
  <c r="D249" i="3" s="1"/>
  <c r="N251" i="3"/>
  <c r="N249" i="3" s="1"/>
  <c r="J189" i="1"/>
  <c r="I251" i="3" s="1"/>
  <c r="N429" i="1"/>
  <c r="H429" i="1"/>
  <c r="F429" i="1"/>
  <c r="E161" i="1"/>
  <c r="E416" i="1" s="1"/>
  <c r="O161" i="1"/>
  <c r="M429" i="1"/>
  <c r="K429" i="1"/>
  <c r="L429" i="1" l="1"/>
  <c r="L464" i="1"/>
  <c r="G429" i="1"/>
  <c r="H304" i="3"/>
  <c r="E304" i="3"/>
  <c r="F464" i="1"/>
  <c r="I429" i="1"/>
  <c r="N293" i="3"/>
  <c r="O464" i="1" s="1"/>
  <c r="N192" i="3"/>
  <c r="D293" i="3"/>
  <c r="E464" i="1" s="1"/>
  <c r="D192" i="3"/>
  <c r="F304" i="3"/>
  <c r="P189" i="1"/>
  <c r="O251" i="3" s="1"/>
  <c r="O249" i="3" s="1"/>
  <c r="J161" i="1"/>
  <c r="J416" i="1" s="1"/>
  <c r="O416" i="1"/>
  <c r="I249" i="3"/>
  <c r="N304" i="3" l="1"/>
  <c r="E429" i="1"/>
  <c r="D304" i="3"/>
  <c r="I293" i="3"/>
  <c r="J464" i="1" s="1"/>
  <c r="I192" i="3"/>
  <c r="O293" i="3"/>
  <c r="P464" i="1" s="1"/>
  <c r="O192" i="3"/>
  <c r="I304" i="3"/>
  <c r="P161" i="1"/>
  <c r="P416" i="1" s="1"/>
  <c r="O429" i="1"/>
  <c r="J430" i="1"/>
  <c r="J429" i="1" l="1"/>
  <c r="O304" i="3"/>
  <c r="P429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1" i="1"/>
  <c r="E430" i="1"/>
  <c r="L433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2" i="1"/>
  <c r="L432" i="1"/>
  <c r="P49" i="1" l="1"/>
  <c r="O250" i="1"/>
  <c r="K250" i="1"/>
  <c r="H14" i="1" l="1"/>
  <c r="L26" i="1"/>
  <c r="L430" i="1" s="1"/>
  <c r="L14" i="1" l="1"/>
  <c r="O188" i="1"/>
  <c r="N250" i="3" s="1"/>
  <c r="N248" i="3" s="1"/>
  <c r="G401" i="1" l="1"/>
  <c r="H401" i="1"/>
  <c r="I401" i="1"/>
  <c r="K401" i="1"/>
  <c r="L401" i="1"/>
  <c r="M401" i="1"/>
  <c r="N401" i="1"/>
  <c r="O401" i="1"/>
  <c r="J405" i="1"/>
  <c r="E405" i="1"/>
  <c r="P405" i="1" l="1"/>
  <c r="F53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399" i="1"/>
  <c r="D399" i="1"/>
  <c r="B399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90" i="1"/>
  <c r="F389" i="1" s="1"/>
  <c r="G390" i="1"/>
  <c r="G389" i="1" s="1"/>
  <c r="H390" i="1"/>
  <c r="H389" i="1" s="1"/>
  <c r="I390" i="1"/>
  <c r="I389" i="1" s="1"/>
  <c r="L390" i="1"/>
  <c r="L389" i="1" s="1"/>
  <c r="M390" i="1"/>
  <c r="M389" i="1" s="1"/>
  <c r="N390" i="1"/>
  <c r="N389" i="1" s="1"/>
  <c r="O399" i="1"/>
  <c r="N247" i="3" s="1"/>
  <c r="K399" i="1"/>
  <c r="J247" i="3" s="1"/>
  <c r="E399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90" i="1"/>
  <c r="O389" i="1" s="1"/>
  <c r="J396" i="1"/>
  <c r="P396" i="1" s="1"/>
  <c r="J325" i="1"/>
  <c r="J324" i="1" s="1"/>
  <c r="K390" i="1"/>
  <c r="K389" i="1" s="1"/>
  <c r="N184" i="3"/>
  <c r="N194" i="3"/>
  <c r="N241" i="3"/>
  <c r="J391" i="1"/>
  <c r="P391" i="1" s="1"/>
  <c r="N207" i="3"/>
  <c r="N242" i="3"/>
  <c r="J395" i="1"/>
  <c r="P395" i="1" s="1"/>
  <c r="J399" i="1"/>
  <c r="P399" i="1" s="1"/>
  <c r="P392" i="1"/>
  <c r="P393" i="1"/>
  <c r="P394" i="1"/>
  <c r="P397" i="1"/>
  <c r="P398" i="1"/>
  <c r="E390" i="1"/>
  <c r="E389" i="1" s="1"/>
  <c r="P326" i="1"/>
  <c r="P384" i="1"/>
  <c r="P386" i="1"/>
  <c r="P388" i="1"/>
  <c r="E382" i="1"/>
  <c r="E381" i="1" s="1"/>
  <c r="P383" i="1"/>
  <c r="P385" i="1"/>
  <c r="P387" i="1"/>
  <c r="E324" i="1"/>
  <c r="J390" i="1" l="1"/>
  <c r="J389" i="1" s="1"/>
  <c r="P325" i="1"/>
  <c r="P324" i="1" s="1"/>
  <c r="P390" i="1"/>
  <c r="P389" i="1" s="1"/>
  <c r="P382" i="1"/>
  <c r="P381" i="1" s="1"/>
  <c r="E239" i="3" l="1"/>
  <c r="K440" i="1"/>
  <c r="L440" i="1" s="1"/>
  <c r="J440" i="1"/>
  <c r="E247" i="3" l="1"/>
  <c r="F401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36" i="1" l="1"/>
  <c r="J436" i="1"/>
  <c r="E436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O76" i="1"/>
  <c r="N76" i="1"/>
  <c r="M76" i="1"/>
  <c r="L76" i="1"/>
  <c r="K76" i="1"/>
  <c r="I76" i="1"/>
  <c r="H76" i="1"/>
  <c r="G76" i="1"/>
  <c r="F76" i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s="1"/>
  <c r="O40" i="3" s="1"/>
  <c r="O32" i="3" s="1"/>
  <c r="J153" i="1" l="1"/>
  <c r="P153" i="1"/>
  <c r="I102" i="3"/>
  <c r="I96" i="3" s="1"/>
  <c r="I40" i="3"/>
  <c r="I32" i="3" s="1"/>
  <c r="E234" i="1" l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G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2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2" i="1" s="1"/>
  <c r="N330" i="1"/>
  <c r="N412" i="1" s="1"/>
  <c r="M330" i="1"/>
  <c r="M412" i="1" s="1"/>
  <c r="L330" i="1"/>
  <c r="L412" i="1" s="1"/>
  <c r="K330" i="1"/>
  <c r="K412" i="1" s="1"/>
  <c r="I330" i="1"/>
  <c r="I412" i="1" s="1"/>
  <c r="H330" i="1"/>
  <c r="H412" i="1" s="1"/>
  <c r="G330" i="1"/>
  <c r="G412" i="1" s="1"/>
  <c r="F330" i="1"/>
  <c r="F412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P74" i="1"/>
  <c r="O75" i="3"/>
  <c r="O29" i="3" s="1"/>
  <c r="P75" i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J76" i="1"/>
  <c r="E76" i="1" l="1"/>
  <c r="O359" i="1"/>
  <c r="J363" i="1"/>
  <c r="P76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N16" i="3" s="1"/>
  <c r="K239" i="1"/>
  <c r="J16" i="3" s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P73" i="1" s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O82" i="3" s="1"/>
  <c r="D83" i="3"/>
  <c r="P122" i="1"/>
  <c r="P150" i="1"/>
  <c r="O83" i="3" l="1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46" i="1"/>
  <c r="J131" i="1"/>
  <c r="E131" i="1"/>
  <c r="P123" i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2" i="1" s="1"/>
  <c r="D71" i="3"/>
  <c r="P110" i="1"/>
  <c r="O71" i="3" s="1"/>
  <c r="P93" i="1"/>
  <c r="O53" i="3" s="1"/>
  <c r="D250" i="1" l="1"/>
  <c r="N246" i="3" l="1"/>
  <c r="M246" i="3"/>
  <c r="L246" i="3"/>
  <c r="K246" i="3"/>
  <c r="J246" i="3"/>
  <c r="H246" i="3"/>
  <c r="G246" i="3"/>
  <c r="F246" i="3"/>
  <c r="E246" i="3"/>
  <c r="N205" i="3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J222" i="1"/>
  <c r="I147" i="3" s="1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I20" i="3"/>
  <c r="I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151" i="3" l="1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G463" i="1" s="1"/>
  <c r="H237" i="3"/>
  <c r="H191" i="3" s="1"/>
  <c r="H292" i="3" s="1"/>
  <c r="I463" i="1" s="1"/>
  <c r="K237" i="3"/>
  <c r="K191" i="3" s="1"/>
  <c r="K292" i="3" s="1"/>
  <c r="L463" i="1" s="1"/>
  <c r="M237" i="3"/>
  <c r="M191" i="3" s="1"/>
  <c r="M292" i="3" s="1"/>
  <c r="N463" i="1" s="1"/>
  <c r="E237" i="3"/>
  <c r="E191" i="3" s="1"/>
  <c r="E292" i="3" s="1"/>
  <c r="F463" i="1" s="1"/>
  <c r="G237" i="3"/>
  <c r="G191" i="3" s="1"/>
  <c r="G292" i="3" s="1"/>
  <c r="H463" i="1" s="1"/>
  <c r="L237" i="3"/>
  <c r="L191" i="3" s="1"/>
  <c r="L292" i="3" s="1"/>
  <c r="M463" i="1" s="1"/>
  <c r="N237" i="3"/>
  <c r="N191" i="3" s="1"/>
  <c r="N292" i="3" s="1"/>
  <c r="O463" i="1" s="1"/>
  <c r="J237" i="3"/>
  <c r="J191" i="3" s="1"/>
  <c r="J292" i="3" s="1"/>
  <c r="K463" i="1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5" i="1" l="1"/>
  <c r="G303" i="3" s="1"/>
  <c r="M415" i="1"/>
  <c r="L303" i="3" s="1"/>
  <c r="F415" i="1"/>
  <c r="E303" i="3" s="1"/>
  <c r="K415" i="1"/>
  <c r="O415" i="1"/>
  <c r="N303" i="3" s="1"/>
  <c r="G415" i="1"/>
  <c r="F303" i="3" s="1"/>
  <c r="I415" i="1"/>
  <c r="H303" i="3" s="1"/>
  <c r="L415" i="1"/>
  <c r="N415" i="1"/>
  <c r="M303" i="3" s="1"/>
  <c r="J303" i="3" l="1"/>
  <c r="K303" i="3"/>
  <c r="H428" i="1"/>
  <c r="G428" i="1"/>
  <c r="K428" i="1"/>
  <c r="M428" i="1"/>
  <c r="L428" i="1"/>
  <c r="N428" i="1"/>
  <c r="I428" i="1"/>
  <c r="O428" i="1"/>
  <c r="F428" i="1"/>
  <c r="M421" i="1"/>
  <c r="L421" i="1"/>
  <c r="H421" i="1"/>
  <c r="I421" i="1"/>
  <c r="G421" i="1"/>
  <c r="F421" i="1"/>
  <c r="K421" i="1"/>
  <c r="N421" i="1"/>
  <c r="O421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5" i="1" s="1"/>
  <c r="P187" i="1"/>
  <c r="J355" i="1"/>
  <c r="J332" i="1" s="1"/>
  <c r="J415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K93" i="3" s="1"/>
  <c r="J109" i="3"/>
  <c r="J93" i="3" s="1"/>
  <c r="H109" i="3"/>
  <c r="G109" i="3"/>
  <c r="F109" i="3"/>
  <c r="F93" i="3" s="1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N92" i="3" s="1"/>
  <c r="M99" i="3"/>
  <c r="L99" i="3"/>
  <c r="L92" i="3" s="1"/>
  <c r="K99" i="3"/>
  <c r="K92" i="3" s="1"/>
  <c r="J99" i="3"/>
  <c r="J92" i="3" s="1"/>
  <c r="H99" i="3"/>
  <c r="G99" i="3"/>
  <c r="G92" i="3" s="1"/>
  <c r="F99" i="3"/>
  <c r="F92" i="3" s="1"/>
  <c r="N98" i="3"/>
  <c r="N91" i="3" s="1"/>
  <c r="M98" i="3"/>
  <c r="L98" i="3"/>
  <c r="K98" i="3"/>
  <c r="J98" i="3"/>
  <c r="J91" i="3" s="1"/>
  <c r="H98" i="3"/>
  <c r="G98" i="3"/>
  <c r="F98" i="3"/>
  <c r="E98" i="3"/>
  <c r="E91" i="3" s="1"/>
  <c r="O154" i="1"/>
  <c r="N154" i="1"/>
  <c r="M154" i="1"/>
  <c r="L154" i="1"/>
  <c r="K154" i="1"/>
  <c r="I154" i="1"/>
  <c r="H154" i="1"/>
  <c r="G154" i="1"/>
  <c r="F154" i="1"/>
  <c r="G91" i="3" l="1"/>
  <c r="M91" i="3"/>
  <c r="H93" i="3"/>
  <c r="M93" i="3"/>
  <c r="F91" i="3"/>
  <c r="K91" i="3"/>
  <c r="L91" i="3"/>
  <c r="G93" i="3"/>
  <c r="L93" i="3"/>
  <c r="H91" i="3"/>
  <c r="H92" i="3"/>
  <c r="M92" i="3"/>
  <c r="L442" i="1"/>
  <c r="P415" i="1"/>
  <c r="F118" i="3"/>
  <c r="H118" i="3"/>
  <c r="K118" i="3"/>
  <c r="M118" i="3"/>
  <c r="G118" i="3"/>
  <c r="J118" i="3"/>
  <c r="L118" i="3"/>
  <c r="N118" i="3"/>
  <c r="D191" i="3"/>
  <c r="D292" i="3" s="1"/>
  <c r="E463" i="1" s="1"/>
  <c r="I237" i="3"/>
  <c r="I191" i="3" s="1"/>
  <c r="I292" i="3" s="1"/>
  <c r="J463" i="1" s="1"/>
  <c r="O240" i="3"/>
  <c r="I303" i="3" l="1"/>
  <c r="D303" i="3"/>
  <c r="J428" i="1"/>
  <c r="E428" i="1"/>
  <c r="E421" i="1"/>
  <c r="J421" i="1"/>
  <c r="O237" i="3"/>
  <c r="O191" i="3" s="1"/>
  <c r="O292" i="3" s="1"/>
  <c r="P463" i="1" s="1"/>
  <c r="O303" i="3" l="1"/>
  <c r="P428" i="1"/>
  <c r="P421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O460" i="1" s="1"/>
  <c r="M196" i="3"/>
  <c r="M289" i="3" s="1"/>
  <c r="N460" i="1" s="1"/>
  <c r="L196" i="3"/>
  <c r="L289" i="3" s="1"/>
  <c r="M460" i="1" s="1"/>
  <c r="K196" i="3"/>
  <c r="K289" i="3" s="1"/>
  <c r="L460" i="1" s="1"/>
  <c r="J196" i="3"/>
  <c r="J289" i="3" s="1"/>
  <c r="K460" i="1" s="1"/>
  <c r="H196" i="3"/>
  <c r="H289" i="3" s="1"/>
  <c r="I460" i="1" s="1"/>
  <c r="G196" i="3"/>
  <c r="G289" i="3" s="1"/>
  <c r="H460" i="1" s="1"/>
  <c r="F196" i="3"/>
  <c r="F289" i="3" s="1"/>
  <c r="G460" i="1" s="1"/>
  <c r="E196" i="3"/>
  <c r="E289" i="3" s="1"/>
  <c r="F460" i="1" s="1"/>
  <c r="H300" i="3" l="1"/>
  <c r="M300" i="3"/>
  <c r="E300" i="3"/>
  <c r="J300" i="3"/>
  <c r="N300" i="3"/>
  <c r="F300" i="3"/>
  <c r="K300" i="3"/>
  <c r="G300" i="3"/>
  <c r="G426" i="1"/>
  <c r="I426" i="1"/>
  <c r="L426" i="1"/>
  <c r="N426" i="1"/>
  <c r="F426" i="1"/>
  <c r="H426" i="1"/>
  <c r="O426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2" i="1" s="1"/>
  <c r="J87" i="1"/>
  <c r="I46" i="3" s="1"/>
  <c r="I51" i="3" l="1"/>
  <c r="I24" i="3" s="1"/>
  <c r="J70" i="1"/>
  <c r="F431" i="1"/>
  <c r="K426" i="1"/>
  <c r="L300" i="3"/>
  <c r="M426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2" i="1" s="1"/>
  <c r="P91" i="1"/>
  <c r="P106" i="1"/>
  <c r="O67" i="3" s="1"/>
  <c r="O93" i="3" l="1"/>
  <c r="D93" i="3"/>
  <c r="O51" i="3"/>
  <c r="O24" i="3" s="1"/>
  <c r="P70" i="1"/>
  <c r="D289" i="3"/>
  <c r="E460" i="1" s="1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O461" i="1" s="1"/>
  <c r="M258" i="3"/>
  <c r="M290" i="3" s="1"/>
  <c r="N461" i="1" s="1"/>
  <c r="L258" i="3"/>
  <c r="L290" i="3" s="1"/>
  <c r="M461" i="1" s="1"/>
  <c r="K258" i="3"/>
  <c r="K290" i="3" s="1"/>
  <c r="L461" i="1" s="1"/>
  <c r="J258" i="3"/>
  <c r="J290" i="3" s="1"/>
  <c r="K461" i="1" s="1"/>
  <c r="H258" i="3"/>
  <c r="H290" i="3" s="1"/>
  <c r="I461" i="1" s="1"/>
  <c r="G258" i="3"/>
  <c r="G290" i="3" s="1"/>
  <c r="H461" i="1" s="1"/>
  <c r="F258" i="3"/>
  <c r="F290" i="3" s="1"/>
  <c r="G461" i="1" s="1"/>
  <c r="E258" i="3"/>
  <c r="E255" i="3" s="1"/>
  <c r="E253" i="3" s="1"/>
  <c r="D56" i="1"/>
  <c r="O15" i="1"/>
  <c r="N15" i="1"/>
  <c r="M15" i="1"/>
  <c r="L15" i="1"/>
  <c r="K15" i="1"/>
  <c r="I15" i="1"/>
  <c r="H15" i="1"/>
  <c r="G15" i="1"/>
  <c r="F15" i="1"/>
  <c r="J56" i="1"/>
  <c r="J15" i="1" s="1"/>
  <c r="E56" i="1"/>
  <c r="E15" i="1" s="1"/>
  <c r="E290" i="3" l="1"/>
  <c r="F461" i="1" s="1"/>
  <c r="F301" i="3"/>
  <c r="K301" i="3"/>
  <c r="G301" i="3"/>
  <c r="L301" i="3"/>
  <c r="H301" i="3"/>
  <c r="M301" i="3"/>
  <c r="J301" i="3"/>
  <c r="N301" i="3"/>
  <c r="E438" i="1"/>
  <c r="F432" i="1"/>
  <c r="H427" i="1"/>
  <c r="K427" i="1"/>
  <c r="M427" i="1"/>
  <c r="O427" i="1"/>
  <c r="I427" i="1"/>
  <c r="N427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J461" i="1" s="1"/>
  <c r="P56" i="1"/>
  <c r="D258" i="3"/>
  <c r="L427" i="1" l="1"/>
  <c r="G427" i="1"/>
  <c r="E301" i="3"/>
  <c r="F427" i="1"/>
  <c r="I255" i="3"/>
  <c r="I253" i="3" s="1"/>
  <c r="D255" i="3"/>
  <c r="D253" i="3" s="1"/>
  <c r="P15" i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3" i="1"/>
  <c r="J404" i="1"/>
  <c r="J406" i="1"/>
  <c r="I264" i="3" s="1"/>
  <c r="J407" i="1"/>
  <c r="J408" i="1"/>
  <c r="I268" i="3" s="1"/>
  <c r="J409" i="1"/>
  <c r="I270" i="3" s="1"/>
  <c r="I269" i="3" s="1"/>
  <c r="J410" i="1"/>
  <c r="I278" i="3" s="1"/>
  <c r="I277" i="3" s="1"/>
  <c r="J402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16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1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I246" i="3" s="1"/>
  <c r="J257" i="1" l="1"/>
  <c r="J256" i="1" s="1"/>
  <c r="I170" i="3"/>
  <c r="I252" i="3"/>
  <c r="G252" i="3"/>
  <c r="G288" i="3" s="1"/>
  <c r="H459" i="1" s="1"/>
  <c r="L252" i="3"/>
  <c r="L288" i="3" s="1"/>
  <c r="M459" i="1" s="1"/>
  <c r="H252" i="3"/>
  <c r="H288" i="3" s="1"/>
  <c r="I459" i="1" s="1"/>
  <c r="N252" i="3"/>
  <c r="J252" i="3"/>
  <c r="I283" i="3"/>
  <c r="I275" i="3" s="1"/>
  <c r="M288" i="3"/>
  <c r="N459" i="1" s="1"/>
  <c r="F288" i="3"/>
  <c r="G459" i="1" s="1"/>
  <c r="K288" i="3"/>
  <c r="L459" i="1" s="1"/>
  <c r="I14" i="3"/>
  <c r="I156" i="3"/>
  <c r="E406" i="1"/>
  <c r="D264" i="3" s="1"/>
  <c r="D406" i="1"/>
  <c r="B406" i="1"/>
  <c r="E245" i="3" l="1"/>
  <c r="J186" i="1"/>
  <c r="P406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F459" i="1" s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09" i="1"/>
  <c r="E403" i="1"/>
  <c r="E404" i="1"/>
  <c r="E407" i="1"/>
  <c r="E408" i="1"/>
  <c r="D268" i="3" s="1"/>
  <c r="D278" i="3"/>
  <c r="D277" i="3" s="1"/>
  <c r="K400" i="1"/>
  <c r="L400" i="1"/>
  <c r="M400" i="1"/>
  <c r="N400" i="1"/>
  <c r="O400" i="1"/>
  <c r="F400" i="1"/>
  <c r="G400" i="1"/>
  <c r="H400" i="1"/>
  <c r="I400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K13" i="1"/>
  <c r="M13" i="1"/>
  <c r="N13" i="1"/>
  <c r="O13" i="1"/>
  <c r="F13" i="1"/>
  <c r="G13" i="1"/>
  <c r="H13" i="1"/>
  <c r="I13" i="1"/>
  <c r="L13" i="1"/>
  <c r="E257" i="1" l="1"/>
  <c r="E256" i="1" s="1"/>
  <c r="E66" i="1"/>
  <c r="E65" i="1" s="1"/>
  <c r="E329" i="1"/>
  <c r="E193" i="1"/>
  <c r="E192" i="1" s="1"/>
  <c r="D247" i="3"/>
  <c r="D36" i="3"/>
  <c r="D184" i="3"/>
  <c r="M411" i="1"/>
  <c r="N411" i="1"/>
  <c r="G411" i="1"/>
  <c r="D16" i="3"/>
  <c r="D14" i="3" s="1"/>
  <c r="D238" i="3"/>
  <c r="I411" i="1"/>
  <c r="H411" i="1"/>
  <c r="F411" i="1"/>
  <c r="K411" i="1"/>
  <c r="E401" i="1"/>
  <c r="E400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E328" i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246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1" i="1" s="1"/>
  <c r="D159" i="3"/>
  <c r="D146" i="3"/>
  <c r="D198" i="3"/>
  <c r="D195" i="3" s="1"/>
  <c r="D160" i="3"/>
  <c r="D158" i="3"/>
  <c r="J245" i="1"/>
  <c r="D254" i="3"/>
  <c r="P235" i="1"/>
  <c r="D153" i="3"/>
  <c r="D125" i="3"/>
  <c r="D122" i="3"/>
  <c r="P17" i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0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2" i="1"/>
  <c r="P305" i="1"/>
  <c r="P360" i="1"/>
  <c r="P361" i="1"/>
  <c r="P378" i="1"/>
  <c r="O241" i="3" s="1"/>
  <c r="J373" i="1"/>
  <c r="P407" i="1"/>
  <c r="P403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4" i="1"/>
  <c r="P333" i="1"/>
  <c r="P408" i="1"/>
  <c r="O268" i="3" s="1"/>
  <c r="J400" i="1"/>
  <c r="P375" i="1"/>
  <c r="P323" i="1"/>
  <c r="P322" i="1" s="1"/>
  <c r="P321" i="1" s="1"/>
  <c r="P83" i="1"/>
  <c r="J13" i="1"/>
  <c r="P228" i="1"/>
  <c r="P257" i="1" l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6" i="3"/>
  <c r="O14" i="3" s="1"/>
  <c r="O238" i="3"/>
  <c r="E411" i="1"/>
  <c r="M425" i="1"/>
  <c r="I425" i="1"/>
  <c r="H425" i="1"/>
  <c r="G425" i="1"/>
  <c r="N425" i="1"/>
  <c r="K417" i="1"/>
  <c r="F425" i="1"/>
  <c r="O184" i="3"/>
  <c r="O239" i="3"/>
  <c r="P14" i="1"/>
  <c r="P401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O246" i="3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L411" i="1"/>
  <c r="F437" i="1"/>
  <c r="E417" i="1"/>
  <c r="E437" i="1" s="1"/>
  <c r="O252" i="3"/>
  <c r="O156" i="3"/>
  <c r="P342" i="1"/>
  <c r="P329" i="1" s="1"/>
  <c r="J328" i="1"/>
  <c r="K299" i="3" l="1"/>
  <c r="L425" i="1"/>
  <c r="E441" i="1"/>
  <c r="K437" i="1" s="1"/>
  <c r="K443" i="1" s="1"/>
  <c r="E439" i="1"/>
  <c r="F439" i="1" s="1"/>
  <c r="G437" i="1"/>
  <c r="O185" i="3"/>
  <c r="D288" i="3"/>
  <c r="O182" i="3"/>
  <c r="O170" i="3" s="1"/>
  <c r="D299" i="3" l="1"/>
  <c r="E459" i="1"/>
  <c r="J437" i="1"/>
  <c r="J443" i="1" s="1"/>
  <c r="L443" i="1" s="1"/>
  <c r="E425" i="1"/>
  <c r="J120" i="3"/>
  <c r="J115" i="3" s="1"/>
  <c r="N120" i="3"/>
  <c r="N115" i="3" s="1"/>
  <c r="J200" i="1"/>
  <c r="J193" i="1" l="1"/>
  <c r="J192" i="1" s="1"/>
  <c r="J411" i="1" s="1"/>
  <c r="K446" i="1"/>
  <c r="N288" i="3"/>
  <c r="O459" i="1" s="1"/>
  <c r="J288" i="3"/>
  <c r="K459" i="1" s="1"/>
  <c r="I120" i="3"/>
  <c r="P200" i="1"/>
  <c r="P193" i="1" s="1"/>
  <c r="P192" i="1" s="1"/>
  <c r="P13" i="1"/>
  <c r="P358" i="1"/>
  <c r="P400" i="1"/>
  <c r="N299" i="3" l="1"/>
  <c r="I115" i="3"/>
  <c r="I288" i="3" s="1"/>
  <c r="J459" i="1" s="1"/>
  <c r="O425" i="1"/>
  <c r="K425" i="1"/>
  <c r="K448" i="1"/>
  <c r="K449" i="1" s="1"/>
  <c r="K450" i="1" s="1"/>
  <c r="O120" i="3"/>
  <c r="O115" i="3" s="1"/>
  <c r="P373" i="1"/>
  <c r="P328" i="1"/>
  <c r="P245" i="1"/>
  <c r="P236" i="1"/>
  <c r="I299" i="3" l="1"/>
  <c r="P411" i="1"/>
  <c r="J417" i="1"/>
  <c r="O288" i="3"/>
  <c r="P459" i="1" s="1"/>
  <c r="C55" i="1"/>
  <c r="O299" i="3" l="1"/>
  <c r="P417" i="1"/>
  <c r="P425" i="1"/>
  <c r="J446" i="1"/>
  <c r="J425" i="1"/>
  <c r="C404" i="1"/>
  <c r="D404" i="1"/>
  <c r="B404" i="1"/>
  <c r="C306" i="1"/>
  <c r="D306" i="1"/>
  <c r="B306" i="1"/>
  <c r="J448" i="1" l="1"/>
  <c r="J449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3" i="1"/>
  <c r="B403" i="1"/>
  <c r="C407" i="1"/>
  <c r="D407" i="1"/>
  <c r="B407" i="1"/>
  <c r="C408" i="1"/>
  <c r="D408" i="1"/>
  <c r="B408" i="1"/>
  <c r="C409" i="1"/>
  <c r="D409" i="1"/>
  <c r="C410" i="1"/>
  <c r="D410" i="1"/>
  <c r="B410" i="1"/>
  <c r="C402" i="1"/>
  <c r="B402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0" i="1" l="1"/>
  <c r="L449" i="1"/>
  <c r="D222" i="3" l="1"/>
  <c r="D290" i="3" s="1"/>
  <c r="E461" i="1" s="1"/>
  <c r="D301" i="3" l="1"/>
  <c r="I301" i="3"/>
  <c r="J427" i="1"/>
  <c r="O222" i="3"/>
  <c r="O290" i="3" s="1"/>
  <c r="P461" i="1" s="1"/>
  <c r="E427" i="1" l="1"/>
  <c r="E426" i="1"/>
  <c r="D300" i="3"/>
  <c r="D186" i="3"/>
  <c r="O301" i="3" l="1"/>
  <c r="P427" i="1"/>
  <c r="I196" i="3"/>
  <c r="I289" i="3" s="1"/>
  <c r="J460" i="1" s="1"/>
  <c r="O196" i="3"/>
  <c r="O289" i="3" s="1"/>
  <c r="P460" i="1" s="1"/>
  <c r="I300" i="3" l="1"/>
  <c r="O300" i="3"/>
  <c r="P426" i="1"/>
  <c r="J426" i="1"/>
  <c r="O186" i="3"/>
  <c r="I186" i="3"/>
</calcChain>
</file>

<file path=xl/sharedStrings.xml><?xml version="1.0" encoding="utf-8"?>
<sst xmlns="http://schemas.openxmlformats.org/spreadsheetml/2006/main" count="1224" uniqueCount="745">
  <si>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</si>
  <si>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</si>
  <si>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</si>
  <si>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</si>
  <si>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</si>
  <si>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</si>
  <si>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</si>
  <si>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</si>
  <si>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</si>
  <si>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</si>
  <si>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</si>
  <si>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</si>
  <si>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</si>
  <si>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</si>
  <si>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</si>
  <si>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</si>
  <si>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</si>
  <si>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</si>
  <si>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</si>
  <si>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</si>
  <si>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</si>
  <si>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</si>
  <si>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</si>
  <si>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</si>
  <si>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</si>
  <si>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</si>
  <si>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</si>
  <si>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</si>
  <si>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</si>
  <si>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</si>
  <si>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</si>
  <si>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</si>
  <si>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</si>
  <si>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</si>
  <si>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</si>
  <si>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</si>
  <si>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</si>
  <si>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</si>
  <si>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</si>
  <si>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</si>
  <si>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</si>
  <si>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</si>
  <si>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</si>
  <si>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</si>
  <si>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</si>
  <si>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</si>
  <si>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</si>
  <si>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</si>
  <si>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</si>
  <si>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</si>
  <si>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</si>
  <si>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</si>
  <si>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</si>
  <si>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</si>
  <si>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</si>
  <si>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</si>
  <si>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</si>
  <si>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</si>
  <si>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</si>
  <si>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</si>
  <si>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</si>
  <si>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</si>
  <si>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</si>
  <si>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</si>
  <si>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</si>
  <si>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</si>
  <si>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</si>
  <si>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</si>
  <si>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</si>
  <si>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</si>
  <si>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</si>
  <si>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</si>
  <si>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</si>
  <si>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</si>
  <si>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</si>
  <si>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</si>
  <si>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</si>
  <si>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</si>
  <si>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</si>
  <si>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</si>
  <si>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</si>
  <si>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</si>
  <si>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</si>
  <si>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</si>
  <si>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</si>
  <si>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</si>
  <si>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</si>
  <si>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</si>
  <si>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</si>
  <si>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</si>
  <si>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</si>
  <si>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</si>
  <si>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</si>
  <si>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</si>
  <si>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</si>
  <si>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</si>
  <si>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</si>
  <si>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</si>
  <si>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</si>
  <si>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</si>
  <si>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</si>
  <si>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</si>
  <si>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</si>
  <si>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</si>
  <si>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</si>
  <si>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</si>
  <si>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</si>
  <si>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</si>
  <si>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</si>
  <si>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</si>
  <si>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</si>
  <si>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</si>
  <si>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</si>
  <si>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</si>
  <si>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</si>
  <si>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</si>
  <si>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</si>
  <si>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</si>
  <si>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</si>
  <si>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</si>
  <si>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</si>
  <si>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</si>
  <si>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</si>
  <si>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</si>
  <si>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</si>
  <si>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</si>
  <si>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</si>
  <si>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</si>
  <si>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</si>
  <si>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</si>
  <si>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</si>
  <si>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</si>
  <si>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</si>
  <si>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</si>
  <si>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</si>
  <si>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</si>
  <si>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</si>
  <si>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</si>
  <si>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</si>
  <si>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</si>
  <si>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</si>
  <si>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</si>
  <si>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</si>
  <si>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</si>
  <si>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</si>
  <si>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</si>
  <si>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</si>
  <si>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</si>
  <si>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</si>
  <si>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</si>
  <si>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</si>
  <si>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</si>
  <si>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</si>
  <si>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</si>
  <si>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</si>
  <si>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</si>
  <si>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</si>
  <si>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</si>
  <si>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</si>
  <si>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</si>
  <si>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</si>
  <si>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</si>
  <si>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</si>
  <si>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</si>
  <si>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</si>
  <si>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</si>
  <si>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</si>
  <si>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</si>
  <si>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</si>
  <si>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</si>
  <si>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</si>
  <si>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</si>
  <si>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</si>
  <si>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</si>
  <si>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</si>
  <si>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</si>
  <si>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</si>
  <si>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</si>
  <si>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</si>
  <si>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</si>
  <si>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</si>
  <si>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</si>
  <si>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</si>
  <si>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</si>
  <si>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</si>
  <si>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</si>
  <si>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</si>
  <si>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</si>
  <si>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</si>
  <si>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</si>
  <si>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</si>
  <si>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</si>
  <si>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</si>
  <si>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</si>
  <si>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</si>
  <si>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</si>
  <si>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</si>
  <si>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</si>
  <si>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</si>
  <si>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</si>
  <si>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</si>
  <si>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</si>
  <si>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</si>
  <si>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</si>
  <si>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</si>
  <si>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</si>
  <si>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</si>
  <si>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</si>
  <si>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</si>
  <si>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</si>
  <si>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</si>
  <si>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</si>
  <si>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</si>
  <si>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</si>
  <si>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</si>
  <si>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</si>
  <si>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</si>
  <si>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</si>
  <si>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</si>
  <si>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</si>
  <si>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</si>
  <si>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</si>
  <si>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</si>
  <si>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</si>
  <si>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</si>
  <si>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</si>
  <si>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</si>
  <si>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</si>
  <si>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</si>
  <si>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</si>
  <si>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</si>
  <si>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</si>
  <si>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</si>
  <si>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</si>
  <si>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</si>
  <si>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</si>
  <si>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</si>
  <si>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</si>
  <si>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</si>
  <si>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</si>
  <si>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</si>
  <si>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</si>
  <si>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</si>
  <si>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</si>
  <si>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</si>
  <si>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</si>
  <si>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</si>
  <si>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</si>
  <si>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</si>
  <si>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</si>
  <si>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</si>
  <si>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</si>
  <si>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</si>
  <si>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</si>
  <si>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</si>
  <si>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</si>
  <si>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</si>
  <si>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</si>
  <si>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</si>
  <si>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</si>
  <si>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</si>
  <si>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</si>
  <si>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</si>
  <si>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</si>
  <si>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</si>
  <si>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</si>
  <si>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</si>
  <si>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</si>
  <si>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</si>
  <si>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</si>
  <si>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</si>
  <si>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</si>
  <si>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</si>
  <si>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</si>
  <si>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</si>
  <si>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</si>
  <si>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</si>
  <si>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</si>
  <si>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</si>
  <si>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</si>
  <si>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</si>
  <si>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</si>
  <si>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</si>
  <si>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</si>
  <si>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</si>
  <si>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</si>
  <si>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</si>
  <si>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</si>
  <si>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</si>
  <si>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</si>
  <si>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</si>
  <si>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</si>
  <si>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</si>
  <si>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</si>
  <si>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</si>
  <si>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</si>
  <si>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</si>
  <si>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</si>
  <si>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</si>
  <si>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</si>
  <si>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</si>
  <si>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</si>
  <si>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</si>
  <si>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</si>
  <si>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</si>
  <si>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</si>
  <si>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</si>
  <si>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</si>
  <si>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</si>
  <si>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</si>
  <si>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</si>
  <si>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</si>
  <si>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</si>
  <si>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</si>
  <si>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</si>
  <si>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</si>
  <si>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</si>
  <si>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</si>
  <si>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</si>
  <si>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</si>
  <si>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</si>
  <si>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</si>
  <si>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</si>
  <si>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</si>
  <si>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</si>
  <si>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</si>
  <si>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</si>
  <si>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</si>
  <si>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</si>
  <si>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</si>
  <si>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</si>
  <si>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</si>
  <si>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</si>
  <si>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</si>
  <si>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</si>
  <si>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</si>
  <si>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</si>
  <si>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</si>
  <si>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</si>
  <si>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</si>
  <si>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</si>
  <si>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</si>
  <si>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</si>
  <si>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</si>
  <si>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</si>
  <si>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</si>
  <si>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</si>
  <si>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</si>
  <si>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</si>
  <si>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</si>
  <si>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</si>
  <si>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</si>
  <si>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</si>
  <si>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</si>
  <si>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</si>
  <si>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</si>
  <si>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</si>
  <si>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</si>
  <si>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</si>
  <si>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</si>
  <si>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</si>
  <si>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</si>
  <si>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</si>
  <si>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</si>
  <si>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</si>
  <si>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</si>
  <si>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</si>
  <si>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</si>
  <si>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</si>
  <si>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</si>
  <si>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</si>
  <si>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</si>
  <si>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</si>
  <si>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</si>
  <si>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</si>
  <si>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</si>
  <si>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</si>
  <si>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</si>
  <si>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</si>
  <si>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</si>
  <si>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</si>
  <si>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</si>
  <si>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</si>
  <si>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</si>
  <si>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</si>
  <si>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</si>
  <si>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</si>
  <si>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</si>
  <si>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</si>
  <si>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</si>
  <si>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</si>
  <si>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</si>
  <si>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</si>
  <si>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</si>
  <si>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</si>
  <si>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</si>
  <si>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</si>
  <si>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</si>
  <si>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</si>
  <si>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</si>
  <si>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</si>
  <si>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</si>
  <si>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</si>
  <si>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</si>
  <si>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</si>
  <si>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</si>
  <si>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</si>
  <si>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</si>
  <si>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</si>
  <si>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</si>
  <si>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</si>
  <si>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</si>
  <si>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</si>
  <si>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</si>
  <si>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</si>
  <si>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</si>
  <si>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</si>
  <si>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</si>
  <si>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</si>
  <si>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</si>
  <si>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</si>
  <si>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</si>
  <si>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</si>
  <si>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</si>
  <si>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</si>
  <si>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</si>
  <si>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</si>
  <si>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</si>
  <si>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</si>
  <si>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</si>
  <si>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</si>
  <si>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</si>
  <si>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</si>
  <si>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</si>
  <si>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</si>
  <si>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</si>
  <si>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</si>
  <si>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</si>
  <si>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</si>
  <si>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</si>
  <si>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</si>
  <si>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</si>
  <si>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</si>
  <si>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</si>
  <si>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</si>
  <si>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</si>
  <si>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</si>
  <si>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</si>
  <si>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</si>
  <si>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</si>
  <si>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</si>
  <si>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</si>
  <si>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</si>
  <si>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</si>
  <si>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</si>
  <si>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</si>
  <si>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</si>
  <si>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</si>
  <si>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</si>
  <si>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</si>
  <si>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</si>
  <si>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</si>
  <si>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</si>
  <si>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</si>
  <si>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</si>
  <si>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</si>
  <si>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</si>
  <si>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</si>
  <si>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</si>
  <si>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</si>
  <si>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</si>
  <si>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</si>
  <si>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</si>
  <si>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</si>
  <si>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</si>
  <si>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</si>
  <si>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</si>
  <si>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</si>
  <si>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</si>
  <si>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</si>
  <si>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</si>
  <si>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</si>
  <si>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</si>
  <si>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</si>
  <si>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</si>
  <si>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</si>
  <si>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</si>
  <si>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</si>
  <si>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</si>
  <si>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</si>
  <si>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</si>
  <si>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</si>
  <si>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</si>
  <si>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</si>
  <si>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</si>
  <si>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</si>
  <si>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</si>
  <si>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</si>
  <si>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</si>
  <si>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</si>
  <si>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</si>
  <si>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</si>
  <si>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</si>
  <si>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</si>
  <si>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</si>
  <si>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</si>
  <si>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</si>
  <si>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</si>
  <si>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</si>
  <si>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</si>
  <si>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</si>
  <si>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</si>
  <si>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</si>
  <si>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</si>
  <si>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</si>
  <si>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</si>
  <si>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</si>
  <si>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</si>
  <si>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</si>
  <si>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</si>
  <si>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</si>
  <si>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</si>
  <si>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</si>
  <si>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</si>
  <si>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</si>
  <si>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</si>
  <si>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</si>
  <si>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</si>
  <si>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</si>
  <si>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</si>
  <si>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</si>
  <si>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</si>
  <si>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</si>
  <si>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</si>
  <si>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</si>
  <si>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</si>
  <si>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</si>
  <si>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</si>
  <si>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</si>
  <si>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</si>
  <si>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</si>
  <si>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</si>
  <si>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</si>
  <si>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</si>
  <si>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</si>
  <si>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</si>
  <si>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</si>
  <si>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</si>
  <si>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</si>
  <si>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</si>
  <si>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</si>
  <si>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</si>
  <si>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</si>
  <si>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</si>
  <si>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</si>
  <si>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</si>
  <si>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</si>
  <si>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</si>
  <si>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</si>
  <si>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</si>
  <si>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</si>
  <si>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</si>
  <si>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</si>
  <si>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</si>
  <si>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</si>
  <si>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</si>
  <si>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</si>
  <si>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</si>
  <si>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</si>
  <si>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</si>
  <si>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</si>
  <si>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</si>
  <si>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</si>
  <si>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</si>
  <si>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</si>
  <si>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</si>
  <si>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</si>
  <si>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</si>
  <si>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</si>
  <si>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</si>
  <si>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</si>
  <si>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</si>
  <si>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</si>
  <si>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</si>
  <si>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</si>
  <si>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</si>
  <si>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</si>
  <si>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</si>
  <si>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</si>
  <si>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</si>
  <si>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</si>
  <si>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</si>
  <si>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</si>
  <si>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</si>
  <si>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</si>
  <si>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</si>
  <si>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</si>
  <si>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</si>
  <si>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</si>
  <si>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</si>
  <si>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</si>
  <si>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</si>
  <si>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</si>
  <si>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</si>
  <si>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</si>
  <si>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</si>
  <si>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</si>
  <si>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</si>
  <si>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</si>
  <si>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</si>
  <si>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</si>
  <si>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</si>
  <si>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</si>
  <si>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</si>
  <si>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</si>
  <si>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</si>
  <si>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</si>
  <si>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</si>
  <si>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</si>
  <si>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</si>
  <si>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</si>
  <si>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</si>
  <si>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</si>
  <si>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</si>
  <si>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</si>
  <si>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</si>
  <si>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</si>
  <si>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</si>
  <si>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</si>
  <si>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</si>
  <si>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</si>
  <si>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</si>
  <si>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</si>
  <si>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</si>
  <si>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</si>
  <si>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</si>
  <si>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</si>
  <si>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</si>
  <si>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</si>
  <si>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</si>
  <si>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</si>
  <si>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</si>
  <si>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</si>
  <si>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</si>
  <si>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</si>
  <si>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</si>
  <si>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</si>
  <si>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</si>
  <si>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</si>
  <si>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</si>
  <si>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</si>
  <si>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</si>
  <si>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</si>
  <si>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</si>
  <si>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</si>
  <si>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</si>
  <si>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</si>
  <si>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</si>
  <si>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</si>
  <si>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</si>
  <si>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</si>
  <si>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</si>
  <si>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</si>
  <si>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</si>
  <si>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</si>
  <si>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</si>
  <si>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</si>
  <si>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</si>
  <si>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</si>
  <si>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</si>
  <si>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</si>
  <si>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</si>
  <si>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</si>
  <si>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</si>
  <si>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</si>
  <si>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</si>
  <si>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</si>
  <si>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</si>
  <si>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</si>
  <si>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</si>
  <si>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</si>
  <si>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</si>
  <si>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</si>
  <si>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</si>
  <si>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</si>
  <si>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</si>
  <si>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</si>
  <si>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</si>
  <si>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</si>
  <si>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</si>
  <si>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</si>
  <si>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</si>
  <si>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</si>
  <si>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</si>
  <si>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</si>
  <si>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</si>
  <si>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</si>
  <si>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</si>
  <si>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</si>
  <si>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</si>
  <si>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</si>
  <si>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</si>
  <si>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</si>
  <si>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</si>
  <si>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</si>
  <si>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</si>
  <si>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</si>
  <si>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</si>
  <si>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</si>
  <si>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</si>
  <si>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</si>
  <si>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</si>
  <si>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</si>
  <si>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</si>
  <si>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</si>
  <si>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</si>
  <si>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</si>
  <si>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</si>
  <si>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</si>
  <si>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Додаток 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</si>
  <si>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</si>
  <si>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</si>
  <si>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</si>
  <si>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</si>
  <si>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</si>
  <si>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</si>
  <si>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</si>
  <si>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</si>
  <si>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</si>
  <si>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</si>
  <si>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</si>
  <si>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</si>
  <si>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</si>
  <si>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</si>
  <si>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</si>
  <si>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</si>
  <si>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 xml:space="preserve">                     Додаток 7</t>
  </si>
  <si>
    <t>Виконавець: _______________ Світлана ЛИПОВА</t>
  </si>
  <si>
    <t>Начальник міської військової адміністрації</t>
  </si>
  <si>
    <t>Олексій ДРОЗДЕНКО</t>
  </si>
  <si>
    <t>(з    питань      діяльності          ради)</t>
  </si>
  <si>
    <t xml:space="preserve">до                    наказу                начальника </t>
  </si>
  <si>
    <t>від 16 листопада 2023 року № 1 - СМР</t>
  </si>
  <si>
    <t>міської    військової           адміністрації</t>
  </si>
  <si>
    <t xml:space="preserve">до                наказу                начальника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</si>
</sst>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2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0" fontId="30" fillId="42" borderId="7" xfId="0" applyFont="1" applyFill="1" applyBorder="1" applyAlignment="1">
      <alignment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7" xfId="0" applyNumberFormat="1" applyFont="1" applyFill="1" applyBorder="1" applyAlignment="1">
      <alignment horizontal="center"/>
    </xf>
    <xf numFmtId="4" fontId="23" fillId="42" borderId="28" xfId="0" applyNumberFormat="1" applyFont="1" applyFill="1" applyBorder="1" applyAlignment="1">
      <alignment horizontal="center"/>
    </xf>
    <xf numFmtId="4" fontId="23" fillId="42" borderId="29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5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4" fillId="42" borderId="20" xfId="0" applyNumberFormat="1" applyFont="1" applyFill="1" applyBorder="1" applyAlignment="1">
      <alignment horizontal="center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30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23" fillId="42" borderId="7" xfId="0" applyNumberFormat="1" applyFont="1" applyFill="1" applyBorder="1" applyAlignment="1">
      <alignment horizontal="center"/>
    </xf>
    <xf numFmtId="4" fontId="44" fillId="42" borderId="0" xfId="0" applyNumberFormat="1" applyFont="1" applyFill="1" applyAlignment="1">
      <alignment horizontal="left" vertic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4" fillId="42" borderId="15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6" fillId="42" borderId="13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0" fontId="35" fillId="42" borderId="0" xfId="0" applyNumberFormat="1" applyFont="1" applyFill="1" applyAlignment="1" applyProtection="1">
      <alignment horizontal="center" vertical="top"/>
    </xf>
    <xf numFmtId="2" fontId="23" fillId="42" borderId="9" xfId="0" applyNumberFormat="1" applyFont="1" applyFill="1" applyBorder="1" applyAlignment="1" applyProtection="1">
      <alignment horizontal="right" vertical="center" wrapText="1"/>
    </xf>
    <xf numFmtId="2" fontId="23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Border="1" applyAlignment="1">
      <alignment horizontal="center" vertical="center" textRotation="180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3"/>
  <sheetViews>
    <sheetView showGridLines="0" showZeros="0" view="pageBreakPreview" topLeftCell="F1" zoomScale="69" zoomScaleNormal="82" zoomScaleSheetLayoutView="69" workbookViewId="0">
      <selection activeCell="K2" sqref="K2:P5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31" customWidth="1"/>
    <col min="17" max="17" width="6.6640625" style="158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719</v>
      </c>
      <c r="L1" s="94"/>
      <c r="M1" s="94"/>
      <c r="N1" s="94"/>
      <c r="O1" s="94"/>
      <c r="P1" s="94"/>
      <c r="Q1" s="252">
        <v>15</v>
      </c>
    </row>
    <row r="2" spans="1:525" ht="29.25" x14ac:dyDescent="0.25">
      <c r="K2" s="249" t="s">
        <v>741</v>
      </c>
      <c r="L2" s="249"/>
      <c r="M2" s="249"/>
      <c r="N2" s="249"/>
      <c r="O2" s="249"/>
      <c r="P2" s="249"/>
      <c r="Q2" s="252"/>
    </row>
    <row r="3" spans="1:525" ht="26.25" customHeight="1" x14ac:dyDescent="0.25">
      <c r="K3" s="277" t="s">
        <v>743</v>
      </c>
      <c r="L3" s="277"/>
      <c r="M3" s="277"/>
      <c r="N3" s="277"/>
      <c r="O3" s="249"/>
      <c r="P3" s="249"/>
      <c r="Q3" s="252"/>
    </row>
    <row r="4" spans="1:525" ht="29.25" x14ac:dyDescent="0.4">
      <c r="K4" s="267" t="s">
        <v>742</v>
      </c>
      <c r="L4" s="267"/>
      <c r="M4" s="267"/>
      <c r="N4" s="267"/>
      <c r="O4" s="267"/>
      <c r="P4" s="267"/>
      <c r="Q4" s="252"/>
    </row>
    <row r="5" spans="1:525" ht="60" customHeight="1" x14ac:dyDescent="0.4">
      <c r="K5" s="275" t="s">
        <v>740</v>
      </c>
      <c r="L5" s="275"/>
      <c r="M5" s="275"/>
      <c r="N5" s="275"/>
      <c r="O5" s="94"/>
      <c r="P5" s="94"/>
      <c r="Q5" s="252"/>
    </row>
    <row r="6" spans="1:525" s="98" customFormat="1" ht="71.25" customHeight="1" x14ac:dyDescent="0.3">
      <c r="A6" s="268" t="s">
        <v>606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52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4" t="s">
        <v>691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52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78" t="s">
        <v>534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52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52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69" t="s">
        <v>331</v>
      </c>
      <c r="B10" s="270" t="s">
        <v>332</v>
      </c>
      <c r="C10" s="270" t="s">
        <v>322</v>
      </c>
      <c r="D10" s="270" t="s">
        <v>333</v>
      </c>
      <c r="E10" s="272" t="s">
        <v>221</v>
      </c>
      <c r="F10" s="272"/>
      <c r="G10" s="272"/>
      <c r="H10" s="272"/>
      <c r="I10" s="272"/>
      <c r="J10" s="272" t="s">
        <v>222</v>
      </c>
      <c r="K10" s="272"/>
      <c r="L10" s="272"/>
      <c r="M10" s="272"/>
      <c r="N10" s="272"/>
      <c r="O10" s="272"/>
      <c r="P10" s="272" t="s">
        <v>223</v>
      </c>
      <c r="Q10" s="252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69"/>
      <c r="B11" s="270"/>
      <c r="C11" s="270"/>
      <c r="D11" s="270"/>
      <c r="E11" s="273" t="s">
        <v>323</v>
      </c>
      <c r="F11" s="273" t="s">
        <v>224</v>
      </c>
      <c r="G11" s="271" t="s">
        <v>225</v>
      </c>
      <c r="H11" s="271"/>
      <c r="I11" s="273" t="s">
        <v>226</v>
      </c>
      <c r="J11" s="273" t="s">
        <v>323</v>
      </c>
      <c r="K11" s="273" t="s">
        <v>324</v>
      </c>
      <c r="L11" s="273" t="s">
        <v>224</v>
      </c>
      <c r="M11" s="271" t="s">
        <v>225</v>
      </c>
      <c r="N11" s="271"/>
      <c r="O11" s="273" t="s">
        <v>226</v>
      </c>
      <c r="P11" s="272"/>
      <c r="Q11" s="252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69"/>
      <c r="B12" s="270"/>
      <c r="C12" s="270"/>
      <c r="D12" s="270"/>
      <c r="E12" s="273"/>
      <c r="F12" s="273"/>
      <c r="G12" s="210" t="s">
        <v>227</v>
      </c>
      <c r="H12" s="210" t="s">
        <v>228</v>
      </c>
      <c r="I12" s="273"/>
      <c r="J12" s="273"/>
      <c r="K12" s="273"/>
      <c r="L12" s="273"/>
      <c r="M12" s="210" t="s">
        <v>227</v>
      </c>
      <c r="N12" s="210" t="s">
        <v>228</v>
      </c>
      <c r="O12" s="273"/>
      <c r="P12" s="272"/>
      <c r="Q12" s="252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381298480</v>
      </c>
      <c r="F13" s="79">
        <f t="shared" ref="F13:J13" si="0">F14</f>
        <v>301625037</v>
      </c>
      <c r="G13" s="79">
        <f t="shared" si="0"/>
        <v>106524971</v>
      </c>
      <c r="H13" s="79">
        <f t="shared" si="0"/>
        <v>14972247</v>
      </c>
      <c r="I13" s="79">
        <f t="shared" si="0"/>
        <v>79673443</v>
      </c>
      <c r="J13" s="79">
        <f t="shared" si="0"/>
        <v>130054903.63</v>
      </c>
      <c r="K13" s="79">
        <f t="shared" ref="K13" si="1">K14</f>
        <v>129290613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129290613</v>
      </c>
      <c r="P13" s="79">
        <f t="shared" si="5"/>
        <v>511353383.63</v>
      </c>
      <c r="Q13" s="252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679</v>
      </c>
      <c r="E14" s="80">
        <f>E17+E18+E19+E20+E22+E23+E24+E25+E27+E28+E29+E30+E31+E32+E33+E34+E35+E36+E37+E38+E40+E41+E42+E44+E46+E47+E48+E50+E51+E52+E53+E54+E55+E57+E59+E60+E43+E45+E64+E61+E39+E26+E62+E58+E63+E49</f>
        <v>381298480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301625037</v>
      </c>
      <c r="G14" s="80">
        <f t="shared" si="6"/>
        <v>106524971</v>
      </c>
      <c r="H14" s="80">
        <f t="shared" si="6"/>
        <v>14972247</v>
      </c>
      <c r="I14" s="80">
        <f t="shared" si="6"/>
        <v>79673443</v>
      </c>
      <c r="J14" s="80">
        <f t="shared" si="6"/>
        <v>130054903.63</v>
      </c>
      <c r="K14" s="80">
        <f t="shared" si="6"/>
        <v>129290613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129290613</v>
      </c>
      <c r="P14" s="80">
        <f t="shared" si="6"/>
        <v>511353383.63</v>
      </c>
      <c r="Q14" s="252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52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52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7'!A16</f>
        <v>0160</v>
      </c>
      <c r="C17" s="118" t="str">
        <f>'дод 7'!B16</f>
        <v>0111</v>
      </c>
      <c r="D1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106469459</v>
      </c>
      <c r="F17" s="81">
        <f>112314500+175579+152000+65000+300000+264700-300000-101320-164700-5527200-836100+97000-110000+140000</f>
        <v>106469459</v>
      </c>
      <c r="G17" s="81">
        <f>80351600+217000-4530500</f>
        <v>76038100</v>
      </c>
      <c r="H17" s="81">
        <f>5783800-101320-836100-110000</f>
        <v>4736380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110042965</v>
      </c>
      <c r="Q17" s="252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52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7'!A18</f>
        <v>0180</v>
      </c>
      <c r="C19" s="118" t="str">
        <f>'дод 7'!B18</f>
        <v>0133</v>
      </c>
      <c r="D19" s="122" t="str">
        <f>'дод 7'!C18</f>
        <v>Інша діяльність у сфері державного управління</v>
      </c>
      <c r="E19" s="81">
        <f t="shared" si="9"/>
        <v>2806100</v>
      </c>
      <c r="F19" s="81">
        <f>520800+1800000+32800+50500+150000+252000</f>
        <v>2806100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2806100</v>
      </c>
      <c r="Q19" s="252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52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52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7'!A122</f>
        <v>3033</v>
      </c>
      <c r="C22" s="118" t="str">
        <f>'дод 7'!B122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52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7'!A125</f>
        <v>3036</v>
      </c>
      <c r="C23" s="118" t="str">
        <f>'дод 7'!B125</f>
        <v>1070</v>
      </c>
      <c r="D23" s="122" t="str">
        <f>'дод 7'!C125</f>
        <v>Компенсаційні виплати на пільговий проїзд електротранспортом окремим категоріям громадян</v>
      </c>
      <c r="E23" s="81">
        <f t="shared" si="9"/>
        <v>675200</v>
      </c>
      <c r="F23" s="81">
        <v>675200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675200</v>
      </c>
      <c r="Q23" s="252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7'!A133</f>
        <v>3121</v>
      </c>
      <c r="C24" s="118" t="str">
        <f>'дод 7'!B133</f>
        <v>1040</v>
      </c>
      <c r="D24" s="122" t="str">
        <f>'дод 7'!C133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52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7'!A134</f>
        <v>3131</v>
      </c>
      <c r="C25" s="118" t="str">
        <f>'дод 7'!B134</f>
        <v>1040</v>
      </c>
      <c r="D25" s="122" t="str">
        <f>'дод 7'!C134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52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7'!C135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52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7'!A136</f>
        <v>3140</v>
      </c>
      <c r="C27" s="118" t="str">
        <f>'дод 7'!B136</f>
        <v>1040</v>
      </c>
      <c r="D27" s="12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52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7'!A153</f>
        <v>3241</v>
      </c>
      <c r="C28" s="118" t="str">
        <f>'дод 7'!B153</f>
        <v>1090</v>
      </c>
      <c r="D28" s="128" t="str">
        <f>'дод 7'!C153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52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7'!A154</f>
        <v>3242</v>
      </c>
      <c r="C29" s="118" t="str">
        <f>'дод 7'!B154</f>
        <v>1090</v>
      </c>
      <c r="D29" s="122" t="s">
        <v>403</v>
      </c>
      <c r="E29" s="81">
        <f t="shared" si="9"/>
        <v>141000</v>
      </c>
      <c r="F29" s="81">
        <v>141000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141000</v>
      </c>
      <c r="Q29" s="252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7'!A158</f>
        <v>4060</v>
      </c>
      <c r="C30" s="118" t="str">
        <f>'дод 7'!B158</f>
        <v>0828</v>
      </c>
      <c r="D3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52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7'!A159</f>
        <v>4081</v>
      </c>
      <c r="C31" s="118" t="str">
        <f>'дод 7'!B159</f>
        <v>0829</v>
      </c>
      <c r="D31" s="122" t="str">
        <f>'дод 7'!C159</f>
        <v>Забезпечення діяльності інших закладів в галузі культури і мистецтва</v>
      </c>
      <c r="E31" s="81">
        <f t="shared" si="9"/>
        <v>2655200</v>
      </c>
      <c r="F31" s="81">
        <f>2668100-12900</f>
        <v>2655200</v>
      </c>
      <c r="G31" s="81">
        <v>1775500</v>
      </c>
      <c r="H31" s="81">
        <f>163600-12900</f>
        <v>150700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2655200</v>
      </c>
      <c r="Q31" s="252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7'!B160</f>
        <v>0829</v>
      </c>
      <c r="D32" s="122" t="str">
        <f>'дод 7'!C160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52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7'!A163</f>
        <v>5011</v>
      </c>
      <c r="C33" s="130" t="str">
        <f>'дод 7'!B163</f>
        <v>0810</v>
      </c>
      <c r="D33" s="119" t="str">
        <f>'дод 7'!C163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52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7'!A164</f>
        <v>5012</v>
      </c>
      <c r="C34" s="130" t="str">
        <f>'дод 7'!B164</f>
        <v>0810</v>
      </c>
      <c r="D34" s="119" t="str">
        <f>'дод 7'!C164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52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7'!A165</f>
        <v>5031</v>
      </c>
      <c r="C35" s="130" t="str">
        <f>'дод 7'!B165</f>
        <v>0810</v>
      </c>
      <c r="D35" s="119" t="str">
        <f>'дод 7'!C165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52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7'!A167</f>
        <v>5032</v>
      </c>
      <c r="C36" s="130" t="str">
        <f>'дод 7'!B167</f>
        <v>0810</v>
      </c>
      <c r="D36" s="119" t="str">
        <f>'дод 7'!C167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53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7'!A168</f>
        <v>5061</v>
      </c>
      <c r="C37" s="130" t="str">
        <f>'дод 7'!B168</f>
        <v>0810</v>
      </c>
      <c r="D37" s="119" t="str">
        <f>'дод 7'!C168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53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7'!A169</f>
        <v>5062</v>
      </c>
      <c r="C38" s="130" t="str">
        <f>'дод 7'!B169</f>
        <v>0810</v>
      </c>
      <c r="D38" s="119" t="str">
        <f>'дод 7'!C169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5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7'!C203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5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7'!C205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5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7'!C206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5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7'!A225</f>
        <v>7412</v>
      </c>
      <c r="C42" s="130" t="str">
        <f>'дод 7'!B225</f>
        <v>0451</v>
      </c>
      <c r="D42" s="119" t="str">
        <f>'дод 7'!C225</f>
        <v>Регулювання цін на послуги місцевого автотранспорту</v>
      </c>
      <c r="E42" s="81">
        <f>F42+I42</f>
        <v>14205800</v>
      </c>
      <c r="F42" s="81"/>
      <c r="G42" s="81"/>
      <c r="H42" s="81"/>
      <c r="I42" s="81">
        <v>14205800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14205800</v>
      </c>
      <c r="Q42" s="25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7'!A226</f>
        <v>7413</v>
      </c>
      <c r="C43" s="130" t="str">
        <f>'дод 7'!B226</f>
        <v>0451</v>
      </c>
      <c r="D43" s="133" t="str">
        <f>'дод 7'!C226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53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7'!C227</f>
        <v>Регулювання цін на послуги місцевого наземного електротранспорту</v>
      </c>
      <c r="E44" s="81">
        <f t="shared" si="9"/>
        <v>41613200</v>
      </c>
      <c r="F44" s="81"/>
      <c r="G44" s="81"/>
      <c r="H44" s="81"/>
      <c r="I44" s="81">
        <v>41613200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41613200</v>
      </c>
      <c r="Q44" s="253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7'!A228</f>
        <v>7426</v>
      </c>
      <c r="C45" s="129" t="s">
        <v>404</v>
      </c>
      <c r="D45" s="133" t="str">
        <f>'дод 7'!C228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53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7'!C230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53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7'!A235</f>
        <v>7530</v>
      </c>
      <c r="C47" s="130" t="str">
        <f>'дод 7'!B235</f>
        <v>0460</v>
      </c>
      <c r="D47" s="119" t="str">
        <f>'дод 7'!C235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53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7'!A238</f>
        <v>7610</v>
      </c>
      <c r="C48" s="130" t="str">
        <f>'дод 7'!B238</f>
        <v>0411</v>
      </c>
      <c r="D48" s="119" t="str">
        <f>'дод 7'!C238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53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7'!A239</f>
        <v>7640</v>
      </c>
      <c r="C49" s="130" t="str">
        <f>'дод 7'!B239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53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7'!A243</f>
        <v>7670</v>
      </c>
      <c r="C50" s="130" t="str">
        <f>'дод 7'!B243</f>
        <v>0490</v>
      </c>
      <c r="D50" s="119" t="str">
        <f>'дод 7'!C243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53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7'!A245</f>
        <v>7680</v>
      </c>
      <c r="C51" s="130" t="str">
        <f>'дод 7'!B245</f>
        <v>0490</v>
      </c>
      <c r="D51" s="119" t="str">
        <f>'дод 7'!C245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53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7'!A246</f>
        <v>7691</v>
      </c>
      <c r="C52" s="130" t="str">
        <f>'дод 7'!B246</f>
        <v>0490</v>
      </c>
      <c r="D52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53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7'!A247</f>
        <v>7693</v>
      </c>
      <c r="C53" s="130" t="str">
        <f>'дод 7'!B247</f>
        <v>0490</v>
      </c>
      <c r="D53" s="119" t="str">
        <f>'дод 7'!C247</f>
        <v>Інші заходи, пов'язані з економічною діяльністю</v>
      </c>
      <c r="E53" s="81">
        <f t="shared" si="9"/>
        <v>1986330</v>
      </c>
      <c r="F53" s="81">
        <f>1686330+300000</f>
        <v>1986330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1986330</v>
      </c>
      <c r="Q53" s="253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7'!A256</f>
        <v>8110</v>
      </c>
      <c r="C54" s="130" t="str">
        <f>'дод 7'!B256</f>
        <v>0320</v>
      </c>
      <c r="D54" s="119" t="str">
        <f>'дод 7'!C256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13948601</v>
      </c>
      <c r="K54" s="81">
        <f>5100000+2000000+14650000+2810000-1060000-99999-5100000-4000000+880000-1231400</f>
        <v>13948601</v>
      </c>
      <c r="L54" s="81"/>
      <c r="M54" s="81"/>
      <c r="N54" s="81"/>
      <c r="O54" s="81">
        <f>5100000+2000000+14650000+2810000-1060000-99999-5100000-4000000+880000-1231400</f>
        <v>13948601</v>
      </c>
      <c r="P54" s="81">
        <f t="shared" si="10"/>
        <v>17286212</v>
      </c>
      <c r="Q54" s="253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7'!A257</f>
        <v>8120</v>
      </c>
      <c r="C55" s="130" t="str">
        <f>'дод 7'!B257</f>
        <v>0320</v>
      </c>
      <c r="D55" s="119" t="str">
        <f>'дод 7'!C257</f>
        <v>Заходи з організації рятування на водах, у т.ч. за рахунок:</v>
      </c>
      <c r="E55" s="81">
        <f t="shared" si="9"/>
        <v>2598085</v>
      </c>
      <c r="F55" s="81">
        <f>2604200+336700-336700+2085+84200-84200+37500-37500-8200</f>
        <v>2598085</v>
      </c>
      <c r="G55" s="81">
        <f>1999500+275980-275980+69000-69000+30700-30700</f>
        <v>1999500</v>
      </c>
      <c r="H55" s="81">
        <f>93800-8200</f>
        <v>85600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2604185</v>
      </c>
      <c r="Q55" s="25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7'!C258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53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7'!A260</f>
        <v>8230</v>
      </c>
      <c r="C57" s="130" t="str">
        <f>'дод 7'!B260</f>
        <v>0380</v>
      </c>
      <c r="D57" s="119" t="str">
        <f>'дод 7'!C260</f>
        <v>Інші заходи громадського порядку та безпеки</v>
      </c>
      <c r="E57" s="81">
        <f t="shared" si="9"/>
        <v>603800</v>
      </c>
      <c r="F57" s="81">
        <f>665100+8500-69800</f>
        <v>603800</v>
      </c>
      <c r="G57" s="81"/>
      <c r="H57" s="81">
        <f>491175-69800</f>
        <v>421375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603800</v>
      </c>
      <c r="Q57" s="253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7'!A261</f>
        <v>8240</v>
      </c>
      <c r="C58" s="130" t="str">
        <f>'дод 7'!B261</f>
        <v>0380</v>
      </c>
      <c r="D58" s="133" t="str">
        <f>'дод 7'!C261</f>
        <v>Заходи та роботи з територіальної оборони</v>
      </c>
      <c r="E58" s="81">
        <f t="shared" ref="E58" si="16">F58+I58</f>
        <v>44589601</v>
      </c>
      <c r="F58" s="81">
        <f>20000000+4884444+435265+260512+300000+664871+821000+414829+6850500+1000000+1614204+510800+3652000+400000+55996-84800+1840000+701000+268980</f>
        <v>44589601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8944719</v>
      </c>
      <c r="K58" s="81">
        <f>2000000+33700+99999+1375000+523200+850000+2348000+1000000+84800+99000+531020</f>
        <v>8944719</v>
      </c>
      <c r="L58" s="81"/>
      <c r="M58" s="81"/>
      <c r="N58" s="81"/>
      <c r="O58" s="81">
        <f>2000000+33700+99999+1375000+523200+850000+2348000+1000000+84800+99000+531020</f>
        <v>8944719</v>
      </c>
      <c r="P58" s="81">
        <f t="shared" ref="P58" si="18">E58+J58</f>
        <v>53534320</v>
      </c>
      <c r="Q58" s="253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7'!A265</f>
        <v>8340</v>
      </c>
      <c r="C59" s="118" t="str">
        <f>'дод 7'!B265</f>
        <v>0540</v>
      </c>
      <c r="D59" s="122" t="str">
        <f>'дод 7'!C265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53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7'!A267</f>
        <v>8420</v>
      </c>
      <c r="C60" s="130" t="str">
        <f>'дод 7'!B267</f>
        <v>0830</v>
      </c>
      <c r="D60" s="119" t="str">
        <f>'дод 7'!C267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5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2450000</v>
      </c>
      <c r="F61" s="81">
        <f>2000000+450000</f>
        <v>2450000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5350000</v>
      </c>
      <c r="Q61" s="25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5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5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48937596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</f>
        <v>48937596</v>
      </c>
      <c r="G64" s="81"/>
      <c r="H64" s="81"/>
      <c r="I64" s="81"/>
      <c r="J64" s="81">
        <f>L64+O64</f>
        <v>71915043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</f>
        <v>71915043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</f>
        <v>71915043</v>
      </c>
      <c r="P64" s="81">
        <f t="shared" si="10"/>
        <v>120852639</v>
      </c>
      <c r="Q64" s="253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900299728</v>
      </c>
      <c r="H65" s="79">
        <f t="shared" si="21"/>
        <v>116639250</v>
      </c>
      <c r="I65" s="79">
        <f t="shared" si="21"/>
        <v>350000</v>
      </c>
      <c r="J65" s="79">
        <f>J66</f>
        <v>336839368.01999998</v>
      </c>
      <c r="K65" s="79">
        <f t="shared" ref="K65" si="22">K66</f>
        <v>188883396.02000001</v>
      </c>
      <c r="L65" s="79">
        <f t="shared" ref="L65" si="23">L66</f>
        <v>93434726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243404642.02000001</v>
      </c>
      <c r="P65" s="79">
        <f t="shared" si="26"/>
        <v>1648067971.3299999</v>
      </c>
      <c r="Q65" s="253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669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900299728</v>
      </c>
      <c r="H66" s="80">
        <f t="shared" si="27"/>
        <v>116639250</v>
      </c>
      <c r="I66" s="80">
        <f t="shared" si="27"/>
        <v>350000</v>
      </c>
      <c r="J66" s="80">
        <f t="shared" si="27"/>
        <v>336839368.01999998</v>
      </c>
      <c r="K66" s="80">
        <f t="shared" si="27"/>
        <v>188883396.02000001</v>
      </c>
      <c r="L66" s="80">
        <f t="shared" si="27"/>
        <v>93434726</v>
      </c>
      <c r="M66" s="80">
        <f t="shared" si="27"/>
        <v>6365502</v>
      </c>
      <c r="N66" s="80">
        <f t="shared" si="27"/>
        <v>6456855</v>
      </c>
      <c r="O66" s="80">
        <f t="shared" si="27"/>
        <v>243404642.02000001</v>
      </c>
      <c r="P66" s="80">
        <f t="shared" si="27"/>
        <v>1648067971.3299999</v>
      </c>
      <c r="Q66" s="253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 t="shared" si="28"/>
        <v>389019340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53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53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53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customHeight="1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53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7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7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P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si="33"/>
        <v>0</v>
      </c>
      <c r="Q73" s="197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P74" si="34">F118</f>
        <v>0</v>
      </c>
      <c r="G74" s="80">
        <f t="shared" si="34"/>
        <v>0</v>
      </c>
      <c r="H74" s="80">
        <f t="shared" si="34"/>
        <v>0</v>
      </c>
      <c r="I74" s="80">
        <f t="shared" si="34"/>
        <v>0</v>
      </c>
      <c r="J74" s="80">
        <f t="shared" si="34"/>
        <v>0</v>
      </c>
      <c r="K74" s="80">
        <f t="shared" si="34"/>
        <v>0</v>
      </c>
      <c r="L74" s="80">
        <f t="shared" si="34"/>
        <v>0</v>
      </c>
      <c r="M74" s="80">
        <f t="shared" si="34"/>
        <v>0</v>
      </c>
      <c r="N74" s="80">
        <f t="shared" si="34"/>
        <v>0</v>
      </c>
      <c r="O74" s="80">
        <f t="shared" si="34"/>
        <v>0</v>
      </c>
      <c r="P74" s="80">
        <f t="shared" si="34"/>
        <v>0</v>
      </c>
      <c r="Q74" s="197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P75" si="35">F114</f>
        <v>0</v>
      </c>
      <c r="G75" s="80">
        <f t="shared" si="35"/>
        <v>0</v>
      </c>
      <c r="H75" s="80">
        <f t="shared" si="35"/>
        <v>0</v>
      </c>
      <c r="I75" s="80">
        <f t="shared" si="35"/>
        <v>0</v>
      </c>
      <c r="J75" s="80">
        <f t="shared" si="35"/>
        <v>0</v>
      </c>
      <c r="K75" s="80">
        <f t="shared" si="35"/>
        <v>0</v>
      </c>
      <c r="L75" s="80">
        <f t="shared" si="35"/>
        <v>0</v>
      </c>
      <c r="M75" s="80">
        <f t="shared" si="35"/>
        <v>0</v>
      </c>
      <c r="N75" s="80">
        <f t="shared" si="35"/>
        <v>0</v>
      </c>
      <c r="O75" s="80">
        <f t="shared" si="35"/>
        <v>0</v>
      </c>
      <c r="P75" s="80">
        <f t="shared" si="35"/>
        <v>0</v>
      </c>
      <c r="Q75" s="197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hidden="1" x14ac:dyDescent="0.25">
      <c r="A76" s="139"/>
      <c r="B76" s="140"/>
      <c r="C76" s="140"/>
      <c r="D76" s="143" t="s">
        <v>602</v>
      </c>
      <c r="E76" s="80">
        <f t="shared" ref="E76:P76" si="36">E86+E136</f>
        <v>0</v>
      </c>
      <c r="F76" s="80">
        <f t="shared" si="36"/>
        <v>0</v>
      </c>
      <c r="G76" s="80">
        <f t="shared" si="36"/>
        <v>0</v>
      </c>
      <c r="H76" s="80">
        <f t="shared" si="36"/>
        <v>0</v>
      </c>
      <c r="I76" s="80">
        <f t="shared" si="36"/>
        <v>0</v>
      </c>
      <c r="J76" s="80">
        <f t="shared" si="36"/>
        <v>0</v>
      </c>
      <c r="K76" s="80">
        <f t="shared" si="36"/>
        <v>0</v>
      </c>
      <c r="L76" s="80">
        <f t="shared" si="36"/>
        <v>0</v>
      </c>
      <c r="M76" s="80">
        <f t="shared" si="36"/>
        <v>0</v>
      </c>
      <c r="N76" s="80">
        <f t="shared" si="36"/>
        <v>0</v>
      </c>
      <c r="O76" s="80">
        <f t="shared" si="36"/>
        <v>0</v>
      </c>
      <c r="P76" s="80">
        <f t="shared" si="36"/>
        <v>0</v>
      </c>
      <c r="Q76" s="197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7">E116+E132+E134</f>
        <v>0</v>
      </c>
      <c r="F77" s="80">
        <f t="shared" si="37"/>
        <v>0</v>
      </c>
      <c r="G77" s="80">
        <f t="shared" si="37"/>
        <v>0</v>
      </c>
      <c r="H77" s="80">
        <f t="shared" si="37"/>
        <v>0</v>
      </c>
      <c r="I77" s="80">
        <f t="shared" si="37"/>
        <v>0</v>
      </c>
      <c r="J77" s="80">
        <f t="shared" si="37"/>
        <v>0</v>
      </c>
      <c r="K77" s="80">
        <f t="shared" si="37"/>
        <v>0</v>
      </c>
      <c r="L77" s="80">
        <f t="shared" si="37"/>
        <v>0</v>
      </c>
      <c r="M77" s="80">
        <f t="shared" si="37"/>
        <v>0</v>
      </c>
      <c r="N77" s="80">
        <f t="shared" si="37"/>
        <v>0</v>
      </c>
      <c r="O77" s="80">
        <f t="shared" si="37"/>
        <v>0</v>
      </c>
      <c r="P77" s="80">
        <f t="shared" si="37"/>
        <v>0</v>
      </c>
      <c r="Q77" s="197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705</v>
      </c>
      <c r="E78" s="80">
        <f>E126</f>
        <v>0</v>
      </c>
      <c r="F78" s="80">
        <f t="shared" ref="F78:P78" si="38">F126</f>
        <v>0</v>
      </c>
      <c r="G78" s="80">
        <f t="shared" si="38"/>
        <v>0</v>
      </c>
      <c r="H78" s="80">
        <f t="shared" si="38"/>
        <v>0</v>
      </c>
      <c r="I78" s="80">
        <f t="shared" si="38"/>
        <v>0</v>
      </c>
      <c r="J78" s="80">
        <f t="shared" si="38"/>
        <v>22175500</v>
      </c>
      <c r="K78" s="80">
        <f t="shared" si="38"/>
        <v>22175500</v>
      </c>
      <c r="L78" s="80">
        <f t="shared" si="38"/>
        <v>0</v>
      </c>
      <c r="M78" s="80">
        <f t="shared" si="38"/>
        <v>0</v>
      </c>
      <c r="N78" s="80">
        <f t="shared" si="38"/>
        <v>0</v>
      </c>
      <c r="O78" s="80">
        <f t="shared" si="38"/>
        <v>22175500</v>
      </c>
      <c r="P78" s="80">
        <f t="shared" si="38"/>
        <v>22175500</v>
      </c>
      <c r="Q78" s="197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39">F139</f>
        <v>0</v>
      </c>
      <c r="G79" s="80">
        <f t="shared" si="39"/>
        <v>0</v>
      </c>
      <c r="H79" s="80">
        <f t="shared" si="39"/>
        <v>0</v>
      </c>
      <c r="I79" s="80">
        <f t="shared" si="39"/>
        <v>0</v>
      </c>
      <c r="J79" s="80">
        <f t="shared" si="39"/>
        <v>52912282</v>
      </c>
      <c r="K79" s="80">
        <f t="shared" si="39"/>
        <v>0</v>
      </c>
      <c r="L79" s="80">
        <f t="shared" si="39"/>
        <v>0</v>
      </c>
      <c r="M79" s="80">
        <f t="shared" si="39"/>
        <v>0</v>
      </c>
      <c r="N79" s="80">
        <f t="shared" si="39"/>
        <v>0</v>
      </c>
      <c r="O79" s="80">
        <f t="shared" si="39"/>
        <v>52912282</v>
      </c>
      <c r="P79" s="80">
        <f t="shared" si="39"/>
        <v>52912282</v>
      </c>
      <c r="Q79" s="197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42">
        <f t="shared" ref="E80:P80" si="40">E122</f>
        <v>208630.37</v>
      </c>
      <c r="F80" s="242">
        <f t="shared" si="40"/>
        <v>208630.37</v>
      </c>
      <c r="G80" s="242">
        <f t="shared" si="40"/>
        <v>171010</v>
      </c>
      <c r="H80" s="242">
        <f t="shared" si="40"/>
        <v>0</v>
      </c>
      <c r="I80" s="242">
        <f t="shared" si="40"/>
        <v>0</v>
      </c>
      <c r="J80" s="242">
        <f t="shared" si="40"/>
        <v>0</v>
      </c>
      <c r="K80" s="242">
        <f t="shared" si="40"/>
        <v>0</v>
      </c>
      <c r="L80" s="242">
        <f t="shared" si="40"/>
        <v>0</v>
      </c>
      <c r="M80" s="242">
        <f t="shared" si="40"/>
        <v>0</v>
      </c>
      <c r="N80" s="242">
        <f t="shared" si="40"/>
        <v>0</v>
      </c>
      <c r="O80" s="242">
        <f t="shared" si="40"/>
        <v>0</v>
      </c>
      <c r="P80" s="242">
        <f t="shared" si="40"/>
        <v>208630.37</v>
      </c>
      <c r="Q80" s="197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42">
        <f t="shared" ref="E81:P81" si="41">E103</f>
        <v>199919</v>
      </c>
      <c r="F81" s="242">
        <f t="shared" si="41"/>
        <v>199919</v>
      </c>
      <c r="G81" s="242">
        <f t="shared" si="41"/>
        <v>0</v>
      </c>
      <c r="H81" s="242">
        <f t="shared" si="41"/>
        <v>0</v>
      </c>
      <c r="I81" s="242">
        <f t="shared" si="41"/>
        <v>0</v>
      </c>
      <c r="J81" s="80">
        <f t="shared" si="41"/>
        <v>980400</v>
      </c>
      <c r="K81" s="80">
        <f t="shared" si="41"/>
        <v>980400</v>
      </c>
      <c r="L81" s="80">
        <f t="shared" si="41"/>
        <v>0</v>
      </c>
      <c r="M81" s="80">
        <f t="shared" si="41"/>
        <v>0</v>
      </c>
      <c r="N81" s="80">
        <f t="shared" si="41"/>
        <v>0</v>
      </c>
      <c r="O81" s="80">
        <f t="shared" si="41"/>
        <v>980400</v>
      </c>
      <c r="P81" s="80">
        <f t="shared" si="41"/>
        <v>1180319</v>
      </c>
      <c r="Q81" s="197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50" t="s">
        <v>662</v>
      </c>
      <c r="E82" s="80">
        <f>E144</f>
        <v>0</v>
      </c>
      <c r="F82" s="80">
        <f t="shared" ref="F82:P82" si="42">F144</f>
        <v>0</v>
      </c>
      <c r="G82" s="80">
        <f t="shared" si="42"/>
        <v>0</v>
      </c>
      <c r="H82" s="80">
        <f t="shared" si="42"/>
        <v>0</v>
      </c>
      <c r="I82" s="80">
        <f t="shared" si="42"/>
        <v>0</v>
      </c>
      <c r="J82" s="80">
        <f t="shared" si="42"/>
        <v>390000</v>
      </c>
      <c r="K82" s="80">
        <f t="shared" si="42"/>
        <v>0</v>
      </c>
      <c r="L82" s="80">
        <f t="shared" si="42"/>
        <v>50000</v>
      </c>
      <c r="M82" s="80">
        <f t="shared" si="42"/>
        <v>0</v>
      </c>
      <c r="N82" s="80">
        <f t="shared" si="42"/>
        <v>0</v>
      </c>
      <c r="O82" s="80">
        <f t="shared" si="42"/>
        <v>340000</v>
      </c>
      <c r="P82" s="80">
        <f t="shared" si="42"/>
        <v>390000</v>
      </c>
      <c r="Q82" s="197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7'!A16</f>
        <v>0160</v>
      </c>
      <c r="C83" s="118" t="str">
        <f>'дод 7'!B16</f>
        <v>0111</v>
      </c>
      <c r="D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3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4">E83+J83</f>
        <v>3724440</v>
      </c>
      <c r="Q83" s="253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7'!A36</f>
        <v>1010</v>
      </c>
      <c r="C84" s="118" t="str">
        <f>'дод 7'!B36</f>
        <v>0910</v>
      </c>
      <c r="D84" s="122" t="str">
        <f>'дод 7'!C36</f>
        <v>Надання дошкільної освіти</v>
      </c>
      <c r="E84" s="81">
        <f t="shared" si="43"/>
        <v>329249223</v>
      </c>
      <c r="F84" s="81">
        <f>343462000+53489+82600-271804+271804-114730-30000-1819380-6400000-6147400+348000-111626-73730</f>
        <v>329249223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62555558</v>
      </c>
      <c r="K84" s="81">
        <f>18138600+1100000+63902-53489-1000000+10000000-5000000+25000000-25000000-5148500+7000000+4000000+5648500+692746+159999+6900000</f>
        <v>42501758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</f>
        <v>42501758</v>
      </c>
      <c r="P84" s="81">
        <f t="shared" si="44"/>
        <v>391804781</v>
      </c>
      <c r="Q84" s="25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7'!A38</f>
        <v>1021</v>
      </c>
      <c r="C85" s="118" t="str">
        <f>'дод 7'!B38</f>
        <v>0921</v>
      </c>
      <c r="D85" s="122" t="str">
        <f>'дод 7'!C38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3"/>
        <v>240403457</v>
      </c>
      <c r="F85" s="81">
        <f>235067000+354011+123900+9234000-12600+200000+473050+300000+114730-300000-1200000+30600+159794-17041+7200000-1900000-8583000-43000+150000-947987</f>
        <v>240403457</v>
      </c>
      <c r="G85" s="81">
        <f>121599000+7575000+5900000</f>
        <v>135074000</v>
      </c>
      <c r="H85" s="81">
        <f>60900000-12600-419770-300000-8583000-43000</f>
        <v>51541630</v>
      </c>
      <c r="I85" s="81"/>
      <c r="J85" s="81">
        <f t="shared" ref="J85:J150" si="45">L85+O85</f>
        <v>93498556.020000011</v>
      </c>
      <c r="K85" s="81">
        <f>8031200+1100000+199947+47168269-150000-7000000+45000-30600-850000-159794-3550000-12392560+1000000-100000+1000000+68300+8554.02</f>
        <v>34388316.020000003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</f>
        <v>34388316.020000003</v>
      </c>
      <c r="P85" s="81">
        <f t="shared" si="44"/>
        <v>333902013.01999998</v>
      </c>
      <c r="Q85" s="253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1.5" hidden="1" customHeight="1" x14ac:dyDescent="0.25">
      <c r="A86" s="117"/>
      <c r="B86" s="117"/>
      <c r="C86" s="118"/>
      <c r="D86" s="144" t="s">
        <v>602</v>
      </c>
      <c r="E86" s="81"/>
      <c r="F86" s="81"/>
      <c r="G86" s="81"/>
      <c r="H86" s="81"/>
      <c r="I86" s="81"/>
      <c r="J86" s="81">
        <f t="shared" si="45"/>
        <v>0</v>
      </c>
      <c r="K86" s="81"/>
      <c r="L86" s="81"/>
      <c r="M86" s="81"/>
      <c r="N86" s="81"/>
      <c r="O86" s="81"/>
      <c r="P86" s="81">
        <f t="shared" si="44"/>
        <v>0</v>
      </c>
      <c r="Q86" s="253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7'!C46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3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</f>
        <v>2289300</v>
      </c>
      <c r="I87" s="81"/>
      <c r="J87" s="81">
        <f t="shared" si="45"/>
        <v>0</v>
      </c>
      <c r="K87" s="81"/>
      <c r="L87" s="81"/>
      <c r="M87" s="81"/>
      <c r="N87" s="81"/>
      <c r="O87" s="81"/>
      <c r="P87" s="81">
        <f t="shared" si="44"/>
        <v>16255341</v>
      </c>
      <c r="Q87" s="253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7'!C48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3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5"/>
        <v>0</v>
      </c>
      <c r="K88" s="81"/>
      <c r="L88" s="81"/>
      <c r="M88" s="81"/>
      <c r="N88" s="81"/>
      <c r="O88" s="81"/>
      <c r="P88" s="81">
        <f t="shared" si="44"/>
        <v>12011900</v>
      </c>
      <c r="Q88" s="253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7'!C49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3"/>
        <v>439541077.94</v>
      </c>
      <c r="F89" s="81">
        <f>434093700+1809120-178302.06+3816560</f>
        <v>439541077.94</v>
      </c>
      <c r="G89" s="81">
        <f>355814500+26100+3728740</f>
        <v>359569340</v>
      </c>
      <c r="H89" s="81"/>
      <c r="I89" s="81"/>
      <c r="J89" s="81">
        <f t="shared" si="45"/>
        <v>0</v>
      </c>
      <c r="K89" s="81"/>
      <c r="L89" s="81"/>
      <c r="M89" s="81"/>
      <c r="N89" s="81"/>
      <c r="O89" s="81"/>
      <c r="P89" s="81">
        <f t="shared" si="44"/>
        <v>439541077.94</v>
      </c>
      <c r="Q89" s="253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5"/>
      <c r="C90" s="145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</f>
        <v>359569340</v>
      </c>
      <c r="H90" s="82"/>
      <c r="I90" s="82"/>
      <c r="J90" s="82">
        <f t="shared" si="45"/>
        <v>0</v>
      </c>
      <c r="K90" s="82"/>
      <c r="L90" s="82"/>
      <c r="M90" s="82"/>
      <c r="N90" s="82"/>
      <c r="O90" s="82"/>
      <c r="P90" s="82">
        <f t="shared" si="44"/>
        <v>437936360</v>
      </c>
      <c r="Q90" s="253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5"/>
      <c r="C91" s="145"/>
      <c r="D91" s="125" t="s">
        <v>379</v>
      </c>
      <c r="E91" s="82">
        <f t="shared" si="43"/>
        <v>1604717.94</v>
      </c>
      <c r="F91" s="82">
        <f>1783020-178302.06</f>
        <v>1604717.94</v>
      </c>
      <c r="G91" s="82"/>
      <c r="H91" s="82"/>
      <c r="I91" s="82"/>
      <c r="J91" s="82">
        <f t="shared" si="45"/>
        <v>0</v>
      </c>
      <c r="K91" s="82"/>
      <c r="L91" s="82"/>
      <c r="M91" s="82"/>
      <c r="N91" s="82"/>
      <c r="O91" s="82"/>
      <c r="P91" s="82">
        <f t="shared" si="44"/>
        <v>1604717.94</v>
      </c>
      <c r="Q91" s="253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7'!C52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3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5"/>
        <v>0</v>
      </c>
      <c r="K92" s="81"/>
      <c r="L92" s="81"/>
      <c r="M92" s="81"/>
      <c r="N92" s="81"/>
      <c r="O92" s="81"/>
      <c r="P92" s="81">
        <f t="shared" si="44"/>
        <v>15956780</v>
      </c>
      <c r="Q92" s="253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5"/>
      <c r="C93" s="145"/>
      <c r="D93" s="125" t="s">
        <v>384</v>
      </c>
      <c r="E93" s="82">
        <f t="shared" ref="E93:E99" si="46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7">L93+O93</f>
        <v>0</v>
      </c>
      <c r="K93" s="82"/>
      <c r="L93" s="82"/>
      <c r="M93" s="82"/>
      <c r="N93" s="82"/>
      <c r="O93" s="82"/>
      <c r="P93" s="82">
        <f t="shared" ref="P93:P95" si="48">E93+J93</f>
        <v>15956780</v>
      </c>
      <c r="Q93" s="253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7'!C54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3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5"/>
        <v>0</v>
      </c>
      <c r="K94" s="81"/>
      <c r="L94" s="81"/>
      <c r="M94" s="81"/>
      <c r="N94" s="81"/>
      <c r="O94" s="81"/>
      <c r="P94" s="81">
        <f t="shared" si="44"/>
        <v>1176620</v>
      </c>
      <c r="Q94" s="253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5"/>
      <c r="C95" s="123"/>
      <c r="D95" s="125" t="s">
        <v>384</v>
      </c>
      <c r="E95" s="82">
        <f t="shared" si="46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7"/>
        <v>0</v>
      </c>
      <c r="K95" s="82"/>
      <c r="L95" s="82"/>
      <c r="M95" s="82"/>
      <c r="N95" s="82"/>
      <c r="O95" s="82"/>
      <c r="P95" s="82">
        <f t="shared" si="48"/>
        <v>1176620</v>
      </c>
      <c r="Q95" s="253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6"/>
        <v>0</v>
      </c>
      <c r="F96" s="81"/>
      <c r="G96" s="82"/>
      <c r="H96" s="82"/>
      <c r="I96" s="82"/>
      <c r="J96" s="81">
        <f t="shared" si="45"/>
        <v>0</v>
      </c>
      <c r="K96" s="81"/>
      <c r="L96" s="81"/>
      <c r="M96" s="81"/>
      <c r="N96" s="81"/>
      <c r="O96" s="81"/>
      <c r="P96" s="81">
        <f t="shared" si="44"/>
        <v>0</v>
      </c>
      <c r="Q96" s="253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5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4"/>
        <v>0</v>
      </c>
      <c r="Q97" s="253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5"/>
      <c r="C98" s="123"/>
      <c r="D98" s="125" t="s">
        <v>505</v>
      </c>
      <c r="E98" s="82">
        <f t="shared" ref="E98:E100" si="49">F98+I98</f>
        <v>0</v>
      </c>
      <c r="F98" s="82"/>
      <c r="G98" s="82"/>
      <c r="H98" s="82"/>
      <c r="I98" s="82"/>
      <c r="J98" s="82">
        <f t="shared" ref="J98" si="50">L98+O98</f>
        <v>0</v>
      </c>
      <c r="K98" s="82"/>
      <c r="L98" s="82"/>
      <c r="M98" s="82"/>
      <c r="N98" s="82"/>
      <c r="O98" s="82"/>
      <c r="P98" s="82">
        <f t="shared" si="44"/>
        <v>0</v>
      </c>
      <c r="Q98" s="253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6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4"/>
        <v>0</v>
      </c>
      <c r="Q99" s="253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5"/>
      <c r="C100" s="123"/>
      <c r="D100" s="125" t="s">
        <v>505</v>
      </c>
      <c r="E100" s="82">
        <f t="shared" si="49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4"/>
        <v>0</v>
      </c>
      <c r="Q100" s="253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7'!C61</f>
        <v>Надання позашкільної освіти закладами позашкільної освіти, заходи із позашкільної роботи з дітьми</v>
      </c>
      <c r="E101" s="81">
        <f t="shared" si="43"/>
        <v>41812800</v>
      </c>
      <c r="F101" s="81">
        <f>42397200-584400</f>
        <v>41812800</v>
      </c>
      <c r="G101" s="81">
        <v>29446000</v>
      </c>
      <c r="H101" s="81">
        <f>5510400-584400</f>
        <v>4926000</v>
      </c>
      <c r="I101" s="81"/>
      <c r="J101" s="81">
        <f t="shared" si="45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4"/>
        <v>45012800</v>
      </c>
      <c r="Q101" s="253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7'!C63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3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5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4"/>
        <v>162149005</v>
      </c>
      <c r="Q102" s="253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3"/>
        <v>199919</v>
      </c>
      <c r="F103" s="82">
        <v>199919</v>
      </c>
      <c r="G103" s="82"/>
      <c r="H103" s="82"/>
      <c r="I103" s="82"/>
      <c r="J103" s="82">
        <f t="shared" si="45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4"/>
        <v>1180319</v>
      </c>
      <c r="Q103" s="253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7'!C65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3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5"/>
        <v>0</v>
      </c>
      <c r="K104" s="81"/>
      <c r="L104" s="81"/>
      <c r="M104" s="81"/>
      <c r="N104" s="81"/>
      <c r="O104" s="81"/>
      <c r="P104" s="81">
        <f t="shared" si="44"/>
        <v>18750040</v>
      </c>
      <c r="Q104" s="253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5"/>
      <c r="C105" s="123"/>
      <c r="D105" s="125" t="s">
        <v>384</v>
      </c>
      <c r="E105" s="82">
        <f t="shared" si="43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5"/>
        <v>0</v>
      </c>
      <c r="K105" s="82"/>
      <c r="L105" s="82"/>
      <c r="M105" s="82"/>
      <c r="N105" s="82"/>
      <c r="O105" s="82"/>
      <c r="P105" s="82">
        <f t="shared" si="44"/>
        <v>18750040</v>
      </c>
      <c r="Q105" s="253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7'!C67</f>
        <v>Забезпечення діяльності інших закладів у сфері освіти</v>
      </c>
      <c r="E106" s="81">
        <f t="shared" si="43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5"/>
        <v>0</v>
      </c>
      <c r="K106" s="81"/>
      <c r="L106" s="81"/>
      <c r="M106" s="81"/>
      <c r="N106" s="81"/>
      <c r="O106" s="81"/>
      <c r="P106" s="81">
        <f t="shared" si="44"/>
        <v>12601000</v>
      </c>
      <c r="Q106" s="253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7'!C68</f>
        <v>Інші програми та заходи у сфері освіти</v>
      </c>
      <c r="E107" s="81">
        <f t="shared" si="43"/>
        <v>119000</v>
      </c>
      <c r="F107" s="81">
        <v>119000</v>
      </c>
      <c r="G107" s="81"/>
      <c r="H107" s="81"/>
      <c r="I107" s="81"/>
      <c r="J107" s="81">
        <f t="shared" ref="J107" si="51">L107+O107</f>
        <v>0</v>
      </c>
      <c r="K107" s="81"/>
      <c r="L107" s="81"/>
      <c r="M107" s="81"/>
      <c r="N107" s="81"/>
      <c r="O107" s="81"/>
      <c r="P107" s="81">
        <f t="shared" ref="P107" si="52">E107+J107</f>
        <v>119000</v>
      </c>
      <c r="Q107" s="253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7'!C69</f>
        <v>Забезпечення діяльності інклюзивно-ресурсних центрів за рахунок коштів місцевого бюджету</v>
      </c>
      <c r="E108" s="81">
        <f t="shared" si="43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5"/>
        <v>0</v>
      </c>
      <c r="K108" s="81"/>
      <c r="L108" s="81"/>
      <c r="M108" s="81"/>
      <c r="N108" s="81"/>
      <c r="O108" s="81"/>
      <c r="P108" s="81">
        <f t="shared" si="44"/>
        <v>527800</v>
      </c>
      <c r="Q108" s="253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7'!B69</f>
        <v>0990</v>
      </c>
      <c r="D109" s="122" t="str">
        <f>'дод 7'!C70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3"/>
        <v>1743560</v>
      </c>
      <c r="F109" s="81">
        <v>1743560</v>
      </c>
      <c r="G109" s="81">
        <v>1429160</v>
      </c>
      <c r="H109" s="81"/>
      <c r="I109" s="81"/>
      <c r="J109" s="81">
        <f t="shared" si="45"/>
        <v>0</v>
      </c>
      <c r="K109" s="81"/>
      <c r="L109" s="81"/>
      <c r="M109" s="81"/>
      <c r="N109" s="81"/>
      <c r="O109" s="81"/>
      <c r="P109" s="81">
        <f t="shared" si="44"/>
        <v>1743560</v>
      </c>
      <c r="Q109" s="253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3"/>
        <v>1743560</v>
      </c>
      <c r="F110" s="82">
        <v>1743560</v>
      </c>
      <c r="G110" s="82">
        <v>1429160</v>
      </c>
      <c r="H110" s="82"/>
      <c r="I110" s="82"/>
      <c r="J110" s="82">
        <f t="shared" si="45"/>
        <v>0</v>
      </c>
      <c r="K110" s="82"/>
      <c r="L110" s="82"/>
      <c r="M110" s="82"/>
      <c r="N110" s="82"/>
      <c r="O110" s="82"/>
      <c r="P110" s="82">
        <f t="shared" si="44"/>
        <v>1743560</v>
      </c>
      <c r="Q110" s="253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7'!B70</f>
        <v>0990</v>
      </c>
      <c r="D111" s="122" t="str">
        <f>'дод 7'!C72</f>
        <v>Забезпечення діяльності центрів професійного розвитку педагогічних працівників</v>
      </c>
      <c r="E111" s="81">
        <f t="shared" si="43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5"/>
        <v>0</v>
      </c>
      <c r="K111" s="81"/>
      <c r="L111" s="81"/>
      <c r="M111" s="81"/>
      <c r="N111" s="81"/>
      <c r="O111" s="81"/>
      <c r="P111" s="81">
        <f t="shared" si="44"/>
        <v>2880400</v>
      </c>
      <c r="Q111" s="253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7'!C73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3"/>
        <v>0</v>
      </c>
      <c r="F112" s="81"/>
      <c r="G112" s="81"/>
      <c r="H112" s="81"/>
      <c r="I112" s="81"/>
      <c r="J112" s="81">
        <f t="shared" si="45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4"/>
        <v>0</v>
      </c>
      <c r="Q112" s="253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3"/>
        <v>0</v>
      </c>
      <c r="F113" s="81"/>
      <c r="G113" s="81"/>
      <c r="H113" s="81"/>
      <c r="I113" s="81"/>
      <c r="J113" s="81">
        <f t="shared" si="45"/>
        <v>0</v>
      </c>
      <c r="K113" s="81"/>
      <c r="L113" s="81"/>
      <c r="M113" s="81"/>
      <c r="N113" s="81"/>
      <c r="O113" s="81"/>
      <c r="P113" s="81">
        <f t="shared" si="44"/>
        <v>0</v>
      </c>
      <c r="Q113" s="253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3"/>
        <v>0</v>
      </c>
      <c r="F114" s="82"/>
      <c r="G114" s="82"/>
      <c r="H114" s="82"/>
      <c r="I114" s="82"/>
      <c r="J114" s="82">
        <f t="shared" si="45"/>
        <v>0</v>
      </c>
      <c r="K114" s="82"/>
      <c r="L114" s="82"/>
      <c r="M114" s="82"/>
      <c r="N114" s="82"/>
      <c r="O114" s="82"/>
      <c r="P114" s="82">
        <f t="shared" si="44"/>
        <v>0</v>
      </c>
      <c r="Q114" s="253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7'!C76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3"/>
        <v>0</v>
      </c>
      <c r="F115" s="81"/>
      <c r="G115" s="81"/>
      <c r="H115" s="81"/>
      <c r="I115" s="81"/>
      <c r="J115" s="81">
        <f t="shared" si="45"/>
        <v>0</v>
      </c>
      <c r="K115" s="81"/>
      <c r="L115" s="81"/>
      <c r="M115" s="81"/>
      <c r="N115" s="81"/>
      <c r="O115" s="81"/>
      <c r="P115" s="81">
        <f t="shared" si="44"/>
        <v>0</v>
      </c>
      <c r="Q115" s="253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3"/>
        <v>0</v>
      </c>
      <c r="F116" s="82"/>
      <c r="G116" s="81"/>
      <c r="H116" s="81"/>
      <c r="I116" s="81"/>
      <c r="J116" s="82">
        <f t="shared" si="45"/>
        <v>0</v>
      </c>
      <c r="K116" s="81"/>
      <c r="L116" s="81"/>
      <c r="M116" s="81"/>
      <c r="N116" s="81"/>
      <c r="O116" s="81"/>
      <c r="P116" s="82">
        <f t="shared" si="44"/>
        <v>0</v>
      </c>
      <c r="Q116" s="253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3"/>
        <v>0</v>
      </c>
      <c r="F117" s="81"/>
      <c r="G117" s="81"/>
      <c r="H117" s="81"/>
      <c r="I117" s="81"/>
      <c r="J117" s="81">
        <f t="shared" si="45"/>
        <v>0</v>
      </c>
      <c r="K117" s="81"/>
      <c r="L117" s="81"/>
      <c r="M117" s="81"/>
      <c r="N117" s="81"/>
      <c r="O117" s="81"/>
      <c r="P117" s="81">
        <f t="shared" si="44"/>
        <v>0</v>
      </c>
      <c r="Q117" s="253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3"/>
        <v>0</v>
      </c>
      <c r="F118" s="82"/>
      <c r="G118" s="82"/>
      <c r="H118" s="82"/>
      <c r="I118" s="82"/>
      <c r="J118" s="82">
        <f t="shared" si="45"/>
        <v>0</v>
      </c>
      <c r="K118" s="82"/>
      <c r="L118" s="82"/>
      <c r="M118" s="82"/>
      <c r="N118" s="82"/>
      <c r="O118" s="82"/>
      <c r="P118" s="82">
        <f t="shared" si="44"/>
        <v>0</v>
      </c>
      <c r="Q118" s="253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6" t="s">
        <v>482</v>
      </c>
      <c r="E119" s="81">
        <f t="shared" si="43"/>
        <v>1822724</v>
      </c>
      <c r="F119" s="81">
        <v>1822724</v>
      </c>
      <c r="G119" s="81">
        <v>1494036</v>
      </c>
      <c r="H119" s="81"/>
      <c r="I119" s="81"/>
      <c r="J119" s="81">
        <f t="shared" si="45"/>
        <v>0</v>
      </c>
      <c r="K119" s="81"/>
      <c r="L119" s="81"/>
      <c r="M119" s="81"/>
      <c r="N119" s="81"/>
      <c r="O119" s="81"/>
      <c r="P119" s="81">
        <f t="shared" si="44"/>
        <v>1822724</v>
      </c>
      <c r="Q119" s="253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5"/>
      <c r="C120" s="145"/>
      <c r="D120" s="125" t="s">
        <v>378</v>
      </c>
      <c r="E120" s="82">
        <f t="shared" si="43"/>
        <v>1822724</v>
      </c>
      <c r="F120" s="82">
        <v>1822724</v>
      </c>
      <c r="G120" s="82">
        <v>1494036</v>
      </c>
      <c r="H120" s="82"/>
      <c r="I120" s="82"/>
      <c r="J120" s="81">
        <f t="shared" si="45"/>
        <v>0</v>
      </c>
      <c r="K120" s="82"/>
      <c r="L120" s="82"/>
      <c r="M120" s="82"/>
      <c r="N120" s="82"/>
      <c r="O120" s="82"/>
      <c r="P120" s="82">
        <f t="shared" si="44"/>
        <v>1822724</v>
      </c>
      <c r="Q120" s="253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3"/>
        <v>208630.37</v>
      </c>
      <c r="F121" s="81">
        <v>208630.37</v>
      </c>
      <c r="G121" s="81">
        <v>171010</v>
      </c>
      <c r="H121" s="82"/>
      <c r="I121" s="82"/>
      <c r="J121" s="81">
        <f t="shared" si="45"/>
        <v>0</v>
      </c>
      <c r="K121" s="82"/>
      <c r="L121" s="82"/>
      <c r="M121" s="82"/>
      <c r="N121" s="82"/>
      <c r="O121" s="82"/>
      <c r="P121" s="81">
        <f t="shared" si="44"/>
        <v>208630.37</v>
      </c>
      <c r="Q121" s="253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5"/>
      <c r="C122" s="145"/>
      <c r="D122" s="125" t="s">
        <v>491</v>
      </c>
      <c r="E122" s="82">
        <f t="shared" si="43"/>
        <v>208630.37</v>
      </c>
      <c r="F122" s="82">
        <v>208630.37</v>
      </c>
      <c r="G122" s="82">
        <v>171010</v>
      </c>
      <c r="H122" s="82"/>
      <c r="I122" s="82"/>
      <c r="J122" s="81">
        <f t="shared" si="45"/>
        <v>0</v>
      </c>
      <c r="K122" s="82"/>
      <c r="L122" s="82"/>
      <c r="M122" s="82"/>
      <c r="N122" s="82"/>
      <c r="O122" s="82"/>
      <c r="P122" s="81">
        <f t="shared" si="44"/>
        <v>208630.37</v>
      </c>
      <c r="Q122" s="253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3"/>
        <v>0</v>
      </c>
      <c r="F123" s="81">
        <f>2000000-2000000</f>
        <v>0</v>
      </c>
      <c r="G123" s="81"/>
      <c r="H123" s="81"/>
      <c r="I123" s="81"/>
      <c r="J123" s="81">
        <f t="shared" si="45"/>
        <v>0</v>
      </c>
      <c r="K123" s="82"/>
      <c r="L123" s="82"/>
      <c r="M123" s="82"/>
      <c r="N123" s="82"/>
      <c r="O123" s="82"/>
      <c r="P123" s="81">
        <f t="shared" si="44"/>
        <v>0</v>
      </c>
      <c r="Q123" s="253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702</v>
      </c>
      <c r="B124" s="118">
        <v>1261</v>
      </c>
      <c r="C124" s="117" t="s">
        <v>57</v>
      </c>
      <c r="D124" s="132" t="s">
        <v>701</v>
      </c>
      <c r="E124" s="82">
        <f>F124+I124</f>
        <v>0</v>
      </c>
      <c r="F124" s="81"/>
      <c r="G124" s="81"/>
      <c r="H124" s="81"/>
      <c r="I124" s="81"/>
      <c r="J124" s="81">
        <f t="shared" si="45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4"/>
        <v>9718150</v>
      </c>
      <c r="Q124" s="253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703</v>
      </c>
      <c r="B125" s="118">
        <v>1262</v>
      </c>
      <c r="C125" s="117" t="s">
        <v>57</v>
      </c>
      <c r="D125" s="132" t="s">
        <v>704</v>
      </c>
      <c r="E125" s="82">
        <f>F125+I125</f>
        <v>0</v>
      </c>
      <c r="F125" s="81"/>
      <c r="G125" s="81"/>
      <c r="H125" s="81"/>
      <c r="I125" s="81"/>
      <c r="J125" s="81">
        <f t="shared" si="45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4"/>
        <v>22175500</v>
      </c>
      <c r="Q125" s="253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7" t="s">
        <v>705</v>
      </c>
      <c r="E126" s="82">
        <f t="shared" ref="E126:E127" si="53">F126+I126</f>
        <v>0</v>
      </c>
      <c r="F126" s="81"/>
      <c r="G126" s="81"/>
      <c r="H126" s="81"/>
      <c r="I126" s="81"/>
      <c r="J126" s="82">
        <f t="shared" si="45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4"/>
        <v>22175500</v>
      </c>
      <c r="Q126" s="253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729</v>
      </c>
      <c r="B127" s="118" t="str">
        <f>'дод 7'!A87</f>
        <v>1271</v>
      </c>
      <c r="C127" s="117" t="s">
        <v>57</v>
      </c>
      <c r="D127" s="154" t="str">
        <f>'дод 7'!C87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3"/>
        <v>823899</v>
      </c>
      <c r="F127" s="81">
        <v>823899</v>
      </c>
      <c r="G127" s="81"/>
      <c r="H127" s="81"/>
      <c r="I127" s="81"/>
      <c r="J127" s="81">
        <f t="shared" si="45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4"/>
        <v>1059613</v>
      </c>
      <c r="Q127" s="253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728</v>
      </c>
      <c r="B128" s="118" t="str">
        <f>'дод 7'!A88</f>
        <v>1272</v>
      </c>
      <c r="C128" s="117" t="s">
        <v>57</v>
      </c>
      <c r="D128" s="154" t="str">
        <f>'дод 7'!C88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4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53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5"/>
      <c r="C129" s="145"/>
      <c r="D129" s="236" t="s">
        <v>379</v>
      </c>
      <c r="E129" s="82">
        <f t="shared" si="54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53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77830</v>
      </c>
      <c r="F130" s="81">
        <f>72400+5430</f>
        <v>77830</v>
      </c>
      <c r="G130" s="81"/>
      <c r="H130" s="81"/>
      <c r="I130" s="81"/>
      <c r="J130" s="81">
        <f t="shared" si="45"/>
        <v>0</v>
      </c>
      <c r="K130" s="82"/>
      <c r="L130" s="82"/>
      <c r="M130" s="82"/>
      <c r="N130" s="82"/>
      <c r="O130" s="82"/>
      <c r="P130" s="81">
        <f t="shared" si="44"/>
        <v>77830</v>
      </c>
      <c r="Q130" s="253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7'!C165</f>
        <v>Утримання та навчально-тренувальна робота комунальних дитячо-юнацьких спортивних шкіл</v>
      </c>
      <c r="E131" s="81">
        <f t="shared" si="43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5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4"/>
        <v>11836000</v>
      </c>
      <c r="Q131" s="253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5"/>
      <c r="C132" s="123"/>
      <c r="D132" s="125" t="s">
        <v>389</v>
      </c>
      <c r="E132" s="81">
        <f t="shared" si="43"/>
        <v>0</v>
      </c>
      <c r="F132" s="82"/>
      <c r="G132" s="82"/>
      <c r="H132" s="82"/>
      <c r="I132" s="82"/>
      <c r="J132" s="81">
        <f t="shared" si="45"/>
        <v>0</v>
      </c>
      <c r="K132" s="82"/>
      <c r="L132" s="82"/>
      <c r="M132" s="82"/>
      <c r="N132" s="82"/>
      <c r="O132" s="82"/>
      <c r="P132" s="81">
        <f t="shared" si="44"/>
        <v>0</v>
      </c>
      <c r="Q132" s="253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7'!C200</f>
        <v>Будівництво1 освітніх установ та закладів</v>
      </c>
      <c r="E133" s="81">
        <f t="shared" si="43"/>
        <v>0</v>
      </c>
      <c r="F133" s="81"/>
      <c r="G133" s="81"/>
      <c r="H133" s="81"/>
      <c r="I133" s="81"/>
      <c r="J133" s="81">
        <f t="shared" si="45"/>
        <v>0</v>
      </c>
      <c r="K133" s="81"/>
      <c r="L133" s="81"/>
      <c r="M133" s="81"/>
      <c r="N133" s="81"/>
      <c r="O133" s="81"/>
      <c r="P133" s="81">
        <f t="shared" si="44"/>
        <v>0</v>
      </c>
      <c r="Q133" s="253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3"/>
        <v>0</v>
      </c>
      <c r="F134" s="81"/>
      <c r="G134" s="81"/>
      <c r="H134" s="81"/>
      <c r="I134" s="81"/>
      <c r="J134" s="81">
        <f t="shared" si="45"/>
        <v>0</v>
      </c>
      <c r="K134" s="82"/>
      <c r="L134" s="81"/>
      <c r="M134" s="81"/>
      <c r="N134" s="81"/>
      <c r="O134" s="82"/>
      <c r="P134" s="81">
        <f t="shared" si="44"/>
        <v>0</v>
      </c>
      <c r="Q134" s="253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3"/>
        <v>0</v>
      </c>
      <c r="F135" s="81"/>
      <c r="G135" s="81"/>
      <c r="H135" s="81"/>
      <c r="I135" s="81"/>
      <c r="J135" s="81">
        <f t="shared" si="45"/>
        <v>0</v>
      </c>
      <c r="K135" s="81"/>
      <c r="L135" s="81"/>
      <c r="M135" s="81"/>
      <c r="N135" s="81"/>
      <c r="O135" s="81"/>
      <c r="P135" s="81">
        <f t="shared" si="44"/>
        <v>0</v>
      </c>
      <c r="Q135" s="253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5"/>
      <c r="C136" s="123"/>
      <c r="D136" s="147" t="s">
        <v>604</v>
      </c>
      <c r="E136" s="81">
        <f t="shared" si="43"/>
        <v>0</v>
      </c>
      <c r="F136" s="82"/>
      <c r="G136" s="82"/>
      <c r="H136" s="82"/>
      <c r="I136" s="82"/>
      <c r="J136" s="81">
        <f t="shared" si="45"/>
        <v>0</v>
      </c>
      <c r="K136" s="82"/>
      <c r="L136" s="82"/>
      <c r="M136" s="82"/>
      <c r="N136" s="82"/>
      <c r="O136" s="82"/>
      <c r="P136" s="81">
        <f t="shared" si="44"/>
        <v>0</v>
      </c>
      <c r="Q136" s="253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8" t="s">
        <v>236</v>
      </c>
      <c r="C137" s="148" t="s">
        <v>81</v>
      </c>
      <c r="D137" s="128" t="s">
        <v>17</v>
      </c>
      <c r="E137" s="81">
        <f t="shared" si="43"/>
        <v>0</v>
      </c>
      <c r="F137" s="81"/>
      <c r="G137" s="81"/>
      <c r="H137" s="81"/>
      <c r="I137" s="81"/>
      <c r="J137" s="81">
        <f t="shared" si="45"/>
        <v>0</v>
      </c>
      <c r="K137" s="82"/>
      <c r="L137" s="82"/>
      <c r="M137" s="82"/>
      <c r="N137" s="82"/>
      <c r="O137" s="82"/>
      <c r="P137" s="81">
        <f t="shared" si="44"/>
        <v>0</v>
      </c>
      <c r="Q137" s="253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724</v>
      </c>
      <c r="B138" s="148">
        <f>'дод 7'!A219</f>
        <v>7384</v>
      </c>
      <c r="C138" s="148" t="str">
        <f>'дод 7'!B219</f>
        <v>0490</v>
      </c>
      <c r="D138" s="133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3"/>
        <v>0</v>
      </c>
      <c r="G138" s="81"/>
      <c r="H138" s="81"/>
      <c r="I138" s="81"/>
      <c r="J138" s="81">
        <f t="shared" si="45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53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8"/>
      <c r="C139" s="148"/>
      <c r="D139" s="239" t="s">
        <v>727</v>
      </c>
      <c r="E139" s="81"/>
      <c r="F139" s="240"/>
      <c r="G139" s="81"/>
      <c r="H139" s="81"/>
      <c r="I139" s="81"/>
      <c r="J139" s="82">
        <f t="shared" si="45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53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3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75583558</v>
      </c>
      <c r="K140" s="81">
        <f>13600000+800000+200000+199243+9500000+7200000+363949+7000000+5000000+5000000+5000000+7000000+3750000+7000000+7000000+397000-800000-126134-3000000+199500+300000</f>
        <v>75583558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</f>
        <v>75583558</v>
      </c>
      <c r="P140" s="81">
        <f t="shared" si="44"/>
        <v>76795792</v>
      </c>
      <c r="Q140" s="253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3"/>
        <v>0</v>
      </c>
      <c r="F141" s="81"/>
      <c r="G141" s="81"/>
      <c r="H141" s="81"/>
      <c r="I141" s="81"/>
      <c r="J141" s="81">
        <f t="shared" si="45"/>
        <v>0</v>
      </c>
      <c r="K141" s="81"/>
      <c r="L141" s="81"/>
      <c r="M141" s="81"/>
      <c r="N141" s="81"/>
      <c r="O141" s="81"/>
      <c r="P141" s="81">
        <f t="shared" si="44"/>
        <v>0</v>
      </c>
      <c r="Q141" s="253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7'!A247</f>
        <v>7693</v>
      </c>
      <c r="C142" s="118" t="str">
        <f>'дод 7'!B247</f>
        <v>0490</v>
      </c>
      <c r="D142" s="154" t="str">
        <f>'дод 7'!C247</f>
        <v>Інші заходи, пов'язані з економічною діяльністю</v>
      </c>
      <c r="E142" s="81">
        <f>F142+I142</f>
        <v>350000</v>
      </c>
      <c r="F142" s="198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4"/>
        <v>350000</v>
      </c>
      <c r="Q142" s="253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7'!A250</f>
        <v>7700</v>
      </c>
      <c r="C143" s="118" t="str">
        <f>'дод 7'!B250</f>
        <v>0133</v>
      </c>
      <c r="D143" s="154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8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4"/>
        <v>390000</v>
      </c>
      <c r="Q143" s="253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4" t="s">
        <v>662</v>
      </c>
      <c r="E144" s="81">
        <f>F144+I144</f>
        <v>0</v>
      </c>
      <c r="F144" s="198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4"/>
        <v>390000</v>
      </c>
      <c r="Q144" s="253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690</v>
      </c>
      <c r="B145" s="118">
        <v>8240</v>
      </c>
      <c r="C145" s="118" t="str">
        <f>'дод 7'!B261</f>
        <v>0380</v>
      </c>
      <c r="D145" s="154" t="str">
        <f>'дод 7'!C261</f>
        <v>Заходи та роботи з територіальної оборони</v>
      </c>
      <c r="E145" s="81">
        <f>F145+I145</f>
        <v>9001880</v>
      </c>
      <c r="F145" s="199">
        <f>1500000+1200000+2647880+270000+3384000</f>
        <v>9001880</v>
      </c>
      <c r="G145" s="81"/>
      <c r="H145" s="81">
        <f>200000+100000+318880+29500+348500</f>
        <v>996880</v>
      </c>
      <c r="I145" s="81"/>
      <c r="J145" s="81">
        <f t="shared" si="45"/>
        <v>0</v>
      </c>
      <c r="K145" s="81"/>
      <c r="L145" s="81"/>
      <c r="M145" s="81"/>
      <c r="N145" s="81"/>
      <c r="O145" s="81"/>
      <c r="P145" s="81">
        <f t="shared" si="44"/>
        <v>9001880</v>
      </c>
      <c r="Q145" s="253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7'!C265</f>
        <v>Природоохоронні заходи за рахунок цільових фондів</v>
      </c>
      <c r="E146" s="81">
        <f t="shared" si="43"/>
        <v>0</v>
      </c>
      <c r="F146" s="81"/>
      <c r="G146" s="81"/>
      <c r="H146" s="81"/>
      <c r="I146" s="81"/>
      <c r="J146" s="81">
        <f t="shared" si="45"/>
        <v>665100</v>
      </c>
      <c r="K146" s="81"/>
      <c r="L146" s="81">
        <f>532100-137100+25000</f>
        <v>420000</v>
      </c>
      <c r="M146" s="81"/>
      <c r="N146" s="81"/>
      <c r="O146" s="81">
        <f>37100+100000+108000</f>
        <v>245100</v>
      </c>
      <c r="P146" s="81">
        <f t="shared" si="44"/>
        <v>665100</v>
      </c>
      <c r="Q146" s="253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3"/>
        <v>0</v>
      </c>
      <c r="F147" s="81"/>
      <c r="G147" s="81"/>
      <c r="H147" s="81"/>
      <c r="I147" s="81"/>
      <c r="J147" s="81">
        <f t="shared" si="45"/>
        <v>0</v>
      </c>
      <c r="K147" s="81"/>
      <c r="L147" s="81"/>
      <c r="M147" s="81"/>
      <c r="N147" s="81"/>
      <c r="O147" s="81"/>
      <c r="P147" s="81">
        <f t="shared" si="44"/>
        <v>0</v>
      </c>
      <c r="Q147" s="253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5"/>
      <c r="C148" s="123"/>
      <c r="D148" s="125" t="s">
        <v>497</v>
      </c>
      <c r="E148" s="82">
        <f t="shared" si="43"/>
        <v>0</v>
      </c>
      <c r="F148" s="82"/>
      <c r="G148" s="82"/>
      <c r="H148" s="82"/>
      <c r="I148" s="82"/>
      <c r="J148" s="82">
        <f t="shared" si="45"/>
        <v>0</v>
      </c>
      <c r="K148" s="82"/>
      <c r="L148" s="82"/>
      <c r="M148" s="82"/>
      <c r="N148" s="82"/>
      <c r="O148" s="82"/>
      <c r="P148" s="82">
        <f t="shared" si="44"/>
        <v>0</v>
      </c>
      <c r="Q148" s="253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7'!C286</f>
        <v>Інші субвенції з місцевого бюджету</v>
      </c>
      <c r="E149" s="81">
        <f t="shared" ref="E149" si="55">F149+I149</f>
        <v>0</v>
      </c>
      <c r="F149" s="81"/>
      <c r="G149" s="81"/>
      <c r="H149" s="81"/>
      <c r="I149" s="81"/>
      <c r="J149" s="81">
        <f t="shared" ref="J149" si="56">L149+O149</f>
        <v>0</v>
      </c>
      <c r="K149" s="81"/>
      <c r="L149" s="81"/>
      <c r="M149" s="81"/>
      <c r="N149" s="81"/>
      <c r="O149" s="81"/>
      <c r="P149" s="81">
        <f t="shared" ref="P149" si="57">E149+J149</f>
        <v>0</v>
      </c>
      <c r="Q149" s="253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3"/>
        <v>100000</v>
      </c>
      <c r="F150" s="81">
        <v>100000</v>
      </c>
      <c r="G150" s="81"/>
      <c r="H150" s="81"/>
      <c r="I150" s="81"/>
      <c r="J150" s="81">
        <f t="shared" si="45"/>
        <v>0</v>
      </c>
      <c r="K150" s="81"/>
      <c r="L150" s="81"/>
      <c r="M150" s="81"/>
      <c r="N150" s="81"/>
      <c r="O150" s="81"/>
      <c r="P150" s="81">
        <f t="shared" si="44"/>
        <v>100000</v>
      </c>
      <c r="Q150" s="253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9"/>
      <c r="C151" s="149"/>
      <c r="D151" s="138" t="s">
        <v>444</v>
      </c>
      <c r="E151" s="79">
        <f>E152</f>
        <v>115551427</v>
      </c>
      <c r="F151" s="79">
        <f t="shared" ref="F151:P151" si="58">F152</f>
        <v>115551427</v>
      </c>
      <c r="G151" s="79">
        <f t="shared" si="58"/>
        <v>4535700</v>
      </c>
      <c r="H151" s="79">
        <f t="shared" si="58"/>
        <v>171900</v>
      </c>
      <c r="I151" s="79">
        <f t="shared" si="58"/>
        <v>0</v>
      </c>
      <c r="J151" s="79">
        <f t="shared" si="58"/>
        <v>264130306</v>
      </c>
      <c r="K151" s="79">
        <f t="shared" si="58"/>
        <v>259930306</v>
      </c>
      <c r="L151" s="79">
        <f t="shared" si="58"/>
        <v>0</v>
      </c>
      <c r="M151" s="79">
        <f t="shared" si="58"/>
        <v>0</v>
      </c>
      <c r="N151" s="79">
        <f t="shared" si="58"/>
        <v>0</v>
      </c>
      <c r="O151" s="79">
        <f t="shared" si="58"/>
        <v>264130306</v>
      </c>
      <c r="P151" s="79">
        <f t="shared" si="58"/>
        <v>379681733</v>
      </c>
      <c r="Q151" s="253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665</v>
      </c>
      <c r="E152" s="80">
        <f t="shared" ref="E152:P152" si="59">E162+E163+E170+E173+E175+E177+E180+E181+E182+E183+E184+E186+E188+E190+E168+E172+E191</f>
        <v>115551427</v>
      </c>
      <c r="F152" s="80">
        <f t="shared" si="59"/>
        <v>115551427</v>
      </c>
      <c r="G152" s="80">
        <f t="shared" si="59"/>
        <v>4535700</v>
      </c>
      <c r="H152" s="80">
        <f t="shared" si="59"/>
        <v>171900</v>
      </c>
      <c r="I152" s="80">
        <f t="shared" si="59"/>
        <v>0</v>
      </c>
      <c r="J152" s="80">
        <f t="shared" si="59"/>
        <v>264130306</v>
      </c>
      <c r="K152" s="80">
        <f t="shared" si="59"/>
        <v>259930306</v>
      </c>
      <c r="L152" s="80">
        <f t="shared" si="59"/>
        <v>0</v>
      </c>
      <c r="M152" s="80">
        <f t="shared" si="59"/>
        <v>0</v>
      </c>
      <c r="N152" s="80">
        <f t="shared" si="59"/>
        <v>0</v>
      </c>
      <c r="O152" s="80">
        <f t="shared" si="59"/>
        <v>264130306</v>
      </c>
      <c r="P152" s="80">
        <f t="shared" si="59"/>
        <v>379681733</v>
      </c>
      <c r="Q152" s="253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0">F167</f>
        <v>0</v>
      </c>
      <c r="G153" s="80">
        <f t="shared" si="60"/>
        <v>0</v>
      </c>
      <c r="H153" s="80">
        <f t="shared" si="60"/>
        <v>0</v>
      </c>
      <c r="I153" s="80">
        <f t="shared" si="60"/>
        <v>0</v>
      </c>
      <c r="J153" s="80">
        <f t="shared" si="60"/>
        <v>0</v>
      </c>
      <c r="K153" s="80">
        <f t="shared" si="60"/>
        <v>0</v>
      </c>
      <c r="L153" s="80">
        <f t="shared" si="60"/>
        <v>0</v>
      </c>
      <c r="M153" s="80">
        <f t="shared" si="60"/>
        <v>0</v>
      </c>
      <c r="N153" s="80">
        <f t="shared" si="60"/>
        <v>0</v>
      </c>
      <c r="O153" s="80">
        <f t="shared" si="60"/>
        <v>0</v>
      </c>
      <c r="P153" s="80">
        <f t="shared" si="60"/>
        <v>0</v>
      </c>
      <c r="Q153" s="253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1">F164+F171+F174</f>
        <v>0</v>
      </c>
      <c r="G154" s="80">
        <f t="shared" si="61"/>
        <v>0</v>
      </c>
      <c r="H154" s="80">
        <f t="shared" si="61"/>
        <v>0</v>
      </c>
      <c r="I154" s="80">
        <f t="shared" si="61"/>
        <v>0</v>
      </c>
      <c r="J154" s="80">
        <f t="shared" si="61"/>
        <v>0</v>
      </c>
      <c r="K154" s="80">
        <f t="shared" si="61"/>
        <v>0</v>
      </c>
      <c r="L154" s="80">
        <f t="shared" si="61"/>
        <v>0</v>
      </c>
      <c r="M154" s="80">
        <f t="shared" si="61"/>
        <v>0</v>
      </c>
      <c r="N154" s="80">
        <f t="shared" si="61"/>
        <v>0</v>
      </c>
      <c r="O154" s="80">
        <f t="shared" si="61"/>
        <v>0</v>
      </c>
      <c r="P154" s="80">
        <f t="shared" si="61"/>
        <v>0</v>
      </c>
      <c r="Q154" s="253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2">G185</f>
        <v>0</v>
      </c>
      <c r="H155" s="80">
        <f t="shared" si="62"/>
        <v>0</v>
      </c>
      <c r="I155" s="80">
        <f t="shared" si="62"/>
        <v>0</v>
      </c>
      <c r="J155" s="80">
        <f>J185</f>
        <v>0</v>
      </c>
      <c r="K155" s="80">
        <f t="shared" ref="K155:P155" si="63">K185</f>
        <v>0</v>
      </c>
      <c r="L155" s="80">
        <f t="shared" si="63"/>
        <v>0</v>
      </c>
      <c r="M155" s="80">
        <f t="shared" si="63"/>
        <v>0</v>
      </c>
      <c r="N155" s="80">
        <f t="shared" si="63"/>
        <v>0</v>
      </c>
      <c r="O155" s="80">
        <f t="shared" si="63"/>
        <v>0</v>
      </c>
      <c r="P155" s="80">
        <f t="shared" si="63"/>
        <v>0</v>
      </c>
      <c r="Q155" s="253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4">F165+F178</f>
        <v>0</v>
      </c>
      <c r="G156" s="80">
        <f t="shared" si="64"/>
        <v>0</v>
      </c>
      <c r="H156" s="80">
        <f t="shared" si="64"/>
        <v>0</v>
      </c>
      <c r="I156" s="80">
        <f t="shared" si="64"/>
        <v>0</v>
      </c>
      <c r="J156" s="80">
        <f t="shared" si="64"/>
        <v>0</v>
      </c>
      <c r="K156" s="80">
        <f t="shared" si="64"/>
        <v>0</v>
      </c>
      <c r="L156" s="80">
        <f t="shared" si="64"/>
        <v>0</v>
      </c>
      <c r="M156" s="80">
        <f t="shared" si="64"/>
        <v>0</v>
      </c>
      <c r="N156" s="80">
        <f t="shared" si="64"/>
        <v>0</v>
      </c>
      <c r="O156" s="80">
        <f t="shared" si="64"/>
        <v>0</v>
      </c>
      <c r="P156" s="80">
        <f t="shared" si="64"/>
        <v>0</v>
      </c>
      <c r="Q156" s="253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5">G176+G179</f>
        <v>0</v>
      </c>
      <c r="H157" s="80">
        <f t="shared" si="65"/>
        <v>0</v>
      </c>
      <c r="I157" s="80">
        <f t="shared" si="65"/>
        <v>0</v>
      </c>
      <c r="J157" s="80">
        <f t="shared" si="65"/>
        <v>0</v>
      </c>
      <c r="K157" s="80">
        <f>K176+K179</f>
        <v>0</v>
      </c>
      <c r="L157" s="80">
        <f t="shared" si="65"/>
        <v>0</v>
      </c>
      <c r="M157" s="80">
        <f t="shared" si="65"/>
        <v>0</v>
      </c>
      <c r="N157" s="80">
        <f t="shared" si="65"/>
        <v>0</v>
      </c>
      <c r="O157" s="80">
        <f t="shared" si="65"/>
        <v>0</v>
      </c>
      <c r="P157" s="80">
        <f t="shared" si="65"/>
        <v>0</v>
      </c>
      <c r="Q157" s="253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6">F185</f>
        <v>0</v>
      </c>
      <c r="G158" s="80">
        <f t="shared" si="66"/>
        <v>0</v>
      </c>
      <c r="H158" s="80">
        <f t="shared" si="66"/>
        <v>0</v>
      </c>
      <c r="I158" s="80">
        <f t="shared" si="66"/>
        <v>0</v>
      </c>
      <c r="J158" s="80">
        <f t="shared" si="66"/>
        <v>0</v>
      </c>
      <c r="K158" s="80">
        <f t="shared" si="66"/>
        <v>0</v>
      </c>
      <c r="L158" s="80">
        <f t="shared" si="66"/>
        <v>0</v>
      </c>
      <c r="M158" s="80">
        <f t="shared" si="66"/>
        <v>0</v>
      </c>
      <c r="N158" s="80">
        <f t="shared" si="66"/>
        <v>0</v>
      </c>
      <c r="O158" s="80">
        <f t="shared" si="66"/>
        <v>0</v>
      </c>
      <c r="P158" s="80">
        <f t="shared" si="66"/>
        <v>0</v>
      </c>
      <c r="Q158" s="253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34600</v>
      </c>
      <c r="F159" s="80">
        <f t="shared" ref="F159:P159" si="67">F166+F169</f>
        <v>34600</v>
      </c>
      <c r="G159" s="80">
        <f t="shared" si="67"/>
        <v>0</v>
      </c>
      <c r="H159" s="80">
        <f t="shared" si="67"/>
        <v>0</v>
      </c>
      <c r="I159" s="80">
        <f t="shared" si="67"/>
        <v>0</v>
      </c>
      <c r="J159" s="80">
        <f t="shared" si="67"/>
        <v>0</v>
      </c>
      <c r="K159" s="80">
        <f t="shared" si="67"/>
        <v>0</v>
      </c>
      <c r="L159" s="80">
        <f t="shared" si="67"/>
        <v>0</v>
      </c>
      <c r="M159" s="80">
        <f t="shared" si="67"/>
        <v>0</v>
      </c>
      <c r="N159" s="80">
        <f t="shared" si="67"/>
        <v>0</v>
      </c>
      <c r="O159" s="80">
        <f t="shared" si="67"/>
        <v>0</v>
      </c>
      <c r="P159" s="80">
        <f t="shared" si="67"/>
        <v>34600</v>
      </c>
      <c r="Q159" s="253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50" t="s">
        <v>410</v>
      </c>
      <c r="E160" s="80">
        <f>E187</f>
        <v>0</v>
      </c>
      <c r="F160" s="80">
        <f t="shared" ref="F160:P160" si="68">F187</f>
        <v>0</v>
      </c>
      <c r="G160" s="80">
        <f t="shared" si="68"/>
        <v>0</v>
      </c>
      <c r="H160" s="80">
        <f t="shared" si="68"/>
        <v>0</v>
      </c>
      <c r="I160" s="80">
        <f t="shared" si="68"/>
        <v>0</v>
      </c>
      <c r="J160" s="80">
        <f t="shared" si="68"/>
        <v>0</v>
      </c>
      <c r="K160" s="80">
        <f t="shared" si="68"/>
        <v>0</v>
      </c>
      <c r="L160" s="80">
        <f t="shared" si="68"/>
        <v>0</v>
      </c>
      <c r="M160" s="80">
        <f t="shared" si="68"/>
        <v>0</v>
      </c>
      <c r="N160" s="80">
        <f t="shared" si="68"/>
        <v>0</v>
      </c>
      <c r="O160" s="80">
        <f t="shared" si="68"/>
        <v>0</v>
      </c>
      <c r="P160" s="80">
        <f t="shared" si="68"/>
        <v>0</v>
      </c>
      <c r="Q160" s="253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50" t="s">
        <v>662</v>
      </c>
      <c r="E161" s="80">
        <f>E189</f>
        <v>0</v>
      </c>
      <c r="F161" s="80">
        <f t="shared" ref="F161:P161" si="69">F189</f>
        <v>0</v>
      </c>
      <c r="G161" s="80">
        <f t="shared" si="69"/>
        <v>0</v>
      </c>
      <c r="H161" s="80">
        <f t="shared" si="69"/>
        <v>0</v>
      </c>
      <c r="I161" s="80">
        <f t="shared" si="69"/>
        <v>0</v>
      </c>
      <c r="J161" s="80">
        <f t="shared" si="69"/>
        <v>4200000</v>
      </c>
      <c r="K161" s="80">
        <f t="shared" si="69"/>
        <v>0</v>
      </c>
      <c r="L161" s="80">
        <f t="shared" si="69"/>
        <v>0</v>
      </c>
      <c r="M161" s="80">
        <f t="shared" si="69"/>
        <v>0</v>
      </c>
      <c r="N161" s="80">
        <f t="shared" si="69"/>
        <v>0</v>
      </c>
      <c r="O161" s="80">
        <f t="shared" si="69"/>
        <v>4200000</v>
      </c>
      <c r="P161" s="80">
        <f t="shared" si="69"/>
        <v>4200000</v>
      </c>
      <c r="Q161" s="253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7'!A16</f>
        <v>0160</v>
      </c>
      <c r="C162" s="118" t="str">
        <f>'дод 7'!B16</f>
        <v>0111</v>
      </c>
      <c r="D162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0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1">E162+J162</f>
        <v>2622571</v>
      </c>
      <c r="Q162" s="253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7'!A97</f>
        <v>2010</v>
      </c>
      <c r="C163" s="118" t="str">
        <f>'дод 7'!B97</f>
        <v>0731</v>
      </c>
      <c r="D163" s="132" t="str">
        <f>'дод 7'!C97</f>
        <v>Багатопрофільна стаціонарна медична допомога населенню</v>
      </c>
      <c r="E163" s="81">
        <f>F163+I163</f>
        <v>63484190</v>
      </c>
      <c r="F163" s="81">
        <f>62030900+3000000+600000+23490+1000000+1000000+3000000+238400-7478200+100000-775000+710000+34600</f>
        <v>63484190</v>
      </c>
      <c r="G163" s="81"/>
      <c r="H163" s="81"/>
      <c r="I163" s="81"/>
      <c r="J163" s="81">
        <f t="shared" ref="J163:J191" si="72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1"/>
        <v>189177581</v>
      </c>
      <c r="Q163" s="253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5"/>
      <c r="C164" s="145"/>
      <c r="D164" s="125" t="s">
        <v>385</v>
      </c>
      <c r="E164" s="81">
        <f t="shared" ref="E164:E169" si="73">F164+I164</f>
        <v>0</v>
      </c>
      <c r="F164" s="82"/>
      <c r="G164" s="82"/>
      <c r="H164" s="82"/>
      <c r="I164" s="82"/>
      <c r="J164" s="81">
        <f t="shared" si="72"/>
        <v>0</v>
      </c>
      <c r="K164" s="82"/>
      <c r="L164" s="82"/>
      <c r="M164" s="82"/>
      <c r="N164" s="82"/>
      <c r="O164" s="82"/>
      <c r="P164" s="81">
        <f t="shared" si="71"/>
        <v>0</v>
      </c>
      <c r="Q164" s="253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5"/>
      <c r="C165" s="145"/>
      <c r="D165" s="125" t="s">
        <v>386</v>
      </c>
      <c r="E165" s="81">
        <f t="shared" si="73"/>
        <v>0</v>
      </c>
      <c r="F165" s="82"/>
      <c r="G165" s="82"/>
      <c r="H165" s="82"/>
      <c r="I165" s="82"/>
      <c r="J165" s="81">
        <f t="shared" si="72"/>
        <v>0</v>
      </c>
      <c r="K165" s="82"/>
      <c r="L165" s="82"/>
      <c r="M165" s="82"/>
      <c r="N165" s="82"/>
      <c r="O165" s="82"/>
      <c r="P165" s="81">
        <f t="shared" si="71"/>
        <v>0</v>
      </c>
      <c r="Q165" s="253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5"/>
      <c r="C166" s="145"/>
      <c r="D166" s="125" t="s">
        <v>388</v>
      </c>
      <c r="E166" s="81">
        <f t="shared" si="73"/>
        <v>0</v>
      </c>
      <c r="F166" s="82"/>
      <c r="G166" s="82"/>
      <c r="H166" s="82"/>
      <c r="I166" s="82"/>
      <c r="J166" s="81">
        <f t="shared" si="72"/>
        <v>0</v>
      </c>
      <c r="K166" s="82"/>
      <c r="L166" s="82"/>
      <c r="M166" s="82"/>
      <c r="N166" s="82"/>
      <c r="O166" s="82"/>
      <c r="P166" s="81">
        <f t="shared" si="71"/>
        <v>0</v>
      </c>
      <c r="Q166" s="253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5"/>
      <c r="C167" s="145"/>
      <c r="D167" s="125" t="s">
        <v>605</v>
      </c>
      <c r="E167" s="81">
        <f t="shared" si="73"/>
        <v>0</v>
      </c>
      <c r="F167" s="82"/>
      <c r="G167" s="82"/>
      <c r="H167" s="82"/>
      <c r="I167" s="82"/>
      <c r="J167" s="81">
        <f t="shared" si="72"/>
        <v>0</v>
      </c>
      <c r="K167" s="81"/>
      <c r="L167" s="82"/>
      <c r="M167" s="82"/>
      <c r="N167" s="82"/>
      <c r="O167" s="81"/>
      <c r="P167" s="81">
        <f t="shared" si="71"/>
        <v>0</v>
      </c>
      <c r="Q167" s="253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7'!C101</f>
        <v xml:space="preserve"> Спеціалізована стаціонарна медична допомога населенню</v>
      </c>
      <c r="E168" s="81">
        <f t="shared" si="73"/>
        <v>0</v>
      </c>
      <c r="F168" s="81"/>
      <c r="G168" s="81"/>
      <c r="H168" s="81"/>
      <c r="I168" s="81"/>
      <c r="J168" s="81">
        <f t="shared" si="72"/>
        <v>0</v>
      </c>
      <c r="K168" s="81"/>
      <c r="L168" s="81"/>
      <c r="M168" s="81"/>
      <c r="N168" s="81"/>
      <c r="O168" s="81"/>
      <c r="P168" s="81">
        <f t="shared" si="71"/>
        <v>0</v>
      </c>
      <c r="Q168" s="253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3"/>
        <v>34600</v>
      </c>
      <c r="F169" s="82">
        <v>34600</v>
      </c>
      <c r="G169" s="82"/>
      <c r="H169" s="82"/>
      <c r="I169" s="82"/>
      <c r="J169" s="82">
        <f t="shared" si="72"/>
        <v>0</v>
      </c>
      <c r="K169" s="82"/>
      <c r="L169" s="82"/>
      <c r="M169" s="82"/>
      <c r="N169" s="82"/>
      <c r="O169" s="82"/>
      <c r="P169" s="82">
        <f t="shared" si="71"/>
        <v>34600</v>
      </c>
      <c r="Q169" s="253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7'!A103</f>
        <v>2030</v>
      </c>
      <c r="C170" s="118" t="str">
        <f>'дод 7'!B103</f>
        <v>0733</v>
      </c>
      <c r="D170" s="122" t="str">
        <f>'дод 7'!C103</f>
        <v>Лікарсько-акушерська допомога вагітним, породіллям та новонародженим</v>
      </c>
      <c r="E170" s="81">
        <f t="shared" si="70"/>
        <v>4512700</v>
      </c>
      <c r="F170" s="81">
        <f>5512000-882300-117000</f>
        <v>4512700</v>
      </c>
      <c r="G170" s="81"/>
      <c r="H170" s="81"/>
      <c r="I170" s="81"/>
      <c r="J170" s="81">
        <f t="shared" si="72"/>
        <v>0</v>
      </c>
      <c r="K170" s="81"/>
      <c r="L170" s="81"/>
      <c r="M170" s="81"/>
      <c r="N170" s="81"/>
      <c r="O170" s="81"/>
      <c r="P170" s="81">
        <f t="shared" si="71"/>
        <v>4512700</v>
      </c>
      <c r="Q170" s="253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5"/>
      <c r="C171" s="145"/>
      <c r="D171" s="125" t="s">
        <v>385</v>
      </c>
      <c r="E171" s="82">
        <f t="shared" si="70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1"/>
        <v>0</v>
      </c>
      <c r="Q171" s="253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1" t="s">
        <v>582</v>
      </c>
      <c r="D172" s="122" t="s">
        <v>583</v>
      </c>
      <c r="E172" s="81">
        <f t="shared" si="70"/>
        <v>0</v>
      </c>
      <c r="F172" s="81"/>
      <c r="G172" s="122"/>
      <c r="H172" s="122"/>
      <c r="I172" s="122"/>
      <c r="J172" s="81">
        <f t="shared" si="72"/>
        <v>0</v>
      </c>
      <c r="K172" s="81"/>
      <c r="L172" s="81"/>
      <c r="M172" s="81"/>
      <c r="N172" s="81"/>
      <c r="O172" s="81"/>
      <c r="P172" s="81">
        <f t="shared" si="71"/>
        <v>0</v>
      </c>
      <c r="Q172" s="253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7'!A106</f>
        <v>2100</v>
      </c>
      <c r="C173" s="118" t="str">
        <f>'дод 7'!B106</f>
        <v>0722</v>
      </c>
      <c r="D173" s="122" t="str">
        <f>'дод 7'!C106</f>
        <v>Стоматологічна допомога населенню</v>
      </c>
      <c r="E173" s="81">
        <f t="shared" si="70"/>
        <v>12666900</v>
      </c>
      <c r="F173" s="81">
        <f>12846800-166900-13000</f>
        <v>12666900</v>
      </c>
      <c r="G173" s="81"/>
      <c r="H173" s="81"/>
      <c r="I173" s="81"/>
      <c r="J173" s="81">
        <f t="shared" si="72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1"/>
        <v>12866900</v>
      </c>
      <c r="Q173" s="253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5"/>
      <c r="C174" s="145"/>
      <c r="D174" s="125" t="s">
        <v>385</v>
      </c>
      <c r="E174" s="82">
        <f t="shared" si="70"/>
        <v>0</v>
      </c>
      <c r="F174" s="82"/>
      <c r="G174" s="82"/>
      <c r="H174" s="82"/>
      <c r="I174" s="82"/>
      <c r="J174" s="82">
        <f t="shared" si="72"/>
        <v>0</v>
      </c>
      <c r="K174" s="82"/>
      <c r="L174" s="82"/>
      <c r="M174" s="82"/>
      <c r="N174" s="82"/>
      <c r="O174" s="82"/>
      <c r="P174" s="82">
        <f t="shared" si="71"/>
        <v>0</v>
      </c>
      <c r="Q174" s="253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7'!A108</f>
        <v>2111</v>
      </c>
      <c r="C175" s="118" t="str">
        <f>'дод 7'!B108</f>
        <v>0726</v>
      </c>
      <c r="D175" s="122" t="str">
        <f>'дод 7'!C108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0"/>
        <v>4777400</v>
      </c>
      <c r="F175" s="81">
        <f>5707000-834600-95000</f>
        <v>4777400</v>
      </c>
      <c r="G175" s="81"/>
      <c r="H175" s="81"/>
      <c r="I175" s="81"/>
      <c r="J175" s="81">
        <f t="shared" si="72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1"/>
        <v>13618700</v>
      </c>
      <c r="Q175" s="253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5"/>
      <c r="C176" s="145"/>
      <c r="D176" s="144" t="s">
        <v>387</v>
      </c>
      <c r="E176" s="82">
        <f t="shared" si="70"/>
        <v>0</v>
      </c>
      <c r="F176" s="82"/>
      <c r="G176" s="82"/>
      <c r="H176" s="82"/>
      <c r="I176" s="82"/>
      <c r="J176" s="82">
        <f t="shared" si="72"/>
        <v>0</v>
      </c>
      <c r="K176" s="82"/>
      <c r="L176" s="82"/>
      <c r="M176" s="82"/>
      <c r="N176" s="82"/>
      <c r="O176" s="82"/>
      <c r="P176" s="82">
        <f t="shared" si="71"/>
        <v>0</v>
      </c>
      <c r="Q176" s="253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7'!A110</f>
        <v>2144</v>
      </c>
      <c r="C177" s="118" t="str">
        <f>'дод 7'!B110</f>
        <v>0763</v>
      </c>
      <c r="D177" s="152" t="str">
        <f>'дод 7'!C110</f>
        <v>Централізовані заходи з лікування хворих на цукровий та нецукровий діабет, у т.ч. за рахунок:</v>
      </c>
      <c r="E177" s="81">
        <f t="shared" si="70"/>
        <v>0</v>
      </c>
      <c r="F177" s="81"/>
      <c r="G177" s="81"/>
      <c r="H177" s="81"/>
      <c r="I177" s="81"/>
      <c r="J177" s="81">
        <f t="shared" si="72"/>
        <v>0</v>
      </c>
      <c r="K177" s="81"/>
      <c r="L177" s="81"/>
      <c r="M177" s="81"/>
      <c r="N177" s="81"/>
      <c r="O177" s="81"/>
      <c r="P177" s="81">
        <f t="shared" si="71"/>
        <v>0</v>
      </c>
      <c r="Q177" s="253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5"/>
      <c r="C178" s="145"/>
      <c r="D178" s="153" t="s">
        <v>386</v>
      </c>
      <c r="E178" s="82">
        <f t="shared" si="70"/>
        <v>0</v>
      </c>
      <c r="F178" s="82"/>
      <c r="G178" s="82"/>
      <c r="H178" s="82"/>
      <c r="I178" s="82"/>
      <c r="J178" s="82">
        <f t="shared" si="72"/>
        <v>0</v>
      </c>
      <c r="K178" s="82"/>
      <c r="L178" s="82"/>
      <c r="M178" s="82"/>
      <c r="N178" s="82"/>
      <c r="O178" s="82"/>
      <c r="P178" s="82">
        <f t="shared" si="71"/>
        <v>0</v>
      </c>
      <c r="Q178" s="253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5"/>
      <c r="C179" s="145"/>
      <c r="D179" s="153" t="s">
        <v>387</v>
      </c>
      <c r="E179" s="82">
        <f t="shared" si="70"/>
        <v>0</v>
      </c>
      <c r="F179" s="82"/>
      <c r="G179" s="82"/>
      <c r="H179" s="82"/>
      <c r="I179" s="82"/>
      <c r="J179" s="82">
        <f t="shared" si="72"/>
        <v>0</v>
      </c>
      <c r="K179" s="82"/>
      <c r="L179" s="82"/>
      <c r="M179" s="82"/>
      <c r="N179" s="82"/>
      <c r="O179" s="82"/>
      <c r="P179" s="82">
        <f t="shared" si="71"/>
        <v>0</v>
      </c>
      <c r="Q179" s="253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7'!A113</f>
        <v>2151</v>
      </c>
      <c r="C180" s="130" t="str">
        <f>'дод 7'!B113</f>
        <v>0763</v>
      </c>
      <c r="D180" s="122" t="str">
        <f>'дод 7'!C113</f>
        <v>Забезпечення діяльності інших закладів у сфері охорони здоров'я</v>
      </c>
      <c r="E180" s="81">
        <f t="shared" si="70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2"/>
        <v>0</v>
      </c>
      <c r="K180" s="81"/>
      <c r="L180" s="81"/>
      <c r="M180" s="81"/>
      <c r="N180" s="81"/>
      <c r="O180" s="81"/>
      <c r="P180" s="81">
        <f t="shared" si="71"/>
        <v>3789166</v>
      </c>
      <c r="Q180" s="253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7'!A114</f>
        <v>2152</v>
      </c>
      <c r="C181" s="130" t="str">
        <f>'дод 7'!B114</f>
        <v>0763</v>
      </c>
      <c r="D181" s="119" t="str">
        <f>'дод 7'!C114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2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1"/>
        <v>134802390</v>
      </c>
      <c r="Q181" s="253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7'!C202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2"/>
        <v>0</v>
      </c>
      <c r="K182" s="81"/>
      <c r="L182" s="81"/>
      <c r="M182" s="81"/>
      <c r="N182" s="81"/>
      <c r="O182" s="81"/>
      <c r="P182" s="81">
        <f t="shared" si="71"/>
        <v>0</v>
      </c>
      <c r="Q182" s="253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7'!A209</f>
        <v>7361</v>
      </c>
      <c r="C183" s="130" t="str">
        <f>'дод 7'!B209</f>
        <v>0490</v>
      </c>
      <c r="D183" s="119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0"/>
        <v>0</v>
      </c>
      <c r="F183" s="81"/>
      <c r="G183" s="81"/>
      <c r="H183" s="81"/>
      <c r="I183" s="81"/>
      <c r="J183" s="81">
        <f t="shared" si="72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1"/>
        <v>107164</v>
      </c>
      <c r="Q183" s="253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0"/>
        <v>0</v>
      </c>
      <c r="F184" s="81"/>
      <c r="G184" s="81"/>
      <c r="H184" s="81"/>
      <c r="I184" s="81"/>
      <c r="J184" s="81">
        <f t="shared" si="72"/>
        <v>0</v>
      </c>
      <c r="K184" s="81"/>
      <c r="L184" s="81"/>
      <c r="M184" s="81"/>
      <c r="N184" s="81"/>
      <c r="O184" s="81"/>
      <c r="P184" s="81">
        <f t="shared" si="71"/>
        <v>0</v>
      </c>
      <c r="Q184" s="253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0"/>
        <v>0</v>
      </c>
      <c r="F185" s="82"/>
      <c r="G185" s="82"/>
      <c r="H185" s="82"/>
      <c r="I185" s="82"/>
      <c r="J185" s="82">
        <f t="shared" si="72"/>
        <v>0</v>
      </c>
      <c r="K185" s="82"/>
      <c r="L185" s="82"/>
      <c r="M185" s="82"/>
      <c r="N185" s="82"/>
      <c r="O185" s="82"/>
      <c r="P185" s="82">
        <f t="shared" si="71"/>
        <v>0</v>
      </c>
      <c r="Q185" s="253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7'!A239</f>
        <v>7640</v>
      </c>
      <c r="C186" s="118" t="str">
        <f>'дод 7'!B239</f>
        <v>0470</v>
      </c>
      <c r="D186" s="122" t="s">
        <v>413</v>
      </c>
      <c r="E186" s="81">
        <f t="shared" si="70"/>
        <v>342700</v>
      </c>
      <c r="F186" s="81">
        <f>309000+400+33300</f>
        <v>342700</v>
      </c>
      <c r="G186" s="81"/>
      <c r="H186" s="81"/>
      <c r="I186" s="81"/>
      <c r="J186" s="81">
        <f t="shared" si="72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1"/>
        <v>12864561</v>
      </c>
      <c r="Q186" s="253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5"/>
      <c r="C187" s="145"/>
      <c r="D187" s="144" t="s">
        <v>410</v>
      </c>
      <c r="E187" s="82">
        <f t="shared" si="70"/>
        <v>0</v>
      </c>
      <c r="F187" s="82"/>
      <c r="G187" s="82"/>
      <c r="H187" s="82"/>
      <c r="I187" s="82"/>
      <c r="J187" s="82">
        <f t="shared" si="72"/>
        <v>0</v>
      </c>
      <c r="K187" s="82"/>
      <c r="L187" s="82"/>
      <c r="M187" s="82"/>
      <c r="N187" s="82"/>
      <c r="O187" s="82"/>
      <c r="P187" s="82">
        <f t="shared" si="71"/>
        <v>0</v>
      </c>
      <c r="Q187" s="253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0"/>
        <v>0</v>
      </c>
      <c r="F188" s="81"/>
      <c r="G188" s="81"/>
      <c r="H188" s="81"/>
      <c r="I188" s="81"/>
      <c r="J188" s="81">
        <f t="shared" si="72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1"/>
        <v>4620000</v>
      </c>
      <c r="Q188" s="253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5"/>
      <c r="C189" s="123"/>
      <c r="D189" s="144" t="s">
        <v>662</v>
      </c>
      <c r="E189" s="82">
        <f t="shared" ref="E189" si="74">F189+I189</f>
        <v>0</v>
      </c>
      <c r="F189" s="82"/>
      <c r="G189" s="82"/>
      <c r="H189" s="82"/>
      <c r="I189" s="82"/>
      <c r="J189" s="82">
        <f t="shared" ref="J189" si="75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6">E189+J189</f>
        <v>4200000</v>
      </c>
      <c r="Q189" s="253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0"/>
        <v>0</v>
      </c>
      <c r="F190" s="81"/>
      <c r="G190" s="81"/>
      <c r="H190" s="81"/>
      <c r="I190" s="81"/>
      <c r="J190" s="81">
        <f t="shared" si="72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1"/>
        <v>700000</v>
      </c>
      <c r="Q190" s="253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2"/>
        <v>0</v>
      </c>
      <c r="K191" s="81"/>
      <c r="L191" s="81"/>
      <c r="M191" s="81"/>
      <c r="N191" s="81"/>
      <c r="O191" s="81"/>
      <c r="P191" s="81">
        <f t="shared" si="71"/>
        <v>0</v>
      </c>
      <c r="Q191" s="253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9"/>
      <c r="C192" s="149"/>
      <c r="D192" s="138" t="s">
        <v>37</v>
      </c>
      <c r="E192" s="79">
        <f>E193</f>
        <v>446322561.51999998</v>
      </c>
      <c r="F192" s="79">
        <f t="shared" ref="F192:P192" si="77">F193</f>
        <v>446322561.51999998</v>
      </c>
      <c r="G192" s="79">
        <f t="shared" si="77"/>
        <v>58122000</v>
      </c>
      <c r="H192" s="79">
        <f t="shared" si="77"/>
        <v>2577700</v>
      </c>
      <c r="I192" s="79">
        <f t="shared" si="77"/>
        <v>0</v>
      </c>
      <c r="J192" s="79">
        <f t="shared" si="77"/>
        <v>31041564.32</v>
      </c>
      <c r="K192" s="79">
        <f t="shared" si="77"/>
        <v>30945364.32</v>
      </c>
      <c r="L192" s="79">
        <f t="shared" si="77"/>
        <v>96200</v>
      </c>
      <c r="M192" s="79">
        <f t="shared" si="77"/>
        <v>78600</v>
      </c>
      <c r="N192" s="79">
        <f t="shared" si="77"/>
        <v>0</v>
      </c>
      <c r="O192" s="79">
        <f t="shared" si="77"/>
        <v>30945364.32</v>
      </c>
      <c r="P192" s="79">
        <f t="shared" si="77"/>
        <v>477364125.83999997</v>
      </c>
      <c r="Q192" s="253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666</v>
      </c>
      <c r="E193" s="80">
        <f t="shared" ref="E193:P193" si="78">E198+E199+E200+E201+E202+E204+E205+E206+E208+E210+E212+E213+E215+E217+E218+E219+E220+E221+E222+E224+E226+E228+E229+E231+E235+E211+E232+E234+E233</f>
        <v>446322561.51999998</v>
      </c>
      <c r="F193" s="80">
        <f t="shared" si="78"/>
        <v>446322561.51999998</v>
      </c>
      <c r="G193" s="80">
        <f t="shared" si="78"/>
        <v>58122000</v>
      </c>
      <c r="H193" s="80">
        <f t="shared" si="78"/>
        <v>2577700</v>
      </c>
      <c r="I193" s="80">
        <f t="shared" si="78"/>
        <v>0</v>
      </c>
      <c r="J193" s="80">
        <f t="shared" si="78"/>
        <v>31041564.32</v>
      </c>
      <c r="K193" s="80">
        <f t="shared" si="78"/>
        <v>30945364.32</v>
      </c>
      <c r="L193" s="80">
        <f t="shared" si="78"/>
        <v>96200</v>
      </c>
      <c r="M193" s="80">
        <f t="shared" si="78"/>
        <v>78600</v>
      </c>
      <c r="N193" s="80">
        <f t="shared" si="78"/>
        <v>0</v>
      </c>
      <c r="O193" s="80">
        <f t="shared" si="78"/>
        <v>30945364.32</v>
      </c>
      <c r="P193" s="80">
        <f t="shared" si="78"/>
        <v>477364125.83999997</v>
      </c>
      <c r="Q193" s="253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716</v>
      </c>
      <c r="E194" s="80">
        <f t="shared" ref="E194:P194" si="79">E223</f>
        <v>0</v>
      </c>
      <c r="F194" s="80">
        <f t="shared" si="79"/>
        <v>0</v>
      </c>
      <c r="G194" s="80">
        <f t="shared" si="79"/>
        <v>0</v>
      </c>
      <c r="H194" s="80">
        <f t="shared" si="79"/>
        <v>0</v>
      </c>
      <c r="I194" s="80">
        <f t="shared" si="79"/>
        <v>0</v>
      </c>
      <c r="J194" s="80">
        <f t="shared" si="79"/>
        <v>11681442.220000001</v>
      </c>
      <c r="K194" s="80">
        <f t="shared" si="79"/>
        <v>11681442.220000001</v>
      </c>
      <c r="L194" s="80">
        <f t="shared" si="79"/>
        <v>0</v>
      </c>
      <c r="M194" s="80">
        <f t="shared" si="79"/>
        <v>0</v>
      </c>
      <c r="N194" s="80">
        <f t="shared" si="79"/>
        <v>0</v>
      </c>
      <c r="O194" s="80">
        <f t="shared" si="79"/>
        <v>11681442.220000001</v>
      </c>
      <c r="P194" s="80">
        <f t="shared" si="79"/>
        <v>11681442.220000001</v>
      </c>
      <c r="Q194" s="253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718</v>
      </c>
      <c r="E195" s="80">
        <f>E227</f>
        <v>0</v>
      </c>
      <c r="F195" s="80">
        <f t="shared" ref="F195:I195" si="80">F227</f>
        <v>0</v>
      </c>
      <c r="G195" s="80">
        <f t="shared" si="80"/>
        <v>0</v>
      </c>
      <c r="H195" s="80">
        <f t="shared" si="80"/>
        <v>0</v>
      </c>
      <c r="I195" s="80">
        <f t="shared" si="80"/>
        <v>0</v>
      </c>
      <c r="J195" s="80">
        <f>J225</f>
        <v>10238203.67</v>
      </c>
      <c r="K195" s="80">
        <f t="shared" ref="K195:P195" si="81">K225</f>
        <v>10238203.67</v>
      </c>
      <c r="L195" s="80">
        <f t="shared" si="81"/>
        <v>0</v>
      </c>
      <c r="M195" s="80">
        <f t="shared" si="81"/>
        <v>0</v>
      </c>
      <c r="N195" s="80">
        <f t="shared" si="81"/>
        <v>0</v>
      </c>
      <c r="O195" s="80">
        <f t="shared" si="81"/>
        <v>10238203.67</v>
      </c>
      <c r="P195" s="80">
        <f t="shared" si="81"/>
        <v>10238203.67</v>
      </c>
      <c r="Q195" s="253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2">F203+F207+F209+F214+F216+F230</f>
        <v>3705742.52</v>
      </c>
      <c r="G196" s="80">
        <f t="shared" si="82"/>
        <v>0</v>
      </c>
      <c r="H196" s="80">
        <f t="shared" si="82"/>
        <v>0</v>
      </c>
      <c r="I196" s="80">
        <f t="shared" si="82"/>
        <v>0</v>
      </c>
      <c r="J196" s="80">
        <f t="shared" si="82"/>
        <v>0</v>
      </c>
      <c r="K196" s="80">
        <f t="shared" si="82"/>
        <v>0</v>
      </c>
      <c r="L196" s="80">
        <f t="shared" si="82"/>
        <v>0</v>
      </c>
      <c r="M196" s="80">
        <f t="shared" si="82"/>
        <v>0</v>
      </c>
      <c r="N196" s="80">
        <f t="shared" si="82"/>
        <v>0</v>
      </c>
      <c r="O196" s="80">
        <f t="shared" si="82"/>
        <v>0</v>
      </c>
      <c r="P196" s="80">
        <f t="shared" si="82"/>
        <v>3705742.52</v>
      </c>
      <c r="Q196" s="253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717</v>
      </c>
      <c r="E197" s="80">
        <f>E226</f>
        <v>0</v>
      </c>
      <c r="F197" s="80">
        <f t="shared" ref="F197:P197" si="83">F226</f>
        <v>0</v>
      </c>
      <c r="G197" s="80">
        <f t="shared" si="83"/>
        <v>0</v>
      </c>
      <c r="H197" s="80">
        <f t="shared" si="83"/>
        <v>0</v>
      </c>
      <c r="I197" s="80">
        <f t="shared" si="83"/>
        <v>0</v>
      </c>
      <c r="J197" s="80">
        <f t="shared" si="83"/>
        <v>8499718.4299999997</v>
      </c>
      <c r="K197" s="80">
        <f t="shared" si="83"/>
        <v>8499718.4299999997</v>
      </c>
      <c r="L197" s="80">
        <f t="shared" si="83"/>
        <v>0</v>
      </c>
      <c r="M197" s="80">
        <f t="shared" si="83"/>
        <v>0</v>
      </c>
      <c r="N197" s="80">
        <f t="shared" si="83"/>
        <v>0</v>
      </c>
      <c r="O197" s="80">
        <f t="shared" si="83"/>
        <v>8499718.4299999997</v>
      </c>
      <c r="P197" s="80">
        <f t="shared" si="83"/>
        <v>8499718.4299999997</v>
      </c>
      <c r="Q197" s="253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7'!A16</f>
        <v>0160</v>
      </c>
      <c r="C198" s="118" t="str">
        <f>'дод 7'!B16</f>
        <v>0111</v>
      </c>
      <c r="D19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4">F198+I198</f>
        <v>52115448</v>
      </c>
      <c r="F198" s="81">
        <f>56740900+153448+6000-1632800-2899400-252700</f>
        <v>52115448</v>
      </c>
      <c r="G198" s="81">
        <f>43596600-1338400-2376600</f>
        <v>39881600</v>
      </c>
      <c r="H198" s="81">
        <f>1652000-252700</f>
        <v>1399300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5">E198+J198</f>
        <v>52115448</v>
      </c>
      <c r="Q198" s="253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7'!C18</f>
        <v>Інша діяльність у сфері державного управління</v>
      </c>
      <c r="E199" s="81">
        <f t="shared" si="84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5"/>
        <v>0</v>
      </c>
      <c r="Q199" s="253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7'!A120</f>
        <v>3031</v>
      </c>
      <c r="C200" s="118" t="str">
        <f>'дод 7'!B120</f>
        <v>1030</v>
      </c>
      <c r="D200" s="122" t="str">
        <f>'дод 7'!C120</f>
        <v>Надання інших пільг окремим категоріям громадян відповідно до законодавства</v>
      </c>
      <c r="E200" s="81">
        <f t="shared" si="84"/>
        <v>466000</v>
      </c>
      <c r="F200" s="81">
        <v>466000</v>
      </c>
      <c r="G200" s="81"/>
      <c r="H200" s="81"/>
      <c r="I200" s="81"/>
      <c r="J200" s="81">
        <f t="shared" ref="J200:J227" si="86">L200+O200</f>
        <v>0</v>
      </c>
      <c r="K200" s="81"/>
      <c r="L200" s="81"/>
      <c r="M200" s="81"/>
      <c r="N200" s="81"/>
      <c r="O200" s="81"/>
      <c r="P200" s="81">
        <f t="shared" si="85"/>
        <v>466000</v>
      </c>
      <c r="Q200" s="253"/>
    </row>
    <row r="201" spans="1:525" s="120" customFormat="1" ht="33" customHeight="1" x14ac:dyDescent="0.25">
      <c r="A201" s="117" t="s">
        <v>179</v>
      </c>
      <c r="B201" s="118" t="str">
        <f>'дод 7'!A121</f>
        <v>3032</v>
      </c>
      <c r="C201" s="118" t="str">
        <f>'дод 7'!B121</f>
        <v>1070</v>
      </c>
      <c r="D201" s="122" t="str">
        <f>'дод 7'!C121</f>
        <v>Надання пільг окремим категоріям громадян з оплати послуг зв'язку</v>
      </c>
      <c r="E201" s="81">
        <f t="shared" si="84"/>
        <v>781600</v>
      </c>
      <c r="F201" s="81">
        <f>930000-148400</f>
        <v>781600</v>
      </c>
      <c r="G201" s="81"/>
      <c r="H201" s="81"/>
      <c r="I201" s="81"/>
      <c r="J201" s="81">
        <f t="shared" si="86"/>
        <v>0</v>
      </c>
      <c r="K201" s="81"/>
      <c r="L201" s="81"/>
      <c r="M201" s="81"/>
      <c r="N201" s="81"/>
      <c r="O201" s="81"/>
      <c r="P201" s="81">
        <f t="shared" si="85"/>
        <v>781600</v>
      </c>
      <c r="Q201" s="253">
        <v>19</v>
      </c>
    </row>
    <row r="202" spans="1:525" s="120" customFormat="1" ht="48.75" customHeight="1" x14ac:dyDescent="0.25">
      <c r="A202" s="117" t="s">
        <v>347</v>
      </c>
      <c r="B202" s="118" t="str">
        <f>'дод 7'!A122</f>
        <v>3033</v>
      </c>
      <c r="C202" s="118" t="str">
        <f>'дод 7'!B122</f>
        <v>1070</v>
      </c>
      <c r="D202" s="122" t="s">
        <v>693</v>
      </c>
      <c r="E202" s="81">
        <f t="shared" si="84"/>
        <v>20560599.52</v>
      </c>
      <c r="F202" s="81">
        <f>18426100+2294499.52-40000-120000</f>
        <v>20560599.52</v>
      </c>
      <c r="G202" s="81"/>
      <c r="H202" s="81"/>
      <c r="I202" s="81"/>
      <c r="J202" s="81">
        <f t="shared" si="86"/>
        <v>0</v>
      </c>
      <c r="K202" s="81"/>
      <c r="L202" s="81"/>
      <c r="M202" s="81"/>
      <c r="N202" s="81"/>
      <c r="O202" s="81"/>
      <c r="P202" s="81">
        <f t="shared" si="85"/>
        <v>20560599.52</v>
      </c>
      <c r="Q202" s="253"/>
    </row>
    <row r="203" spans="1:525" s="126" customFormat="1" ht="18.75" customHeight="1" x14ac:dyDescent="0.25">
      <c r="A203" s="123"/>
      <c r="B203" s="145"/>
      <c r="C203" s="145"/>
      <c r="D203" s="144" t="s">
        <v>388</v>
      </c>
      <c r="E203" s="82">
        <f t="shared" si="84"/>
        <v>2254499.52</v>
      </c>
      <c r="F203" s="82">
        <f>2294499.52-40000</f>
        <v>2254499.52</v>
      </c>
      <c r="G203" s="82"/>
      <c r="H203" s="82"/>
      <c r="I203" s="82"/>
      <c r="J203" s="82">
        <f t="shared" si="86"/>
        <v>0</v>
      </c>
      <c r="K203" s="82"/>
      <c r="L203" s="82"/>
      <c r="M203" s="82"/>
      <c r="N203" s="82"/>
      <c r="O203" s="82"/>
      <c r="P203" s="82">
        <f t="shared" si="85"/>
        <v>2254499.52</v>
      </c>
      <c r="Q203" s="253"/>
    </row>
    <row r="204" spans="1:525" s="120" customFormat="1" ht="51" customHeight="1" x14ac:dyDescent="0.25">
      <c r="A204" s="117" t="s">
        <v>319</v>
      </c>
      <c r="B204" s="118" t="str">
        <f>'дод 7'!A124</f>
        <v>3035</v>
      </c>
      <c r="C204" s="118" t="str">
        <f>'дод 7'!B124</f>
        <v>1070</v>
      </c>
      <c r="D204" s="122" t="str">
        <f>'дод 7'!C124</f>
        <v>Компенсаційні виплати за пільговий проїзд окремих категорій громадян на залізничному транспорті</v>
      </c>
      <c r="E204" s="81">
        <f t="shared" si="84"/>
        <v>2106000</v>
      </c>
      <c r="F204" s="81">
        <v>2106000</v>
      </c>
      <c r="G204" s="81"/>
      <c r="H204" s="81"/>
      <c r="I204" s="81"/>
      <c r="J204" s="81">
        <f t="shared" si="86"/>
        <v>0</v>
      </c>
      <c r="K204" s="81"/>
      <c r="L204" s="81"/>
      <c r="M204" s="81"/>
      <c r="N204" s="81"/>
      <c r="O204" s="81"/>
      <c r="P204" s="81">
        <f t="shared" si="85"/>
        <v>2106000</v>
      </c>
      <c r="Q204" s="253"/>
    </row>
    <row r="205" spans="1:525" s="120" customFormat="1" ht="52.5" customHeight="1" x14ac:dyDescent="0.25">
      <c r="A205" s="117" t="s">
        <v>180</v>
      </c>
      <c r="B205" s="118" t="str">
        <f>'дод 7'!A125</f>
        <v>3036</v>
      </c>
      <c r="C205" s="118" t="str">
        <f>'дод 7'!B125</f>
        <v>1070</v>
      </c>
      <c r="D205" s="122" t="str">
        <f>'дод 7'!C125</f>
        <v>Компенсаційні виплати на пільговий проїзд електротранспортом окремим категоріям громадян</v>
      </c>
      <c r="E205" s="81">
        <f t="shared" si="84"/>
        <v>42214000</v>
      </c>
      <c r="F205" s="81">
        <v>42214000</v>
      </c>
      <c r="G205" s="81"/>
      <c r="H205" s="81"/>
      <c r="I205" s="81"/>
      <c r="J205" s="81">
        <f t="shared" si="86"/>
        <v>0</v>
      </c>
      <c r="K205" s="81"/>
      <c r="L205" s="81"/>
      <c r="M205" s="81"/>
      <c r="N205" s="81"/>
      <c r="O205" s="81"/>
      <c r="P205" s="81">
        <f t="shared" si="85"/>
        <v>42214000</v>
      </c>
      <c r="Q205" s="253"/>
    </row>
    <row r="206" spans="1:525" s="121" customFormat="1" ht="49.5" customHeight="1" x14ac:dyDescent="0.25">
      <c r="A206" s="117" t="s">
        <v>345</v>
      </c>
      <c r="B206" s="118" t="str">
        <f>'дод 7'!A126</f>
        <v>3050</v>
      </c>
      <c r="C206" s="118" t="str">
        <f>'дод 7'!B126</f>
        <v>1070</v>
      </c>
      <c r="D206" s="122" t="str">
        <f>'дод 7'!C126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4"/>
        <v>745100</v>
      </c>
      <c r="F206" s="81">
        <v>745100</v>
      </c>
      <c r="G206" s="81"/>
      <c r="H206" s="81"/>
      <c r="I206" s="81"/>
      <c r="J206" s="81">
        <f t="shared" si="86"/>
        <v>0</v>
      </c>
      <c r="K206" s="81"/>
      <c r="L206" s="81"/>
      <c r="M206" s="81"/>
      <c r="N206" s="81"/>
      <c r="O206" s="81"/>
      <c r="P206" s="81">
        <f t="shared" si="85"/>
        <v>745100</v>
      </c>
      <c r="Q206" s="253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5"/>
      <c r="C207" s="145"/>
      <c r="D207" s="144" t="s">
        <v>388</v>
      </c>
      <c r="E207" s="82">
        <f t="shared" si="84"/>
        <v>745100</v>
      </c>
      <c r="F207" s="82">
        <v>745100</v>
      </c>
      <c r="G207" s="82"/>
      <c r="H207" s="82"/>
      <c r="I207" s="82"/>
      <c r="J207" s="82">
        <f t="shared" si="86"/>
        <v>0</v>
      </c>
      <c r="K207" s="82"/>
      <c r="L207" s="82"/>
      <c r="M207" s="82"/>
      <c r="N207" s="82"/>
      <c r="O207" s="82"/>
      <c r="P207" s="82">
        <f t="shared" si="85"/>
        <v>745100</v>
      </c>
      <c r="Q207" s="253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7'!A128</f>
        <v>3090</v>
      </c>
      <c r="C208" s="118" t="str">
        <f>'дод 7'!B128</f>
        <v>1030</v>
      </c>
      <c r="D208" s="122" t="str">
        <f>'дод 7'!C128</f>
        <v>Видатки на поховання учасників бойових дій та осіб з інвалідністю внаслідок війни, у т.ч. за рахунок:</v>
      </c>
      <c r="E208" s="81">
        <f t="shared" si="84"/>
        <v>274000</v>
      </c>
      <c r="F208" s="81">
        <v>274000</v>
      </c>
      <c r="G208" s="81"/>
      <c r="H208" s="81"/>
      <c r="I208" s="81"/>
      <c r="J208" s="81">
        <f t="shared" si="86"/>
        <v>0</v>
      </c>
      <c r="K208" s="81"/>
      <c r="L208" s="81"/>
      <c r="M208" s="81"/>
      <c r="N208" s="81"/>
      <c r="O208" s="81"/>
      <c r="P208" s="81">
        <f t="shared" si="85"/>
        <v>274000</v>
      </c>
      <c r="Q208" s="253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5"/>
      <c r="C209" s="145"/>
      <c r="D209" s="144" t="s">
        <v>388</v>
      </c>
      <c r="E209" s="82">
        <f t="shared" si="84"/>
        <v>274000</v>
      </c>
      <c r="F209" s="82">
        <v>274000</v>
      </c>
      <c r="G209" s="82"/>
      <c r="H209" s="82"/>
      <c r="I209" s="82"/>
      <c r="J209" s="82">
        <f t="shared" si="86"/>
        <v>0</v>
      </c>
      <c r="K209" s="82"/>
      <c r="L209" s="82"/>
      <c r="M209" s="82"/>
      <c r="N209" s="82"/>
      <c r="O209" s="82"/>
      <c r="P209" s="82">
        <f t="shared" si="85"/>
        <v>274000</v>
      </c>
      <c r="Q209" s="253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7'!A130</f>
        <v>3104</v>
      </c>
      <c r="C210" s="118" t="str">
        <f>'дод 7'!B130</f>
        <v>1020</v>
      </c>
      <c r="D210" s="122" t="str">
        <f>'дод 7'!C130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4"/>
        <v>21326997</v>
      </c>
      <c r="F210" s="81">
        <f>21319300+7697</f>
        <v>21326997</v>
      </c>
      <c r="G210" s="81">
        <f>15850900-57200</f>
        <v>15793700</v>
      </c>
      <c r="H210" s="81">
        <v>763200</v>
      </c>
      <c r="I210" s="81"/>
      <c r="J210" s="81">
        <f t="shared" si="86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5"/>
        <v>21923197</v>
      </c>
      <c r="Q210" s="253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8" t="s">
        <v>99</v>
      </c>
      <c r="D211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4"/>
        <v>0</v>
      </c>
      <c r="F211" s="81">
        <f>5000000-5000000</f>
        <v>0</v>
      </c>
      <c r="G211" s="81"/>
      <c r="H211" s="81"/>
      <c r="I211" s="81"/>
      <c r="J211" s="81">
        <f t="shared" si="86"/>
        <v>0</v>
      </c>
      <c r="K211" s="81"/>
      <c r="L211" s="81"/>
      <c r="M211" s="81"/>
      <c r="N211" s="81"/>
      <c r="O211" s="81"/>
      <c r="P211" s="81">
        <f t="shared" si="85"/>
        <v>0</v>
      </c>
      <c r="Q211" s="253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7'!A137</f>
        <v>3160</v>
      </c>
      <c r="C212" s="118">
        <f>'дод 7'!B137</f>
        <v>1010</v>
      </c>
      <c r="D212" s="122" t="str">
        <f>'дод 7'!C137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4"/>
        <v>14132600</v>
      </c>
      <c r="F212" s="81">
        <f>10232600+3900000</f>
        <v>14132600</v>
      </c>
      <c r="G212" s="81"/>
      <c r="H212" s="81"/>
      <c r="I212" s="81"/>
      <c r="J212" s="81">
        <f t="shared" si="86"/>
        <v>0</v>
      </c>
      <c r="K212" s="81"/>
      <c r="L212" s="81"/>
      <c r="M212" s="81"/>
      <c r="N212" s="81"/>
      <c r="O212" s="81"/>
      <c r="P212" s="81">
        <f t="shared" si="85"/>
        <v>14132600</v>
      </c>
      <c r="Q212" s="253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7'!A138</f>
        <v>3171</v>
      </c>
      <c r="C213" s="118">
        <f>'дод 7'!B138</f>
        <v>1010</v>
      </c>
      <c r="D213" s="122" t="s">
        <v>397</v>
      </c>
      <c r="E213" s="81">
        <f t="shared" si="84"/>
        <v>194543</v>
      </c>
      <c r="F213" s="81">
        <f>196843-2300</f>
        <v>194543</v>
      </c>
      <c r="G213" s="81"/>
      <c r="H213" s="81"/>
      <c r="I213" s="81"/>
      <c r="J213" s="81">
        <f t="shared" si="86"/>
        <v>0</v>
      </c>
      <c r="K213" s="81"/>
      <c r="L213" s="81"/>
      <c r="M213" s="81"/>
      <c r="N213" s="81"/>
      <c r="O213" s="81"/>
      <c r="P213" s="81">
        <f t="shared" si="85"/>
        <v>194543</v>
      </c>
      <c r="Q213" s="25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5"/>
      <c r="C214" s="145"/>
      <c r="D214" s="144" t="s">
        <v>388</v>
      </c>
      <c r="E214" s="82">
        <f t="shared" si="84"/>
        <v>194543</v>
      </c>
      <c r="F214" s="82">
        <f>196843-2300</f>
        <v>194543</v>
      </c>
      <c r="G214" s="82"/>
      <c r="H214" s="82"/>
      <c r="I214" s="82"/>
      <c r="J214" s="82">
        <f t="shared" si="86"/>
        <v>0</v>
      </c>
      <c r="K214" s="82"/>
      <c r="L214" s="82"/>
      <c r="M214" s="82"/>
      <c r="N214" s="82"/>
      <c r="O214" s="82"/>
      <c r="P214" s="82">
        <f t="shared" si="85"/>
        <v>194543</v>
      </c>
      <c r="Q214" s="253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7'!A140</f>
        <v>3172</v>
      </c>
      <c r="C215" s="118">
        <f>'дод 7'!B140</f>
        <v>1010</v>
      </c>
      <c r="D215" s="122" t="str">
        <f>'дод 7'!C140</f>
        <v>Встановлення телефонів особам з інвалідністю I і II груп, у т.ч. за рахунок:</v>
      </c>
      <c r="E215" s="81">
        <f t="shared" si="84"/>
        <v>0</v>
      </c>
      <c r="F215" s="81"/>
      <c r="G215" s="81"/>
      <c r="H215" s="81"/>
      <c r="I215" s="81"/>
      <c r="J215" s="81">
        <f t="shared" si="86"/>
        <v>0</v>
      </c>
      <c r="K215" s="81"/>
      <c r="L215" s="81"/>
      <c r="M215" s="81"/>
      <c r="N215" s="81"/>
      <c r="O215" s="81"/>
      <c r="P215" s="81">
        <f t="shared" si="85"/>
        <v>0</v>
      </c>
      <c r="Q215" s="253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5"/>
      <c r="C216" s="145"/>
      <c r="D216" s="144" t="s">
        <v>388</v>
      </c>
      <c r="E216" s="82">
        <f t="shared" si="84"/>
        <v>0</v>
      </c>
      <c r="F216" s="82"/>
      <c r="G216" s="82"/>
      <c r="H216" s="82"/>
      <c r="I216" s="82"/>
      <c r="J216" s="82">
        <f t="shared" si="86"/>
        <v>0</v>
      </c>
      <c r="K216" s="82"/>
      <c r="L216" s="82"/>
      <c r="M216" s="82"/>
      <c r="N216" s="82"/>
      <c r="O216" s="82"/>
      <c r="P216" s="82">
        <f t="shared" si="85"/>
        <v>0</v>
      </c>
      <c r="Q216" s="253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7'!A142</f>
        <v>3180</v>
      </c>
      <c r="C217" s="118" t="str">
        <f>'дод 7'!B142</f>
        <v>1060</v>
      </c>
      <c r="D217" s="122" t="str">
        <f>'дод 7'!C142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4"/>
        <v>0</v>
      </c>
      <c r="F217" s="81"/>
      <c r="G217" s="81"/>
      <c r="H217" s="81"/>
      <c r="I217" s="81"/>
      <c r="J217" s="81">
        <f t="shared" si="86"/>
        <v>0</v>
      </c>
      <c r="K217" s="81"/>
      <c r="L217" s="81"/>
      <c r="M217" s="81"/>
      <c r="N217" s="81"/>
      <c r="O217" s="81"/>
      <c r="P217" s="81">
        <f t="shared" si="85"/>
        <v>0</v>
      </c>
      <c r="Q217" s="253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7'!A143</f>
        <v>3191</v>
      </c>
      <c r="C218" s="118" t="str">
        <f>'дод 7'!B143</f>
        <v>1030</v>
      </c>
      <c r="D218" s="122" t="str">
        <f>'дод 7'!C143</f>
        <v>Інші видатки на соціальний захист ветеранів війни та праці</v>
      </c>
      <c r="E218" s="81">
        <f t="shared" si="84"/>
        <v>3627399</v>
      </c>
      <c r="F218" s="81">
        <f>3535800-37674+493455-364182</f>
        <v>3627399</v>
      </c>
      <c r="G218" s="81"/>
      <c r="H218" s="81"/>
      <c r="I218" s="81"/>
      <c r="J218" s="81">
        <f t="shared" si="86"/>
        <v>0</v>
      </c>
      <c r="K218" s="81"/>
      <c r="L218" s="81"/>
      <c r="M218" s="81"/>
      <c r="N218" s="81"/>
      <c r="O218" s="81"/>
      <c r="P218" s="81">
        <f t="shared" si="85"/>
        <v>3627399</v>
      </c>
      <c r="Q218" s="253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7'!A144</f>
        <v>3192</v>
      </c>
      <c r="C219" s="118" t="str">
        <f>'дод 7'!B144</f>
        <v>1030</v>
      </c>
      <c r="D219" s="122" t="str">
        <f>'дод 7'!C144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4"/>
        <v>1978130</v>
      </c>
      <c r="F219" s="81">
        <v>1978130</v>
      </c>
      <c r="G219" s="81"/>
      <c r="H219" s="81"/>
      <c r="I219" s="81"/>
      <c r="J219" s="81">
        <f t="shared" si="86"/>
        <v>0</v>
      </c>
      <c r="K219" s="81"/>
      <c r="L219" s="81"/>
      <c r="M219" s="81"/>
      <c r="N219" s="81"/>
      <c r="O219" s="81"/>
      <c r="P219" s="81">
        <f t="shared" si="85"/>
        <v>1978130</v>
      </c>
      <c r="Q219" s="253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7'!A145</f>
        <v>3200</v>
      </c>
      <c r="C220" s="118" t="str">
        <f>'дод 7'!B145</f>
        <v>1090</v>
      </c>
      <c r="D220" s="122" t="str">
        <f>'дод 7'!C145</f>
        <v>Забезпечення обробки інформації з нарахування та виплати допомог і компенсацій</v>
      </c>
      <c r="E220" s="81">
        <f t="shared" si="84"/>
        <v>101900</v>
      </c>
      <c r="F220" s="81">
        <v>101900</v>
      </c>
      <c r="G220" s="81"/>
      <c r="H220" s="81"/>
      <c r="I220" s="81"/>
      <c r="J220" s="81">
        <f t="shared" si="86"/>
        <v>0</v>
      </c>
      <c r="K220" s="81"/>
      <c r="L220" s="81"/>
      <c r="M220" s="81"/>
      <c r="N220" s="81"/>
      <c r="O220" s="81"/>
      <c r="P220" s="81">
        <f t="shared" si="85"/>
        <v>101900</v>
      </c>
      <c r="Q220" s="253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7'!A146</f>
        <v>3210</v>
      </c>
      <c r="C221" s="130" t="str">
        <f>'дод 7'!B146</f>
        <v>1050</v>
      </c>
      <c r="D221" s="119" t="str">
        <f>'дод 7'!C146</f>
        <v>Організація та проведення громадських робіт</v>
      </c>
      <c r="E221" s="81">
        <f t="shared" si="84"/>
        <v>0</v>
      </c>
      <c r="F221" s="81"/>
      <c r="G221" s="81"/>
      <c r="H221" s="81"/>
      <c r="I221" s="81"/>
      <c r="J221" s="81">
        <f t="shared" si="86"/>
        <v>0</v>
      </c>
      <c r="K221" s="81"/>
      <c r="L221" s="81"/>
      <c r="M221" s="81"/>
      <c r="N221" s="81"/>
      <c r="O221" s="81"/>
      <c r="P221" s="81">
        <f t="shared" si="85"/>
        <v>0</v>
      </c>
      <c r="Q221" s="253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7'!C147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4"/>
        <v>0</v>
      </c>
      <c r="F222" s="84"/>
      <c r="G222" s="81"/>
      <c r="H222" s="81"/>
      <c r="I222" s="81"/>
      <c r="J222" s="204">
        <f t="shared" si="86"/>
        <v>11681442.220000001</v>
      </c>
      <c r="K222" s="204">
        <f>11508703.3+0.01+172738.91</f>
        <v>11681442.220000001</v>
      </c>
      <c r="L222" s="204"/>
      <c r="M222" s="204"/>
      <c r="N222" s="204"/>
      <c r="O222" s="204">
        <f>11508703.3+0.01+172738.91</f>
        <v>11681442.220000001</v>
      </c>
      <c r="P222" s="204">
        <f t="shared" si="85"/>
        <v>11681442.220000001</v>
      </c>
      <c r="Q222" s="253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716</v>
      </c>
      <c r="E223" s="81">
        <f t="shared" si="84"/>
        <v>0</v>
      </c>
      <c r="F223" s="85"/>
      <c r="G223" s="82"/>
      <c r="H223" s="82"/>
      <c r="I223" s="82"/>
      <c r="J223" s="205">
        <f t="shared" si="86"/>
        <v>11681442.220000001</v>
      </c>
      <c r="K223" s="205">
        <f>11508703.3+0.01+172738.91</f>
        <v>11681442.220000001</v>
      </c>
      <c r="L223" s="205"/>
      <c r="M223" s="205"/>
      <c r="N223" s="205"/>
      <c r="O223" s="205">
        <f>11508703.3+0.01+172738.91</f>
        <v>11681442.220000001</v>
      </c>
      <c r="P223" s="205">
        <f t="shared" si="85"/>
        <v>11681442.220000001</v>
      </c>
      <c r="Q223" s="253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7'!C149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7">F224+I224</f>
        <v>0</v>
      </c>
      <c r="F224" s="84"/>
      <c r="G224" s="81"/>
      <c r="H224" s="81"/>
      <c r="I224" s="81"/>
      <c r="J224" s="204">
        <f t="shared" ref="J224:J225" si="88">L224+O224</f>
        <v>10238203.67</v>
      </c>
      <c r="K224" s="204">
        <f>5160986.75+4769293.17+307923.75</f>
        <v>10238203.67</v>
      </c>
      <c r="L224" s="204"/>
      <c r="M224" s="204"/>
      <c r="N224" s="204"/>
      <c r="O224" s="204">
        <f>5160986.75+4769293.17+307923.75</f>
        <v>10238203.67</v>
      </c>
      <c r="P224" s="204">
        <f t="shared" si="85"/>
        <v>10238203.67</v>
      </c>
      <c r="Q224" s="253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718</v>
      </c>
      <c r="E225" s="82">
        <f t="shared" si="87"/>
        <v>0</v>
      </c>
      <c r="F225" s="85"/>
      <c r="G225" s="82"/>
      <c r="H225" s="82"/>
      <c r="I225" s="82"/>
      <c r="J225" s="205">
        <f t="shared" si="88"/>
        <v>10238203.67</v>
      </c>
      <c r="K225" s="205">
        <f>5160986.75+4769293.17+307923.75</f>
        <v>10238203.67</v>
      </c>
      <c r="L225" s="205"/>
      <c r="M225" s="205"/>
      <c r="N225" s="205"/>
      <c r="O225" s="205">
        <f>5160986.75+4769293.17+307923.75</f>
        <v>10238203.67</v>
      </c>
      <c r="P225" s="205">
        <f t="shared" si="85"/>
        <v>10238203.67</v>
      </c>
      <c r="Q225" s="253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7'!C151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4"/>
        <v>0</v>
      </c>
      <c r="F226" s="81"/>
      <c r="G226" s="81"/>
      <c r="H226" s="81"/>
      <c r="I226" s="81"/>
      <c r="J226" s="204">
        <f t="shared" si="86"/>
        <v>8499718.4299999997</v>
      </c>
      <c r="K226" s="204">
        <f>6347716.55+2152001.88</f>
        <v>8499718.4299999997</v>
      </c>
      <c r="L226" s="204"/>
      <c r="M226" s="204"/>
      <c r="N226" s="204"/>
      <c r="O226" s="204">
        <f>6347716.55+2152001.88</f>
        <v>8499718.4299999997</v>
      </c>
      <c r="P226" s="204">
        <f t="shared" si="85"/>
        <v>8499718.4299999997</v>
      </c>
      <c r="Q226" s="253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717</v>
      </c>
      <c r="E227" s="82">
        <f t="shared" si="84"/>
        <v>0</v>
      </c>
      <c r="F227" s="82"/>
      <c r="G227" s="82"/>
      <c r="H227" s="82"/>
      <c r="I227" s="82"/>
      <c r="J227" s="205">
        <f t="shared" si="86"/>
        <v>8499718.4299999997</v>
      </c>
      <c r="K227" s="205">
        <f>6347716.55+2152001.88</f>
        <v>8499718.4299999997</v>
      </c>
      <c r="L227" s="205"/>
      <c r="M227" s="205"/>
      <c r="N227" s="205"/>
      <c r="O227" s="205">
        <f>6347716.55+2152001.88</f>
        <v>8499718.4299999997</v>
      </c>
      <c r="P227" s="205">
        <f t="shared" si="85"/>
        <v>8499718.4299999997</v>
      </c>
      <c r="Q227" s="253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7'!A153</f>
        <v>3241</v>
      </c>
      <c r="C228" s="118" t="str">
        <f>'дод 7'!B153</f>
        <v>1090</v>
      </c>
      <c r="D228" s="122" t="str">
        <f>'дод 7'!C153</f>
        <v>Забезпечення діяльності інших закладів у сфері соціального захисту і соціального забезпечення</v>
      </c>
      <c r="E228" s="81">
        <f t="shared" si="84"/>
        <v>5111600</v>
      </c>
      <c r="F228" s="81">
        <f>5137300+1800-27500</f>
        <v>5111600</v>
      </c>
      <c r="G228" s="81">
        <v>2446700</v>
      </c>
      <c r="H228" s="81">
        <f>442700-27500</f>
        <v>415200</v>
      </c>
      <c r="I228" s="81"/>
      <c r="J228" s="81">
        <f t="shared" ref="J228:J235" si="89">L228+O228</f>
        <v>0</v>
      </c>
      <c r="K228" s="81"/>
      <c r="L228" s="81"/>
      <c r="M228" s="81"/>
      <c r="N228" s="81"/>
      <c r="O228" s="81"/>
      <c r="P228" s="81">
        <f t="shared" si="85"/>
        <v>5111600</v>
      </c>
      <c r="Q228" s="253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7'!A154</f>
        <v>3242</v>
      </c>
      <c r="C229" s="118" t="str">
        <f>'дод 7'!B154</f>
        <v>1090</v>
      </c>
      <c r="D229" s="122" t="s">
        <v>667</v>
      </c>
      <c r="E229" s="81">
        <f t="shared" si="84"/>
        <v>280516645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</f>
        <v>280516645</v>
      </c>
      <c r="G229" s="81"/>
      <c r="H229" s="81"/>
      <c r="I229" s="81"/>
      <c r="J229" s="81">
        <f t="shared" si="89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5"/>
        <v>280516645</v>
      </c>
      <c r="Q229" s="253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5"/>
      <c r="C230" s="145"/>
      <c r="D230" s="144" t="s">
        <v>388</v>
      </c>
      <c r="E230" s="82">
        <f t="shared" si="84"/>
        <v>237600</v>
      </c>
      <c r="F230" s="82">
        <f>290400-14400-38400</f>
        <v>237600</v>
      </c>
      <c r="G230" s="82"/>
      <c r="H230" s="82"/>
      <c r="I230" s="82"/>
      <c r="J230" s="82">
        <f t="shared" si="89"/>
        <v>0</v>
      </c>
      <c r="K230" s="82"/>
      <c r="L230" s="82"/>
      <c r="M230" s="82"/>
      <c r="N230" s="82"/>
      <c r="O230" s="82"/>
      <c r="P230" s="82">
        <f t="shared" si="85"/>
        <v>237600</v>
      </c>
      <c r="Q230" s="253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7'!C203</f>
        <v>Будівництво1 установ та закладів соціальної сфери</v>
      </c>
      <c r="E231" s="81">
        <f t="shared" si="84"/>
        <v>0</v>
      </c>
      <c r="F231" s="81"/>
      <c r="G231" s="81"/>
      <c r="H231" s="81"/>
      <c r="I231" s="81"/>
      <c r="J231" s="81">
        <f t="shared" si="89"/>
        <v>0</v>
      </c>
      <c r="K231" s="81"/>
      <c r="L231" s="81"/>
      <c r="M231" s="81"/>
      <c r="N231" s="81"/>
      <c r="O231" s="81"/>
      <c r="P231" s="81">
        <f t="shared" si="85"/>
        <v>0</v>
      </c>
      <c r="Q231" s="253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8" t="s">
        <v>85</v>
      </c>
      <c r="D232" s="128" t="s">
        <v>413</v>
      </c>
      <c r="E232" s="81">
        <f t="shared" si="84"/>
        <v>70000</v>
      </c>
      <c r="F232" s="81">
        <v>70000</v>
      </c>
      <c r="G232" s="81"/>
      <c r="H232" s="81"/>
      <c r="I232" s="81"/>
      <c r="J232" s="81">
        <f t="shared" si="89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5"/>
        <v>96000</v>
      </c>
      <c r="Q232" s="253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7'!A273</f>
        <v>8751</v>
      </c>
      <c r="C233" s="118">
        <f>'дод 7'!B273</f>
        <v>1070</v>
      </c>
      <c r="D233" s="154" t="str">
        <f>'дод 7'!C273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0">L233+O233</f>
        <v>0</v>
      </c>
      <c r="K233" s="81"/>
      <c r="L233" s="81"/>
      <c r="M233" s="81"/>
      <c r="N233" s="81"/>
      <c r="O233" s="81"/>
      <c r="P233" s="81">
        <f t="shared" ref="P233" si="91">E233+J233</f>
        <v>0</v>
      </c>
      <c r="Q233" s="253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89"/>
        <v>0</v>
      </c>
      <c r="K234" s="81"/>
      <c r="L234" s="81"/>
      <c r="M234" s="81"/>
      <c r="N234" s="81"/>
      <c r="O234" s="81"/>
      <c r="P234" s="81">
        <f t="shared" si="85"/>
        <v>0</v>
      </c>
      <c r="Q234" s="253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7'!A286</f>
        <v>9770</v>
      </c>
      <c r="C235" s="118" t="str">
        <f>'дод 7'!B286</f>
        <v>0180</v>
      </c>
      <c r="D235" s="122" t="str">
        <f>'дод 7'!C286</f>
        <v>Інші субвенції з місцевого бюджету</v>
      </c>
      <c r="E235" s="81">
        <f t="shared" si="84"/>
        <v>0</v>
      </c>
      <c r="F235" s="81"/>
      <c r="G235" s="81"/>
      <c r="H235" s="81"/>
      <c r="I235" s="81"/>
      <c r="J235" s="81">
        <f t="shared" si="89"/>
        <v>0</v>
      </c>
      <c r="K235" s="81"/>
      <c r="L235" s="81"/>
      <c r="M235" s="81"/>
      <c r="N235" s="81"/>
      <c r="O235" s="81"/>
      <c r="P235" s="81">
        <f t="shared" si="85"/>
        <v>0</v>
      </c>
      <c r="Q235" s="25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2">F237</f>
        <v>6108547</v>
      </c>
      <c r="G236" s="79">
        <f t="shared" si="92"/>
        <v>4530500</v>
      </c>
      <c r="H236" s="79">
        <f t="shared" si="92"/>
        <v>94400</v>
      </c>
      <c r="I236" s="79">
        <f t="shared" si="92"/>
        <v>0</v>
      </c>
      <c r="J236" s="79">
        <f t="shared" si="92"/>
        <v>0</v>
      </c>
      <c r="K236" s="79">
        <f t="shared" ref="K236" si="93">K237</f>
        <v>0</v>
      </c>
      <c r="L236" s="79">
        <f t="shared" ref="L236" si="94">L237</f>
        <v>0</v>
      </c>
      <c r="M236" s="79">
        <f t="shared" ref="M236" si="95">M237</f>
        <v>0</v>
      </c>
      <c r="N236" s="79">
        <f t="shared" ref="N236" si="96">N237</f>
        <v>0</v>
      </c>
      <c r="O236" s="79">
        <f t="shared" ref="O236:P236" si="97">O237</f>
        <v>0</v>
      </c>
      <c r="P236" s="79">
        <f t="shared" si="97"/>
        <v>6108547</v>
      </c>
      <c r="Q236" s="253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8">F239+F240+F241+F243+F242</f>
        <v>6108547</v>
      </c>
      <c r="G237" s="80">
        <f t="shared" si="98"/>
        <v>4530500</v>
      </c>
      <c r="H237" s="80">
        <f t="shared" si="98"/>
        <v>94400</v>
      </c>
      <c r="I237" s="80">
        <f t="shared" si="98"/>
        <v>0</v>
      </c>
      <c r="J237" s="80">
        <f t="shared" si="98"/>
        <v>0</v>
      </c>
      <c r="K237" s="80">
        <f t="shared" si="98"/>
        <v>0</v>
      </c>
      <c r="L237" s="80">
        <f t="shared" si="98"/>
        <v>0</v>
      </c>
      <c r="M237" s="80">
        <f t="shared" si="98"/>
        <v>0</v>
      </c>
      <c r="N237" s="80">
        <f t="shared" si="98"/>
        <v>0</v>
      </c>
      <c r="O237" s="80">
        <f t="shared" si="98"/>
        <v>0</v>
      </c>
      <c r="P237" s="80">
        <f t="shared" si="98"/>
        <v>6108547</v>
      </c>
      <c r="Q237" s="253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5" t="s">
        <v>548</v>
      </c>
      <c r="E238" s="80">
        <f>E244</f>
        <v>0</v>
      </c>
      <c r="F238" s="80">
        <f t="shared" ref="F238:P238" si="99">F244</f>
        <v>0</v>
      </c>
      <c r="G238" s="80">
        <f t="shared" si="99"/>
        <v>0</v>
      </c>
      <c r="H238" s="80">
        <f t="shared" si="99"/>
        <v>0</v>
      </c>
      <c r="I238" s="80">
        <f t="shared" si="99"/>
        <v>0</v>
      </c>
      <c r="J238" s="80">
        <f t="shared" si="99"/>
        <v>0</v>
      </c>
      <c r="K238" s="80">
        <f t="shared" si="99"/>
        <v>0</v>
      </c>
      <c r="L238" s="80">
        <f t="shared" si="99"/>
        <v>0</v>
      </c>
      <c r="M238" s="80">
        <f t="shared" si="99"/>
        <v>0</v>
      </c>
      <c r="N238" s="80">
        <f t="shared" si="99"/>
        <v>0</v>
      </c>
      <c r="O238" s="80">
        <f t="shared" si="99"/>
        <v>0</v>
      </c>
      <c r="P238" s="80">
        <f t="shared" si="99"/>
        <v>0</v>
      </c>
      <c r="Q238" s="253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7'!A16</f>
        <v>0160</v>
      </c>
      <c r="C239" s="118" t="str">
        <f>'дод 7'!B16</f>
        <v>0111</v>
      </c>
      <c r="D239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0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</f>
        <v>94400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1">E239+J239</f>
        <v>5851724</v>
      </c>
      <c r="Q239" s="253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7'!C131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0"/>
        <v>105000</v>
      </c>
      <c r="F240" s="81">
        <v>105000</v>
      </c>
      <c r="G240" s="81"/>
      <c r="H240" s="81"/>
      <c r="I240" s="81"/>
      <c r="J240" s="81">
        <f t="shared" ref="J240:J244" si="102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1"/>
        <v>105000</v>
      </c>
      <c r="Q240" s="233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7'!A132</f>
        <v>3112</v>
      </c>
      <c r="C241" s="118" t="str">
        <f>'дод 7'!B132</f>
        <v>1040</v>
      </c>
      <c r="D241" s="122" t="str">
        <f>'дод 7'!C132</f>
        <v>Заходи державної політики з питань дітей та їх соціального захисту</v>
      </c>
      <c r="E241" s="81">
        <f t="shared" si="100"/>
        <v>151823</v>
      </c>
      <c r="F241" s="81">
        <f>25525+123300+2998</f>
        <v>151823</v>
      </c>
      <c r="G241" s="81"/>
      <c r="H241" s="81"/>
      <c r="I241" s="81"/>
      <c r="J241" s="81">
        <f t="shared" si="102"/>
        <v>0</v>
      </c>
      <c r="K241" s="81"/>
      <c r="L241" s="81"/>
      <c r="M241" s="81"/>
      <c r="N241" s="81"/>
      <c r="O241" s="81"/>
      <c r="P241" s="81">
        <f t="shared" si="101"/>
        <v>151823</v>
      </c>
      <c r="Q241" s="233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8" t="s">
        <v>55</v>
      </c>
      <c r="D242" s="128" t="s">
        <v>403</v>
      </c>
      <c r="E242" s="81">
        <f t="shared" si="100"/>
        <v>0</v>
      </c>
      <c r="F242" s="81"/>
      <c r="G242" s="81"/>
      <c r="H242" s="81"/>
      <c r="I242" s="81"/>
      <c r="J242" s="81">
        <f t="shared" si="102"/>
        <v>0</v>
      </c>
      <c r="K242" s="81"/>
      <c r="L242" s="81"/>
      <c r="M242" s="81"/>
      <c r="N242" s="81"/>
      <c r="O242" s="81"/>
      <c r="P242" s="81">
        <f t="shared" si="101"/>
        <v>0</v>
      </c>
      <c r="Q242" s="233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6" t="s">
        <v>425</v>
      </c>
      <c r="E243" s="81">
        <f t="shared" si="100"/>
        <v>0</v>
      </c>
      <c r="F243" s="81"/>
      <c r="G243" s="81"/>
      <c r="H243" s="81"/>
      <c r="I243" s="81"/>
      <c r="J243" s="81">
        <f t="shared" si="102"/>
        <v>0</v>
      </c>
      <c r="K243" s="81"/>
      <c r="L243" s="81"/>
      <c r="M243" s="81"/>
      <c r="N243" s="81"/>
      <c r="O243" s="81"/>
      <c r="P243" s="81">
        <f t="shared" si="101"/>
        <v>0</v>
      </c>
      <c r="Q243" s="233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5"/>
      <c r="C244" s="123"/>
      <c r="D244" s="157" t="s">
        <v>548</v>
      </c>
      <c r="E244" s="81">
        <f t="shared" si="100"/>
        <v>0</v>
      </c>
      <c r="F244" s="82"/>
      <c r="G244" s="82"/>
      <c r="H244" s="82"/>
      <c r="I244" s="82"/>
      <c r="J244" s="81">
        <f t="shared" si="102"/>
        <v>0</v>
      </c>
      <c r="K244" s="82"/>
      <c r="L244" s="82"/>
      <c r="M244" s="82"/>
      <c r="N244" s="82"/>
      <c r="O244" s="82"/>
      <c r="P244" s="81">
        <f t="shared" si="101"/>
        <v>0</v>
      </c>
      <c r="Q244" s="233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9"/>
      <c r="C245" s="149"/>
      <c r="D245" s="138" t="s">
        <v>330</v>
      </c>
      <c r="E245" s="79">
        <f>E246</f>
        <v>83825998</v>
      </c>
      <c r="F245" s="79">
        <f t="shared" ref="F245:J245" si="103">F246</f>
        <v>83825998</v>
      </c>
      <c r="G245" s="79">
        <f t="shared" si="103"/>
        <v>62607700</v>
      </c>
      <c r="H245" s="79">
        <f t="shared" si="103"/>
        <v>4305150</v>
      </c>
      <c r="I245" s="79">
        <f t="shared" si="103"/>
        <v>0</v>
      </c>
      <c r="J245" s="79">
        <f t="shared" si="103"/>
        <v>4102410</v>
      </c>
      <c r="K245" s="79">
        <f t="shared" ref="K245" si="104">K246</f>
        <v>1148000</v>
      </c>
      <c r="L245" s="79">
        <f t="shared" ref="L245" si="105">L246</f>
        <v>2952210</v>
      </c>
      <c r="M245" s="79">
        <f t="shared" ref="M245" si="106">M246</f>
        <v>2404980</v>
      </c>
      <c r="N245" s="79">
        <f t="shared" ref="N245" si="107">N246</f>
        <v>5490</v>
      </c>
      <c r="O245" s="79">
        <f t="shared" ref="O245:P245" si="108">O246</f>
        <v>1150200</v>
      </c>
      <c r="P245" s="79">
        <f t="shared" si="108"/>
        <v>87928408</v>
      </c>
      <c r="Q245" s="233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83825998</v>
      </c>
      <c r="F246" s="80">
        <f t="shared" ref="F246:P246" si="109">F247+F248+F249+F251+F252++F254+F250+F253+F255</f>
        <v>83825998</v>
      </c>
      <c r="G246" s="80">
        <f t="shared" si="109"/>
        <v>62607700</v>
      </c>
      <c r="H246" s="80">
        <f t="shared" si="109"/>
        <v>4305150</v>
      </c>
      <c r="I246" s="80">
        <f t="shared" si="109"/>
        <v>0</v>
      </c>
      <c r="J246" s="80">
        <f t="shared" si="109"/>
        <v>4102410</v>
      </c>
      <c r="K246" s="80">
        <f t="shared" si="109"/>
        <v>1148000</v>
      </c>
      <c r="L246" s="80">
        <f t="shared" si="109"/>
        <v>2952210</v>
      </c>
      <c r="M246" s="80">
        <f t="shared" si="109"/>
        <v>2404980</v>
      </c>
      <c r="N246" s="80">
        <f t="shared" si="109"/>
        <v>5490</v>
      </c>
      <c r="O246" s="80">
        <f t="shared" si="109"/>
        <v>1150200</v>
      </c>
      <c r="P246" s="80">
        <f t="shared" si="109"/>
        <v>87928408</v>
      </c>
      <c r="Q246" s="233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7'!A16</f>
        <v>0160</v>
      </c>
      <c r="C247" s="118" t="str">
        <f>'дод 7'!B16</f>
        <v>0111</v>
      </c>
      <c r="D24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0">F247+I247</f>
        <v>2022900</v>
      </c>
      <c r="F247" s="81">
        <f>2144800-114800-7100</f>
        <v>2022900</v>
      </c>
      <c r="G247" s="81">
        <f>1680400-94100</f>
        <v>1586300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1">E247+J247</f>
        <v>2022900</v>
      </c>
      <c r="Q247" s="233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7'!C62</f>
        <v>Надання спеціалізованої освіти мистецькими школами</v>
      </c>
      <c r="E248" s="81">
        <f t="shared" si="110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2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1"/>
        <v>52516390</v>
      </c>
      <c r="Q248" s="233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7'!A157</f>
        <v>4030</v>
      </c>
      <c r="C249" s="118" t="str">
        <f>'дод 7'!B157</f>
        <v>0824</v>
      </c>
      <c r="D249" s="122" t="str">
        <f>'дод 7'!C157</f>
        <v>Забезпечення діяльності бібліотек</v>
      </c>
      <c r="E249" s="81">
        <f t="shared" si="110"/>
        <v>24727148</v>
      </c>
      <c r="F249" s="81">
        <f>24915400+6848-195100</f>
        <v>24727148</v>
      </c>
      <c r="G249" s="81">
        <v>17520000</v>
      </c>
      <c r="H249" s="81">
        <f>2622200-195100</f>
        <v>2427100</v>
      </c>
      <c r="I249" s="81"/>
      <c r="J249" s="81">
        <f t="shared" si="112"/>
        <v>313000</v>
      </c>
      <c r="K249" s="81">
        <f>100000+198000</f>
        <v>298000</v>
      </c>
      <c r="L249" s="81">
        <v>15000</v>
      </c>
      <c r="M249" s="81">
        <v>7380</v>
      </c>
      <c r="N249" s="81"/>
      <c r="O249" s="81">
        <f>100000+198000</f>
        <v>298000</v>
      </c>
      <c r="P249" s="81">
        <f t="shared" si="111"/>
        <v>25040148</v>
      </c>
      <c r="Q249" s="233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7'!A158</f>
        <v>4060</v>
      </c>
      <c r="C250" s="118" t="str">
        <f>'дод 7'!B158</f>
        <v>0828</v>
      </c>
      <c r="D25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0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2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1"/>
        <v>4767270</v>
      </c>
      <c r="Q250" s="233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7'!A159</f>
        <v>4081</v>
      </c>
      <c r="C251" s="118" t="str">
        <f>'дод 7'!B159</f>
        <v>0829</v>
      </c>
      <c r="D251" s="122" t="str">
        <f>'дод 7'!C159</f>
        <v>Забезпечення діяльності інших закладів в галузі культури і мистецтва</v>
      </c>
      <c r="E251" s="81">
        <f t="shared" si="110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2"/>
        <v>0</v>
      </c>
      <c r="K251" s="81"/>
      <c r="L251" s="81"/>
      <c r="M251" s="81"/>
      <c r="N251" s="81"/>
      <c r="O251" s="81"/>
      <c r="P251" s="81">
        <f t="shared" si="111"/>
        <v>2565700</v>
      </c>
      <c r="Q251" s="233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7'!A160</f>
        <v>4082</v>
      </c>
      <c r="C252" s="118" t="str">
        <f>'дод 7'!B160</f>
        <v>0829</v>
      </c>
      <c r="D252" s="122" t="str">
        <f>'дод 7'!C160</f>
        <v>Інші заходи в галузі культури і мистецтва</v>
      </c>
      <c r="E252" s="81">
        <f t="shared" si="110"/>
        <v>1016000</v>
      </c>
      <c r="F252" s="81">
        <f>1260000+6000-250000</f>
        <v>1016000</v>
      </c>
      <c r="G252" s="81"/>
      <c r="H252" s="81"/>
      <c r="I252" s="81"/>
      <c r="J252" s="81">
        <f t="shared" si="112"/>
        <v>0</v>
      </c>
      <c r="K252" s="81"/>
      <c r="L252" s="81"/>
      <c r="M252" s="81"/>
      <c r="N252" s="81"/>
      <c r="O252" s="81"/>
      <c r="P252" s="81">
        <f t="shared" si="111"/>
        <v>1016000</v>
      </c>
      <c r="Q252" s="233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7'!C204</f>
        <v>Будівництво1 установ та закладів культури</v>
      </c>
      <c r="E253" s="81">
        <f t="shared" si="110"/>
        <v>0</v>
      </c>
      <c r="F253" s="81"/>
      <c r="G253" s="81"/>
      <c r="H253" s="81"/>
      <c r="I253" s="81"/>
      <c r="J253" s="81">
        <f t="shared" si="112"/>
        <v>0</v>
      </c>
      <c r="K253" s="81"/>
      <c r="L253" s="81"/>
      <c r="M253" s="81"/>
      <c r="N253" s="81"/>
      <c r="O253" s="81"/>
      <c r="P253" s="81">
        <f t="shared" si="111"/>
        <v>0</v>
      </c>
      <c r="Q253" s="233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7'!A239</f>
        <v>7640</v>
      </c>
      <c r="C254" s="118" t="str">
        <f>'дод 7'!B239</f>
        <v>0470</v>
      </c>
      <c r="D254" s="122" t="s">
        <v>413</v>
      </c>
      <c r="E254" s="81">
        <f t="shared" si="110"/>
        <v>0</v>
      </c>
      <c r="F254" s="81"/>
      <c r="G254" s="81"/>
      <c r="H254" s="81"/>
      <c r="I254" s="81"/>
      <c r="J254" s="81">
        <f t="shared" si="112"/>
        <v>0</v>
      </c>
      <c r="K254" s="81"/>
      <c r="L254" s="81"/>
      <c r="M254" s="81"/>
      <c r="N254" s="81"/>
      <c r="O254" s="81"/>
      <c r="P254" s="81">
        <f t="shared" si="111"/>
        <v>0</v>
      </c>
      <c r="Q254" s="233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7'!A265</f>
        <v>8340</v>
      </c>
      <c r="C255" s="118" t="str">
        <f>'дод 7'!B265</f>
        <v>0540</v>
      </c>
      <c r="D255" s="154" t="str">
        <f>'дод 7'!C265</f>
        <v>Природоохоронні заходи за рахунок цільових фондів</v>
      </c>
      <c r="E255" s="81">
        <f t="shared" si="110"/>
        <v>0</v>
      </c>
      <c r="F255" s="81"/>
      <c r="G255" s="81"/>
      <c r="H255" s="81"/>
      <c r="I255" s="81"/>
      <c r="J255" s="81">
        <f t="shared" si="112"/>
        <v>0</v>
      </c>
      <c r="K255" s="81"/>
      <c r="L255" s="81"/>
      <c r="M255" s="81"/>
      <c r="N255" s="81"/>
      <c r="O255" s="81"/>
      <c r="P255" s="81">
        <f t="shared" si="111"/>
        <v>0</v>
      </c>
      <c r="Q255" s="233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9"/>
      <c r="C256" s="149"/>
      <c r="D256" s="138" t="s">
        <v>31</v>
      </c>
      <c r="E256" s="79">
        <f>E257</f>
        <v>390669151</v>
      </c>
      <c r="F256" s="79">
        <f>F257</f>
        <v>343911522</v>
      </c>
      <c r="G256" s="79">
        <f t="shared" ref="G256:P256" si="113">G257</f>
        <v>11295300</v>
      </c>
      <c r="H256" s="79">
        <f t="shared" si="113"/>
        <v>16730400</v>
      </c>
      <c r="I256" s="79">
        <f t="shared" si="113"/>
        <v>46757629</v>
      </c>
      <c r="J256" s="79">
        <f>J257</f>
        <v>610537706.61000001</v>
      </c>
      <c r="K256" s="79">
        <f t="shared" si="113"/>
        <v>169946473.61000001</v>
      </c>
      <c r="L256" s="79">
        <f t="shared" si="113"/>
        <v>23868259</v>
      </c>
      <c r="M256" s="79">
        <f t="shared" si="113"/>
        <v>0</v>
      </c>
      <c r="N256" s="79">
        <f t="shared" si="113"/>
        <v>0</v>
      </c>
      <c r="O256" s="79">
        <f t="shared" si="113"/>
        <v>586669447.61000001</v>
      </c>
      <c r="P256" s="79">
        <f t="shared" si="113"/>
        <v>1001206857.61</v>
      </c>
      <c r="Q256" s="233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668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390669151</v>
      </c>
      <c r="F257" s="80">
        <f t="shared" ref="F257:P257" si="114">F267+F268+F269+F270+F271+F273+F274+F275+F276+F281+F282+F284+F286+F285+F288+F290+F294+F296+F298+F305+F306+F308+F313+F317+F319+F287+F303+F310+F309+F277+F279+F318+F316+F272+F315+F320+F314+F311+F280+F312+F302+F300+F297</f>
        <v>343911522</v>
      </c>
      <c r="G257" s="80">
        <f t="shared" si="114"/>
        <v>11295300</v>
      </c>
      <c r="H257" s="80">
        <f t="shared" si="114"/>
        <v>16730400</v>
      </c>
      <c r="I257" s="80">
        <f t="shared" si="114"/>
        <v>46757629</v>
      </c>
      <c r="J257" s="80">
        <f t="shared" si="114"/>
        <v>610537706.61000001</v>
      </c>
      <c r="K257" s="80">
        <f t="shared" si="114"/>
        <v>169946473.61000001</v>
      </c>
      <c r="L257" s="80">
        <f t="shared" si="114"/>
        <v>23868259</v>
      </c>
      <c r="M257" s="80">
        <f t="shared" si="114"/>
        <v>0</v>
      </c>
      <c r="N257" s="80">
        <f t="shared" si="114"/>
        <v>0</v>
      </c>
      <c r="O257" s="80">
        <f t="shared" si="114"/>
        <v>586669447.61000001</v>
      </c>
      <c r="P257" s="80">
        <f t="shared" si="114"/>
        <v>1001206857.61</v>
      </c>
      <c r="Q257" s="233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5">F304</f>
        <v>0</v>
      </c>
      <c r="G258" s="80">
        <f t="shared" si="115"/>
        <v>0</v>
      </c>
      <c r="H258" s="80">
        <f t="shared" si="115"/>
        <v>0</v>
      </c>
      <c r="I258" s="80">
        <f t="shared" si="115"/>
        <v>0</v>
      </c>
      <c r="J258" s="80">
        <f t="shared" si="115"/>
        <v>17709000</v>
      </c>
      <c r="K258" s="80">
        <f t="shared" si="115"/>
        <v>0</v>
      </c>
      <c r="L258" s="80">
        <f t="shared" si="115"/>
        <v>17709000</v>
      </c>
      <c r="M258" s="80">
        <f t="shared" si="115"/>
        <v>0</v>
      </c>
      <c r="N258" s="80">
        <f t="shared" si="115"/>
        <v>0</v>
      </c>
      <c r="O258" s="80">
        <f t="shared" si="115"/>
        <v>0</v>
      </c>
      <c r="P258" s="80">
        <f t="shared" si="115"/>
        <v>17709000</v>
      </c>
      <c r="Q258" s="233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6">F293</f>
        <v>0</v>
      </c>
      <c r="G259" s="80">
        <f t="shared" si="116"/>
        <v>0</v>
      </c>
      <c r="H259" s="80">
        <f t="shared" si="116"/>
        <v>0</v>
      </c>
      <c r="I259" s="80">
        <f t="shared" si="116"/>
        <v>0</v>
      </c>
      <c r="J259" s="80">
        <f t="shared" si="116"/>
        <v>0</v>
      </c>
      <c r="K259" s="80">
        <f t="shared" si="116"/>
        <v>0</v>
      </c>
      <c r="L259" s="80">
        <f t="shared" si="116"/>
        <v>0</v>
      </c>
      <c r="M259" s="80">
        <f t="shared" si="116"/>
        <v>0</v>
      </c>
      <c r="N259" s="80">
        <f t="shared" si="116"/>
        <v>0</v>
      </c>
      <c r="O259" s="80">
        <f t="shared" si="116"/>
        <v>0</v>
      </c>
      <c r="P259" s="80">
        <f t="shared" si="116"/>
        <v>0</v>
      </c>
      <c r="Q259" s="233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7">F289</f>
        <v>0</v>
      </c>
      <c r="G260" s="80">
        <f t="shared" si="117"/>
        <v>0</v>
      </c>
      <c r="H260" s="80">
        <f t="shared" si="117"/>
        <v>0</v>
      </c>
      <c r="I260" s="80">
        <f t="shared" si="117"/>
        <v>0</v>
      </c>
      <c r="J260" s="80">
        <f t="shared" si="117"/>
        <v>0</v>
      </c>
      <c r="K260" s="80">
        <f t="shared" si="117"/>
        <v>0</v>
      </c>
      <c r="L260" s="80">
        <f t="shared" si="117"/>
        <v>0</v>
      </c>
      <c r="M260" s="80">
        <f t="shared" si="117"/>
        <v>0</v>
      </c>
      <c r="N260" s="80">
        <f t="shared" si="117"/>
        <v>0</v>
      </c>
      <c r="O260" s="80">
        <f t="shared" si="117"/>
        <v>0</v>
      </c>
      <c r="P260" s="80">
        <f t="shared" si="117"/>
        <v>0</v>
      </c>
      <c r="Q260" s="233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5" t="s">
        <v>548</v>
      </c>
      <c r="E261" s="80">
        <f>E277</f>
        <v>0</v>
      </c>
      <c r="F261" s="80">
        <f t="shared" ref="F261:P261" si="118">F277</f>
        <v>0</v>
      </c>
      <c r="G261" s="80">
        <f t="shared" si="118"/>
        <v>0</v>
      </c>
      <c r="H261" s="80">
        <f t="shared" si="118"/>
        <v>0</v>
      </c>
      <c r="I261" s="80">
        <f t="shared" si="118"/>
        <v>0</v>
      </c>
      <c r="J261" s="80">
        <f t="shared" si="118"/>
        <v>0</v>
      </c>
      <c r="K261" s="80">
        <f t="shared" si="118"/>
        <v>0</v>
      </c>
      <c r="L261" s="80">
        <f t="shared" si="118"/>
        <v>0</v>
      </c>
      <c r="M261" s="80">
        <f t="shared" si="118"/>
        <v>0</v>
      </c>
      <c r="N261" s="80">
        <f t="shared" si="118"/>
        <v>0</v>
      </c>
      <c r="O261" s="80">
        <f t="shared" si="118"/>
        <v>0</v>
      </c>
      <c r="P261" s="80">
        <f t="shared" si="118"/>
        <v>0</v>
      </c>
      <c r="Q261" s="233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50" t="s">
        <v>388</v>
      </c>
      <c r="E262" s="80">
        <f t="shared" ref="E262:P262" si="119">E291+E295</f>
        <v>0</v>
      </c>
      <c r="F262" s="80">
        <f t="shared" si="119"/>
        <v>0</v>
      </c>
      <c r="G262" s="80">
        <f t="shared" si="119"/>
        <v>0</v>
      </c>
      <c r="H262" s="80">
        <f t="shared" si="119"/>
        <v>0</v>
      </c>
      <c r="I262" s="80">
        <f t="shared" si="119"/>
        <v>0</v>
      </c>
      <c r="J262" s="80">
        <f t="shared" si="119"/>
        <v>0</v>
      </c>
      <c r="K262" s="80">
        <f t="shared" si="119"/>
        <v>0</v>
      </c>
      <c r="L262" s="80">
        <f t="shared" si="119"/>
        <v>0</v>
      </c>
      <c r="M262" s="80">
        <f t="shared" si="119"/>
        <v>0</v>
      </c>
      <c r="N262" s="80">
        <f t="shared" si="119"/>
        <v>0</v>
      </c>
      <c r="O262" s="80">
        <f t="shared" si="119"/>
        <v>0</v>
      </c>
      <c r="P262" s="80">
        <f t="shared" si="119"/>
        <v>0</v>
      </c>
      <c r="Q262" s="233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50" t="s">
        <v>410</v>
      </c>
      <c r="E263" s="80">
        <f>E307</f>
        <v>0</v>
      </c>
      <c r="F263" s="80">
        <f t="shared" ref="F263:P263" si="120">F307</f>
        <v>0</v>
      </c>
      <c r="G263" s="80">
        <f t="shared" si="120"/>
        <v>0</v>
      </c>
      <c r="H263" s="80">
        <f t="shared" si="120"/>
        <v>0</v>
      </c>
      <c r="I263" s="80">
        <f t="shared" si="120"/>
        <v>0</v>
      </c>
      <c r="J263" s="80">
        <f t="shared" si="120"/>
        <v>0</v>
      </c>
      <c r="K263" s="80">
        <f t="shared" si="120"/>
        <v>0</v>
      </c>
      <c r="L263" s="80">
        <f t="shared" si="120"/>
        <v>0</v>
      </c>
      <c r="M263" s="80">
        <f t="shared" si="120"/>
        <v>0</v>
      </c>
      <c r="N263" s="80">
        <f t="shared" si="120"/>
        <v>0</v>
      </c>
      <c r="O263" s="80">
        <f t="shared" si="120"/>
        <v>0</v>
      </c>
      <c r="P263" s="80">
        <f t="shared" si="120"/>
        <v>0</v>
      </c>
      <c r="Q263" s="233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50" t="s">
        <v>692</v>
      </c>
      <c r="E264" s="80">
        <f>E283</f>
        <v>0</v>
      </c>
      <c r="F264" s="80">
        <f t="shared" ref="F264:P264" si="121">F283</f>
        <v>0</v>
      </c>
      <c r="G264" s="80">
        <f t="shared" si="121"/>
        <v>0</v>
      </c>
      <c r="H264" s="80">
        <f t="shared" si="121"/>
        <v>0</v>
      </c>
      <c r="I264" s="80">
        <f t="shared" si="121"/>
        <v>0</v>
      </c>
      <c r="J264" s="80">
        <f t="shared" si="121"/>
        <v>7344000</v>
      </c>
      <c r="K264" s="80">
        <f t="shared" si="121"/>
        <v>7344000</v>
      </c>
      <c r="L264" s="80">
        <f t="shared" si="121"/>
        <v>0</v>
      </c>
      <c r="M264" s="80">
        <f t="shared" si="121"/>
        <v>0</v>
      </c>
      <c r="N264" s="80">
        <f t="shared" si="121"/>
        <v>0</v>
      </c>
      <c r="O264" s="80">
        <f t="shared" si="121"/>
        <v>7344000</v>
      </c>
      <c r="P264" s="80">
        <f t="shared" si="121"/>
        <v>7344000</v>
      </c>
      <c r="Q264" s="233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50" t="s">
        <v>699</v>
      </c>
      <c r="E265" s="80">
        <f>E298</f>
        <v>0</v>
      </c>
      <c r="F265" s="80">
        <f t="shared" ref="F265:P265" si="122">F298</f>
        <v>0</v>
      </c>
      <c r="G265" s="80">
        <f t="shared" si="122"/>
        <v>0</v>
      </c>
      <c r="H265" s="80">
        <f t="shared" si="122"/>
        <v>0</v>
      </c>
      <c r="I265" s="80">
        <f t="shared" si="122"/>
        <v>0</v>
      </c>
      <c r="J265" s="80">
        <f t="shared" si="122"/>
        <v>400000000</v>
      </c>
      <c r="K265" s="80">
        <f t="shared" si="122"/>
        <v>0</v>
      </c>
      <c r="L265" s="80">
        <f t="shared" si="122"/>
        <v>0</v>
      </c>
      <c r="M265" s="80">
        <f t="shared" si="122"/>
        <v>0</v>
      </c>
      <c r="N265" s="80">
        <f t="shared" si="122"/>
        <v>0</v>
      </c>
      <c r="O265" s="80">
        <f t="shared" si="122"/>
        <v>400000000</v>
      </c>
      <c r="P265" s="80">
        <f t="shared" si="122"/>
        <v>400000000</v>
      </c>
      <c r="Q265" s="233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50" t="s">
        <v>727</v>
      </c>
      <c r="E266" s="80">
        <f>E301</f>
        <v>0</v>
      </c>
      <c r="F266" s="80">
        <f t="shared" ref="F266:P266" si="123">F301</f>
        <v>0</v>
      </c>
      <c r="G266" s="80">
        <f t="shared" si="123"/>
        <v>0</v>
      </c>
      <c r="H266" s="80">
        <f t="shared" si="123"/>
        <v>0</v>
      </c>
      <c r="I266" s="80">
        <f t="shared" si="123"/>
        <v>0</v>
      </c>
      <c r="J266" s="80">
        <f t="shared" si="123"/>
        <v>15622974</v>
      </c>
      <c r="K266" s="80">
        <f t="shared" si="123"/>
        <v>0</v>
      </c>
      <c r="L266" s="80">
        <f t="shared" si="123"/>
        <v>0</v>
      </c>
      <c r="M266" s="80">
        <f t="shared" si="123"/>
        <v>0</v>
      </c>
      <c r="N266" s="80">
        <f t="shared" si="123"/>
        <v>0</v>
      </c>
      <c r="O266" s="80">
        <f t="shared" si="123"/>
        <v>15622974</v>
      </c>
      <c r="P266" s="80">
        <f t="shared" si="123"/>
        <v>15622974</v>
      </c>
      <c r="Q266" s="237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7'!A16</f>
        <v>0160</v>
      </c>
      <c r="C267" s="117" t="str">
        <f>'дод 7'!B16</f>
        <v>0111</v>
      </c>
      <c r="D26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4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5">E267+J267</f>
        <v>14876700</v>
      </c>
      <c r="Q267" s="233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6" t="s">
        <v>239</v>
      </c>
      <c r="E268" s="81">
        <f t="shared" si="124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5"/>
        <v>0</v>
      </c>
      <c r="Q268" s="233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7'!A146</f>
        <v>3210</v>
      </c>
      <c r="C269" s="130" t="str">
        <f>'дод 7'!B146</f>
        <v>1050</v>
      </c>
      <c r="D269" s="119" t="str">
        <f>'дод 7'!C146</f>
        <v>Організація та проведення громадських робіт</v>
      </c>
      <c r="E269" s="81">
        <f t="shared" si="124"/>
        <v>0</v>
      </c>
      <c r="F269" s="81">
        <f>100000-100000</f>
        <v>0</v>
      </c>
      <c r="G269" s="81"/>
      <c r="H269" s="81"/>
      <c r="I269" s="81"/>
      <c r="J269" s="81">
        <f t="shared" ref="J269:J320" si="126">L269+O269</f>
        <v>0</v>
      </c>
      <c r="K269" s="81"/>
      <c r="L269" s="81"/>
      <c r="M269" s="81"/>
      <c r="N269" s="81"/>
      <c r="O269" s="81"/>
      <c r="P269" s="81">
        <f t="shared" si="125"/>
        <v>0</v>
      </c>
      <c r="Q269" s="233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7'!A172</f>
        <v>6011</v>
      </c>
      <c r="C270" s="118" t="str">
        <f>'дод 7'!B172</f>
        <v>0610</v>
      </c>
      <c r="D270" s="122" t="str">
        <f>'дод 7'!C172</f>
        <v>Експлуатація та технічне обслуговування житлового фонду</v>
      </c>
      <c r="E270" s="81">
        <f t="shared" si="124"/>
        <v>0</v>
      </c>
      <c r="F270" s="81"/>
      <c r="G270" s="81"/>
      <c r="H270" s="81"/>
      <c r="I270" s="81"/>
      <c r="J270" s="81">
        <f t="shared" si="126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5"/>
        <v>3068051</v>
      </c>
      <c r="Q270" s="233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7'!A173</f>
        <v>6013</v>
      </c>
      <c r="C271" s="118" t="str">
        <f>'дод 7'!B173</f>
        <v>0620</v>
      </c>
      <c r="D271" s="122" t="str">
        <f>'дод 7'!C173</f>
        <v>Забезпечення діяльності водопровідно-каналізаційного господарства</v>
      </c>
      <c r="E271" s="81">
        <f t="shared" si="124"/>
        <v>49540800</v>
      </c>
      <c r="F271" s="81">
        <f>450000+140000+40000+299000+5000000</f>
        <v>5929000</v>
      </c>
      <c r="G271" s="81"/>
      <c r="H271" s="81"/>
      <c r="I271" s="81">
        <f>36000000+500000+3000000+4111800</f>
        <v>43611800</v>
      </c>
      <c r="J271" s="81">
        <f t="shared" si="126"/>
        <v>0</v>
      </c>
      <c r="K271" s="81"/>
      <c r="L271" s="81"/>
      <c r="M271" s="81"/>
      <c r="N271" s="81"/>
      <c r="O271" s="81"/>
      <c r="P271" s="81">
        <f t="shared" si="125"/>
        <v>49540800</v>
      </c>
      <c r="Q271" s="23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7'!A174</f>
        <v>6014</v>
      </c>
      <c r="C272" s="118" t="str">
        <f>'дод 7'!B174</f>
        <v>0620</v>
      </c>
      <c r="D272" s="154" t="str">
        <f>'дод 7'!C174</f>
        <v>Забезпечення збору та вивезення сміття і відходів</v>
      </c>
      <c r="E272" s="81">
        <f t="shared" ref="E272" si="127">F272+I272</f>
        <v>0</v>
      </c>
      <c r="F272" s="81"/>
      <c r="G272" s="81"/>
      <c r="H272" s="81"/>
      <c r="I272" s="81"/>
      <c r="J272" s="81">
        <f t="shared" si="126"/>
        <v>0</v>
      </c>
      <c r="K272" s="81"/>
      <c r="L272" s="81"/>
      <c r="M272" s="81"/>
      <c r="N272" s="81"/>
      <c r="O272" s="81"/>
      <c r="P272" s="81">
        <f t="shared" ref="P272" si="128">E272+J272</f>
        <v>0</v>
      </c>
      <c r="Q272" s="233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7'!A175</f>
        <v>6015</v>
      </c>
      <c r="C273" s="118" t="str">
        <f>'дод 7'!B175</f>
        <v>0620</v>
      </c>
      <c r="D273" s="122" t="str">
        <f>'дод 7'!C175</f>
        <v>Забезпечення надійної та безперебійної експлуатації ліфтів</v>
      </c>
      <c r="E273" s="81">
        <f t="shared" si="124"/>
        <v>50000</v>
      </c>
      <c r="F273" s="81">
        <v>50000</v>
      </c>
      <c r="G273" s="81"/>
      <c r="H273" s="81"/>
      <c r="I273" s="81"/>
      <c r="J273" s="81">
        <f t="shared" si="126"/>
        <v>150000</v>
      </c>
      <c r="K273" s="81">
        <v>150000</v>
      </c>
      <c r="L273" s="81"/>
      <c r="M273" s="81"/>
      <c r="N273" s="81"/>
      <c r="O273" s="200">
        <v>150000</v>
      </c>
      <c r="P273" s="81">
        <f t="shared" si="125"/>
        <v>200000</v>
      </c>
      <c r="Q273" s="233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7'!A176</f>
        <v>6017</v>
      </c>
      <c r="C274" s="118" t="str">
        <f>'дод 7'!B176</f>
        <v>0620</v>
      </c>
      <c r="D274" s="122" t="str">
        <f>'дод 7'!C176</f>
        <v>Інша діяльність, пов’язана з експлуатацією об’єктів житлово-комунального господарства</v>
      </c>
      <c r="E274" s="81">
        <f t="shared" si="124"/>
        <v>450000</v>
      </c>
      <c r="F274" s="81">
        <f>50000+250000+150000</f>
        <v>450000</v>
      </c>
      <c r="G274" s="81"/>
      <c r="H274" s="81"/>
      <c r="I274" s="81"/>
      <c r="J274" s="81">
        <f t="shared" si="126"/>
        <v>0</v>
      </c>
      <c r="K274" s="81"/>
      <c r="L274" s="81"/>
      <c r="M274" s="81"/>
      <c r="N274" s="81"/>
      <c r="O274" s="81"/>
      <c r="P274" s="81">
        <f t="shared" si="125"/>
        <v>450000</v>
      </c>
      <c r="Q274" s="233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7'!A177</f>
        <v>6020</v>
      </c>
      <c r="C275" s="118" t="str">
        <f>'дод 7'!B177</f>
        <v>0620</v>
      </c>
      <c r="D275" s="122" t="str">
        <f>'дод 7'!C177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4"/>
        <v>583000</v>
      </c>
      <c r="F275" s="81"/>
      <c r="G275" s="81"/>
      <c r="H275" s="81"/>
      <c r="I275" s="81">
        <f>380000+203000</f>
        <v>583000</v>
      </c>
      <c r="J275" s="81">
        <f t="shared" si="126"/>
        <v>0</v>
      </c>
      <c r="K275" s="81"/>
      <c r="L275" s="81"/>
      <c r="M275" s="81"/>
      <c r="N275" s="81"/>
      <c r="O275" s="81"/>
      <c r="P275" s="81">
        <f t="shared" si="125"/>
        <v>583000</v>
      </c>
      <c r="Q275" s="233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7'!A178</f>
        <v>6030</v>
      </c>
      <c r="C276" s="118" t="str">
        <f>'дод 7'!B178</f>
        <v>0620</v>
      </c>
      <c r="D276" s="122" t="str">
        <f>'дод 7'!C178</f>
        <v>Організація благоустрою населених пунктів</v>
      </c>
      <c r="E276" s="81">
        <f t="shared" si="124"/>
        <v>263430050</v>
      </c>
      <c r="F276" s="81">
        <f>223985500-200000+30000000+10000000+1250000+5000000+1800000+4454550-95000+1000000+20000000-1000000-299000-8000000-707000-19550000+500000-2310000+4500000-2000000-5000000-99000+100000</f>
        <v>263330050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6"/>
        <v>7121293</v>
      </c>
      <c r="K276" s="81">
        <f>2106700+2814593+1000000+1200000</f>
        <v>7121293</v>
      </c>
      <c r="L276" s="81"/>
      <c r="M276" s="81"/>
      <c r="N276" s="81"/>
      <c r="O276" s="81">
        <f>2106700+2814593+1000000+1200000</f>
        <v>7121293</v>
      </c>
      <c r="P276" s="81">
        <f t="shared" si="125"/>
        <v>270551343</v>
      </c>
      <c r="Q276" s="233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6" t="s">
        <v>425</v>
      </c>
      <c r="E277" s="81">
        <f t="shared" si="124"/>
        <v>0</v>
      </c>
      <c r="F277" s="81"/>
      <c r="G277" s="81"/>
      <c r="H277" s="81"/>
      <c r="I277" s="81"/>
      <c r="J277" s="81">
        <f t="shared" si="126"/>
        <v>0</v>
      </c>
      <c r="K277" s="81"/>
      <c r="L277" s="81"/>
      <c r="M277" s="81"/>
      <c r="N277" s="81"/>
      <c r="O277" s="81"/>
      <c r="P277" s="81">
        <f t="shared" si="125"/>
        <v>0</v>
      </c>
      <c r="Q277" s="233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5"/>
      <c r="C278" s="123"/>
      <c r="D278" s="157" t="s">
        <v>548</v>
      </c>
      <c r="E278" s="81">
        <f t="shared" si="124"/>
        <v>0</v>
      </c>
      <c r="F278" s="82"/>
      <c r="G278" s="82"/>
      <c r="H278" s="82"/>
      <c r="I278" s="82"/>
      <c r="J278" s="81">
        <f t="shared" si="126"/>
        <v>0</v>
      </c>
      <c r="K278" s="82"/>
      <c r="L278" s="82"/>
      <c r="M278" s="82"/>
      <c r="N278" s="82"/>
      <c r="O278" s="82"/>
      <c r="P278" s="81">
        <f t="shared" si="125"/>
        <v>0</v>
      </c>
      <c r="Q278" s="233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7'!C179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4"/>
        <v>0</v>
      </c>
      <c r="F279" s="81"/>
      <c r="G279" s="81"/>
      <c r="H279" s="81"/>
      <c r="I279" s="81"/>
      <c r="J279" s="81">
        <f t="shared" si="126"/>
        <v>0</v>
      </c>
      <c r="K279" s="81"/>
      <c r="L279" s="81"/>
      <c r="M279" s="81"/>
      <c r="N279" s="81"/>
      <c r="O279" s="81"/>
      <c r="P279" s="81">
        <f t="shared" si="125"/>
        <v>0</v>
      </c>
      <c r="Q279" s="233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hidden="1" customHeight="1" x14ac:dyDescent="0.25">
      <c r="A280" s="117" t="s">
        <v>685</v>
      </c>
      <c r="B280" s="118">
        <f>'дод 7'!A183</f>
        <v>6086</v>
      </c>
      <c r="C280" s="118" t="str">
        <f>'дод 7'!B183</f>
        <v>0610</v>
      </c>
      <c r="D280" s="154" t="str">
        <f>'дод 7'!C183</f>
        <v>Інша діяльність щодо забезпечення житлом громадян</v>
      </c>
      <c r="E280" s="81">
        <f t="shared" si="124"/>
        <v>0</v>
      </c>
      <c r="F280" s="81">
        <f>5500000-5500000</f>
        <v>0</v>
      </c>
      <c r="G280" s="81"/>
      <c r="H280" s="81"/>
      <c r="I280" s="81"/>
      <c r="J280" s="81">
        <f t="shared" si="126"/>
        <v>0</v>
      </c>
      <c r="K280" s="81">
        <f>5000000+15000000+6500000-26500000</f>
        <v>0</v>
      </c>
      <c r="L280" s="81"/>
      <c r="M280" s="81"/>
      <c r="N280" s="81"/>
      <c r="O280" s="81">
        <f>5000000+15000000+6500000-26500000</f>
        <v>0</v>
      </c>
      <c r="P280" s="81">
        <f>E280+J280</f>
        <v>0</v>
      </c>
      <c r="Q280" s="233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7'!A184</f>
        <v>6090</v>
      </c>
      <c r="C281" s="118" t="str">
        <f>'дод 7'!B184</f>
        <v>0640</v>
      </c>
      <c r="D281" s="122" t="str">
        <f>'дод 7'!C184</f>
        <v>Інша діяльність у сфері житлово-комунального господарства</v>
      </c>
      <c r="E281" s="81">
        <f t="shared" si="124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29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5"/>
        <v>19732448</v>
      </c>
      <c r="Q281" s="233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7'!A198</f>
        <v>7310</v>
      </c>
      <c r="C282" s="118" t="str">
        <f>'дод 7'!B198</f>
        <v>0443</v>
      </c>
      <c r="D282" s="132" t="s">
        <v>695</v>
      </c>
      <c r="E282" s="81">
        <f t="shared" si="124"/>
        <v>0</v>
      </c>
      <c r="F282" s="81"/>
      <c r="G282" s="81"/>
      <c r="H282" s="81"/>
      <c r="I282" s="81"/>
      <c r="J282" s="81">
        <f t="shared" si="126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5"/>
        <v>56358134</v>
      </c>
      <c r="Q282" s="233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5"/>
      <c r="C283" s="145"/>
      <c r="D283" s="147" t="s">
        <v>692</v>
      </c>
      <c r="E283" s="81">
        <f t="shared" si="124"/>
        <v>0</v>
      </c>
      <c r="F283" s="82"/>
      <c r="G283" s="82"/>
      <c r="H283" s="82"/>
      <c r="I283" s="82"/>
      <c r="J283" s="82">
        <f t="shared" si="126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5"/>
        <v>7344000</v>
      </c>
      <c r="Q283" s="233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7'!A206</f>
        <v>7330</v>
      </c>
      <c r="C284" s="118" t="str">
        <f>'дод 7'!B206</f>
        <v>0443</v>
      </c>
      <c r="D284" s="132" t="str">
        <f>'дод 7'!C206</f>
        <v>Будівництво1 інших об'єктів комунальної власності</v>
      </c>
      <c r="E284" s="81">
        <f t="shared" si="124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5"/>
        <v>8129694</v>
      </c>
      <c r="Q284" s="233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7'!B205</f>
        <v>0443</v>
      </c>
      <c r="D285" s="122" t="str">
        <f>'дод 7'!C207</f>
        <v>Проектування, реставрація та охорона пам'яток архітектури</v>
      </c>
      <c r="E285" s="81">
        <f t="shared" si="124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0">E285+J285</f>
        <v>9240110</v>
      </c>
      <c r="Q285" s="233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7'!A209</f>
        <v>7361</v>
      </c>
      <c r="C286" s="118" t="str">
        <f>'дод 7'!B209</f>
        <v>0490</v>
      </c>
      <c r="D286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4"/>
        <v>0</v>
      </c>
      <c r="F286" s="81"/>
      <c r="G286" s="81"/>
      <c r="H286" s="81"/>
      <c r="I286" s="81"/>
      <c r="J286" s="81">
        <f t="shared" ref="J286:J296" si="131">L286+O286</f>
        <v>0</v>
      </c>
      <c r="K286" s="81"/>
      <c r="L286" s="81"/>
      <c r="M286" s="81"/>
      <c r="N286" s="81"/>
      <c r="O286" s="81"/>
      <c r="P286" s="81">
        <f t="shared" si="130"/>
        <v>0</v>
      </c>
      <c r="Q286" s="233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7'!A210</f>
        <v>7362</v>
      </c>
      <c r="C287" s="118" t="str">
        <f>'дод 7'!B210</f>
        <v>0490</v>
      </c>
      <c r="D287" s="122" t="str">
        <f>'дод 7'!C210</f>
        <v>Виконання інвестиційних проектів в рамках підтримки розвитку об'єднаних територіальних громад</v>
      </c>
      <c r="E287" s="81">
        <f t="shared" si="124"/>
        <v>0</v>
      </c>
      <c r="F287" s="81"/>
      <c r="G287" s="81"/>
      <c r="H287" s="81"/>
      <c r="I287" s="81"/>
      <c r="J287" s="81">
        <f t="shared" si="131"/>
        <v>0</v>
      </c>
      <c r="K287" s="81"/>
      <c r="L287" s="81"/>
      <c r="M287" s="81"/>
      <c r="N287" s="81"/>
      <c r="O287" s="81"/>
      <c r="P287" s="81">
        <f t="shared" si="130"/>
        <v>0</v>
      </c>
      <c r="Q287" s="233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8" t="s">
        <v>81</v>
      </c>
      <c r="D288" s="119" t="s">
        <v>575</v>
      </c>
      <c r="E288" s="81">
        <f t="shared" si="124"/>
        <v>0</v>
      </c>
      <c r="F288" s="81"/>
      <c r="G288" s="81"/>
      <c r="H288" s="81"/>
      <c r="I288" s="81"/>
      <c r="J288" s="81">
        <f t="shared" si="131"/>
        <v>0</v>
      </c>
      <c r="K288" s="81"/>
      <c r="L288" s="81"/>
      <c r="M288" s="81"/>
      <c r="N288" s="81"/>
      <c r="O288" s="81"/>
      <c r="P288" s="81">
        <f t="shared" si="130"/>
        <v>0</v>
      </c>
      <c r="Q288" s="233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5"/>
      <c r="C289" s="145"/>
      <c r="D289" s="125" t="s">
        <v>383</v>
      </c>
      <c r="E289" s="81">
        <f t="shared" si="124"/>
        <v>0</v>
      </c>
      <c r="F289" s="82"/>
      <c r="G289" s="82"/>
      <c r="H289" s="82"/>
      <c r="I289" s="82"/>
      <c r="J289" s="81">
        <f t="shared" si="131"/>
        <v>0</v>
      </c>
      <c r="K289" s="82"/>
      <c r="L289" s="82"/>
      <c r="M289" s="82"/>
      <c r="N289" s="82"/>
      <c r="O289" s="82"/>
      <c r="P289" s="81">
        <f t="shared" si="130"/>
        <v>0</v>
      </c>
      <c r="Q289" s="233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8" t="s">
        <v>81</v>
      </c>
      <c r="D290" s="119" t="s">
        <v>538</v>
      </c>
      <c r="E290" s="81">
        <f t="shared" si="124"/>
        <v>0</v>
      </c>
      <c r="F290" s="82"/>
      <c r="G290" s="82"/>
      <c r="H290" s="82"/>
      <c r="I290" s="82"/>
      <c r="J290" s="81">
        <f t="shared" si="131"/>
        <v>0</v>
      </c>
      <c r="K290" s="81"/>
      <c r="L290" s="81"/>
      <c r="M290" s="81"/>
      <c r="N290" s="81"/>
      <c r="O290" s="81"/>
      <c r="P290" s="81">
        <f t="shared" si="130"/>
        <v>0</v>
      </c>
      <c r="Q290" s="233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5"/>
      <c r="C291" s="145"/>
      <c r="D291" s="144" t="s">
        <v>388</v>
      </c>
      <c r="E291" s="81">
        <f t="shared" si="124"/>
        <v>0</v>
      </c>
      <c r="F291" s="82"/>
      <c r="G291" s="82"/>
      <c r="H291" s="82"/>
      <c r="I291" s="82"/>
      <c r="J291" s="81">
        <f t="shared" si="131"/>
        <v>0</v>
      </c>
      <c r="K291" s="82"/>
      <c r="L291" s="82"/>
      <c r="M291" s="82"/>
      <c r="N291" s="82"/>
      <c r="O291" s="82"/>
      <c r="P291" s="81">
        <f t="shared" si="130"/>
        <v>0</v>
      </c>
      <c r="Q291" s="233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5"/>
      <c r="C292" s="145"/>
      <c r="D292" s="125" t="s">
        <v>390</v>
      </c>
      <c r="E292" s="81">
        <f t="shared" si="124"/>
        <v>0</v>
      </c>
      <c r="F292" s="82"/>
      <c r="G292" s="82"/>
      <c r="H292" s="82"/>
      <c r="I292" s="82"/>
      <c r="J292" s="81">
        <f t="shared" si="131"/>
        <v>0</v>
      </c>
      <c r="K292" s="82"/>
      <c r="L292" s="82"/>
      <c r="M292" s="82"/>
      <c r="N292" s="82"/>
      <c r="O292" s="82"/>
      <c r="P292" s="81">
        <f t="shared" si="130"/>
        <v>0</v>
      </c>
      <c r="Q292" s="233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5"/>
      <c r="C293" s="123"/>
      <c r="D293" s="125" t="s">
        <v>504</v>
      </c>
      <c r="E293" s="81">
        <f t="shared" si="124"/>
        <v>0</v>
      </c>
      <c r="F293" s="82"/>
      <c r="G293" s="82"/>
      <c r="H293" s="82"/>
      <c r="I293" s="82"/>
      <c r="J293" s="81">
        <f t="shared" si="131"/>
        <v>0</v>
      </c>
      <c r="K293" s="82"/>
      <c r="L293" s="82"/>
      <c r="M293" s="82"/>
      <c r="N293" s="82"/>
      <c r="O293" s="82"/>
      <c r="P293" s="81">
        <f t="shared" si="130"/>
        <v>0</v>
      </c>
      <c r="Q293" s="233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4" t="s">
        <v>536</v>
      </c>
      <c r="E294" s="81">
        <f t="shared" si="124"/>
        <v>0</v>
      </c>
      <c r="F294" s="81"/>
      <c r="G294" s="82"/>
      <c r="H294" s="82"/>
      <c r="I294" s="82"/>
      <c r="J294" s="81">
        <f t="shared" si="131"/>
        <v>0</v>
      </c>
      <c r="K294" s="82"/>
      <c r="L294" s="82"/>
      <c r="M294" s="82"/>
      <c r="N294" s="82"/>
      <c r="O294" s="82"/>
      <c r="P294" s="81">
        <f t="shared" si="130"/>
        <v>0</v>
      </c>
      <c r="Q294" s="233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5"/>
      <c r="C295" s="123"/>
      <c r="D295" s="144" t="s">
        <v>388</v>
      </c>
      <c r="E295" s="81">
        <f t="shared" si="124"/>
        <v>0</v>
      </c>
      <c r="F295" s="82"/>
      <c r="G295" s="82"/>
      <c r="H295" s="82"/>
      <c r="I295" s="82"/>
      <c r="J295" s="81">
        <f t="shared" si="131"/>
        <v>0</v>
      </c>
      <c r="K295" s="82"/>
      <c r="L295" s="82"/>
      <c r="M295" s="82"/>
      <c r="N295" s="82"/>
      <c r="O295" s="82"/>
      <c r="P295" s="81">
        <f t="shared" si="130"/>
        <v>0</v>
      </c>
      <c r="Q295" s="233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6" t="s">
        <v>231</v>
      </c>
      <c r="E296" s="81">
        <f t="shared" si="124"/>
        <v>0</v>
      </c>
      <c r="F296" s="81"/>
      <c r="G296" s="82"/>
      <c r="H296" s="82"/>
      <c r="I296" s="82"/>
      <c r="J296" s="81">
        <f t="shared" si="131"/>
        <v>0</v>
      </c>
      <c r="K296" s="81"/>
      <c r="L296" s="81"/>
      <c r="M296" s="81"/>
      <c r="N296" s="81"/>
      <c r="O296" s="81"/>
      <c r="P296" s="81">
        <f t="shared" si="130"/>
        <v>0</v>
      </c>
      <c r="Q296" s="233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733</v>
      </c>
      <c r="B297" s="118">
        <f>'дод 7'!A216</f>
        <v>7375</v>
      </c>
      <c r="C297" s="118" t="str">
        <f>'дод 7'!B216</f>
        <v>0490</v>
      </c>
      <c r="D297" s="154" t="str">
        <f>'дод 7'!C216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26500000</v>
      </c>
      <c r="K297" s="81">
        <v>26500000</v>
      </c>
      <c r="L297" s="81"/>
      <c r="M297" s="81"/>
      <c r="N297" s="81"/>
      <c r="O297" s="81">
        <v>26500000</v>
      </c>
      <c r="P297" s="81">
        <f>E297+J297</f>
        <v>32000000</v>
      </c>
      <c r="Q297" s="237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697</v>
      </c>
      <c r="B298" s="118">
        <v>7383</v>
      </c>
      <c r="C298" s="117" t="s">
        <v>81</v>
      </c>
      <c r="D298" s="122" t="str">
        <f>'дод 7'!C217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4"/>
        <v>0</v>
      </c>
      <c r="F298" s="81"/>
      <c r="G298" s="82"/>
      <c r="H298" s="82"/>
      <c r="I298" s="82"/>
      <c r="J298" s="81">
        <f t="shared" si="126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5"/>
        <v>400000000</v>
      </c>
      <c r="Q298" s="233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4" t="str">
        <f>'дод 7'!C218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4"/>
        <v>0</v>
      </c>
      <c r="F299" s="81"/>
      <c r="G299" s="82"/>
      <c r="H299" s="82"/>
      <c r="I299" s="82"/>
      <c r="J299" s="82">
        <f t="shared" si="126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2">E299+J299</f>
        <v>400000000</v>
      </c>
      <c r="Q299" s="233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726</v>
      </c>
      <c r="B300" s="118">
        <f>'дод 7'!A219</f>
        <v>7384</v>
      </c>
      <c r="C300" s="118" t="str">
        <f>'дод 7'!B219</f>
        <v>0490</v>
      </c>
      <c r="D300" s="154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4"/>
        <v>0</v>
      </c>
      <c r="F300" s="81"/>
      <c r="G300" s="82"/>
      <c r="H300" s="82"/>
      <c r="I300" s="82"/>
      <c r="J300" s="81">
        <f t="shared" si="126"/>
        <v>15622974</v>
      </c>
      <c r="K300" s="81"/>
      <c r="L300" s="81"/>
      <c r="M300" s="81"/>
      <c r="N300" s="81"/>
      <c r="O300" s="81">
        <v>15622974</v>
      </c>
      <c r="P300" s="81">
        <f t="shared" si="132"/>
        <v>15622974</v>
      </c>
      <c r="Q300" s="237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36" t="s">
        <v>727</v>
      </c>
      <c r="E301" s="81">
        <f t="shared" si="124"/>
        <v>0</v>
      </c>
      <c r="F301" s="81"/>
      <c r="G301" s="82"/>
      <c r="H301" s="82"/>
      <c r="I301" s="82"/>
      <c r="J301" s="82">
        <f t="shared" si="126"/>
        <v>15622974</v>
      </c>
      <c r="K301" s="82"/>
      <c r="L301" s="82"/>
      <c r="M301" s="82"/>
      <c r="N301" s="82"/>
      <c r="O301" s="82">
        <v>15622974</v>
      </c>
      <c r="P301" s="82">
        <f t="shared" si="132"/>
        <v>15622974</v>
      </c>
      <c r="Q301" s="237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720</v>
      </c>
      <c r="B302" s="118" t="str">
        <f>'дод 7'!A231</f>
        <v>7461</v>
      </c>
      <c r="C302" s="118" t="str">
        <f>'дод 7'!B231</f>
        <v>0456</v>
      </c>
      <c r="D302" s="154" t="str">
        <f>'дод 7'!C231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3">F302+I302</f>
        <v>1967700</v>
      </c>
      <c r="F302" s="81">
        <v>1967700</v>
      </c>
      <c r="G302" s="82"/>
      <c r="H302" s="82"/>
      <c r="I302" s="82"/>
      <c r="J302" s="82">
        <f t="shared" si="126"/>
        <v>0</v>
      </c>
      <c r="K302" s="81"/>
      <c r="L302" s="81"/>
      <c r="M302" s="81"/>
      <c r="N302" s="81"/>
      <c r="O302" s="81"/>
      <c r="P302" s="81">
        <f t="shared" si="132"/>
        <v>1967700</v>
      </c>
      <c r="Q302" s="233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7'!A232</f>
        <v>7462</v>
      </c>
      <c r="C303" s="118" t="str">
        <f>'дод 7'!B232</f>
        <v>0456</v>
      </c>
      <c r="D303" s="154" t="str">
        <f>'дод 7'!C232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3"/>
        <v>0</v>
      </c>
      <c r="F303" s="81"/>
      <c r="G303" s="81"/>
      <c r="H303" s="81"/>
      <c r="I303" s="81"/>
      <c r="J303" s="81">
        <f>L303+O303</f>
        <v>17709000</v>
      </c>
      <c r="K303" s="81"/>
      <c r="L303" s="81">
        <v>17709000</v>
      </c>
      <c r="M303" s="81"/>
      <c r="N303" s="81"/>
      <c r="O303" s="81"/>
      <c r="P303" s="81">
        <f t="shared" si="132"/>
        <v>17709000</v>
      </c>
      <c r="Q303" s="233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36" t="s">
        <v>723</v>
      </c>
      <c r="E304" s="81">
        <f t="shared" si="133"/>
        <v>0</v>
      </c>
      <c r="F304" s="81"/>
      <c r="G304" s="81"/>
      <c r="H304" s="81"/>
      <c r="I304" s="81"/>
      <c r="J304" s="82">
        <f>L304+O304</f>
        <v>17709000</v>
      </c>
      <c r="K304" s="82"/>
      <c r="L304" s="82">
        <v>17709000</v>
      </c>
      <c r="M304" s="82"/>
      <c r="N304" s="82"/>
      <c r="O304" s="82"/>
      <c r="P304" s="82">
        <f t="shared" si="132"/>
        <v>17709000</v>
      </c>
      <c r="Q304" s="233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7'!A239</f>
        <v>7640</v>
      </c>
      <c r="C305" s="117" t="str">
        <f>'дод 7'!B239</f>
        <v>0470</v>
      </c>
      <c r="D305" s="122" t="s">
        <v>413</v>
      </c>
      <c r="E305" s="81">
        <f t="shared" si="124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6"/>
        <v>0</v>
      </c>
      <c r="K305" s="81"/>
      <c r="L305" s="81"/>
      <c r="M305" s="81"/>
      <c r="N305" s="81"/>
      <c r="O305" s="81"/>
      <c r="P305" s="81">
        <f t="shared" si="125"/>
        <v>1966786</v>
      </c>
      <c r="Q305" s="233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7'!A243</f>
        <v>7670</v>
      </c>
      <c r="C306" s="117" t="str">
        <f>'дод 7'!B243</f>
        <v>0490</v>
      </c>
      <c r="D306" s="122" t="str">
        <f>'дод 7'!C243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33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5"/>
      <c r="C307" s="145"/>
      <c r="D307" s="144" t="s">
        <v>410</v>
      </c>
      <c r="E307" s="82">
        <f t="shared" si="124"/>
        <v>0</v>
      </c>
      <c r="F307" s="82"/>
      <c r="G307" s="82"/>
      <c r="H307" s="82"/>
      <c r="I307" s="82"/>
      <c r="J307" s="82">
        <f t="shared" si="126"/>
        <v>0</v>
      </c>
      <c r="K307" s="82"/>
      <c r="L307" s="82"/>
      <c r="M307" s="82"/>
      <c r="N307" s="82"/>
      <c r="O307" s="82"/>
      <c r="P307" s="82">
        <f t="shared" si="125"/>
        <v>0</v>
      </c>
      <c r="Q307" s="233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4"/>
        <v>0</v>
      </c>
      <c r="F308" s="81"/>
      <c r="G308" s="81"/>
      <c r="H308" s="81"/>
      <c r="I308" s="81"/>
      <c r="J308" s="81">
        <f t="shared" si="126"/>
        <v>100000</v>
      </c>
      <c r="K308" s="81"/>
      <c r="L308" s="81">
        <v>100000</v>
      </c>
      <c r="M308" s="81"/>
      <c r="N308" s="81"/>
      <c r="O308" s="81"/>
      <c r="P308" s="81">
        <f t="shared" si="125"/>
        <v>100000</v>
      </c>
      <c r="Q308" s="233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7'!A256</f>
        <v>8110</v>
      </c>
      <c r="C309" s="130" t="str">
        <f>'дод 7'!B256</f>
        <v>0320</v>
      </c>
      <c r="D309" s="133" t="str">
        <f>'дод 7'!C256</f>
        <v>Заходи із запобігання та ліквідації надзвичайних ситуацій та наслідків стихійного лиха</v>
      </c>
      <c r="E309" s="81">
        <f t="shared" ref="E309:E318" si="134">F309+I309</f>
        <v>20148680</v>
      </c>
      <c r="F309" s="81">
        <f>2630680+8500000+3200000+2000000+300000+300000+50000+1000000+2168000</f>
        <v>20148680</v>
      </c>
      <c r="G309" s="81"/>
      <c r="H309" s="81"/>
      <c r="I309" s="81"/>
      <c r="J309" s="81">
        <f>L309+O309</f>
        <v>41154904</v>
      </c>
      <c r="K309" s="81">
        <f>20000000-2630680+16000000-2000000+700000+4975584+4110000</f>
        <v>41154904</v>
      </c>
      <c r="L309" s="81"/>
      <c r="M309" s="81"/>
      <c r="N309" s="81"/>
      <c r="O309" s="81">
        <f>20000000-2630680+16000000-2000000+700000+4975584+4110000</f>
        <v>41154904</v>
      </c>
      <c r="P309" s="81">
        <f t="shared" ref="P309:P312" si="135">E309+J309</f>
        <v>61303584</v>
      </c>
      <c r="Q309" s="233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7'!A260</f>
        <v>8230</v>
      </c>
      <c r="C310" s="130" t="str">
        <f>'дод 7'!B260</f>
        <v>0380</v>
      </c>
      <c r="D310" s="133" t="str">
        <f>'дод 7'!C260</f>
        <v>Інші заходи громадського порядку та безпеки</v>
      </c>
      <c r="E310" s="81">
        <f t="shared" si="134"/>
        <v>0</v>
      </c>
      <c r="F310" s="81"/>
      <c r="G310" s="81"/>
      <c r="H310" s="81"/>
      <c r="I310" s="81"/>
      <c r="J310" s="81">
        <f t="shared" ref="J310:J313" si="136">L310+O310</f>
        <v>0</v>
      </c>
      <c r="K310" s="81"/>
      <c r="L310" s="81"/>
      <c r="M310" s="81"/>
      <c r="N310" s="81"/>
      <c r="O310" s="81"/>
      <c r="P310" s="81">
        <f t="shared" si="135"/>
        <v>0</v>
      </c>
      <c r="Q310" s="197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684</v>
      </c>
      <c r="B311" s="130">
        <v>8240</v>
      </c>
      <c r="C311" s="130" t="str">
        <f>'дод 7'!B261</f>
        <v>0380</v>
      </c>
      <c r="D311" s="133" t="str">
        <f>'дод 7'!C261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5"/>
        <v>19000000</v>
      </c>
      <c r="Q311" s="197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687</v>
      </c>
      <c r="B312" s="130">
        <v>8312</v>
      </c>
      <c r="C312" s="129" t="s">
        <v>688</v>
      </c>
      <c r="D312" s="133" t="s">
        <v>689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5"/>
        <v>500000</v>
      </c>
      <c r="Q312" s="197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7'!A265</f>
        <v>8340</v>
      </c>
      <c r="C313" s="118" t="str">
        <f>'дод 7'!B265</f>
        <v>0540</v>
      </c>
      <c r="D313" s="122" t="str">
        <f>'дод 7'!C265</f>
        <v>Природоохоронні заходи за рахунок цільових фондів</v>
      </c>
      <c r="E313" s="81">
        <f t="shared" si="134"/>
        <v>0</v>
      </c>
      <c r="F313" s="81"/>
      <c r="G313" s="81"/>
      <c r="H313" s="81"/>
      <c r="I313" s="81"/>
      <c r="J313" s="81">
        <f t="shared" si="136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5"/>
        <v>2323000</v>
      </c>
      <c r="Q313" s="253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8">
        <v>8741</v>
      </c>
      <c r="C314" s="148">
        <v>610</v>
      </c>
      <c r="D314" s="128" t="s">
        <v>600</v>
      </c>
      <c r="E314" s="81">
        <f t="shared" si="134"/>
        <v>0</v>
      </c>
      <c r="F314" s="81"/>
      <c r="G314" s="81"/>
      <c r="H314" s="81"/>
      <c r="I314" s="81"/>
      <c r="J314" s="81">
        <f t="shared" si="126"/>
        <v>0</v>
      </c>
      <c r="K314" s="81"/>
      <c r="L314" s="81"/>
      <c r="M314" s="81"/>
      <c r="N314" s="81"/>
      <c r="O314" s="81"/>
      <c r="P314" s="81">
        <f t="shared" si="125"/>
        <v>0</v>
      </c>
      <c r="Q314" s="253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7'!A272</f>
        <v>8746</v>
      </c>
      <c r="C315" s="118">
        <f>'дод 7'!B272</f>
        <v>640</v>
      </c>
      <c r="D315" s="154" t="str">
        <f>'дод 7'!C272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4"/>
        <v>0</v>
      </c>
      <c r="F315" s="81"/>
      <c r="G315" s="81"/>
      <c r="H315" s="81"/>
      <c r="I315" s="81"/>
      <c r="J315" s="81">
        <f t="shared" ref="J315" si="137">L315+O315</f>
        <v>0</v>
      </c>
      <c r="K315" s="81"/>
      <c r="L315" s="81"/>
      <c r="M315" s="81"/>
      <c r="N315" s="81"/>
      <c r="O315" s="81"/>
      <c r="P315" s="81">
        <f t="shared" ref="P315" si="138">E315+J315</f>
        <v>0</v>
      </c>
      <c r="Q315" s="253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4"/>
        <v>0</v>
      </c>
      <c r="F316" s="81"/>
      <c r="G316" s="81"/>
      <c r="H316" s="81"/>
      <c r="I316" s="81"/>
      <c r="J316" s="81">
        <f t="shared" si="126"/>
        <v>0</v>
      </c>
      <c r="K316" s="81"/>
      <c r="L316" s="81"/>
      <c r="M316" s="81"/>
      <c r="N316" s="81"/>
      <c r="O316" s="81"/>
      <c r="P316" s="81">
        <f t="shared" si="125"/>
        <v>0</v>
      </c>
      <c r="Q316" s="253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4"/>
        <v>0</v>
      </c>
      <c r="F317" s="81"/>
      <c r="G317" s="81"/>
      <c r="H317" s="81"/>
      <c r="I317" s="81"/>
      <c r="J317" s="81">
        <f t="shared" si="126"/>
        <v>0</v>
      </c>
      <c r="K317" s="81"/>
      <c r="L317" s="81"/>
      <c r="M317" s="81"/>
      <c r="N317" s="81"/>
      <c r="O317" s="81"/>
      <c r="P317" s="81">
        <f t="shared" si="125"/>
        <v>0</v>
      </c>
      <c r="Q317" s="253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4"/>
        <v>0</v>
      </c>
      <c r="F318" s="81"/>
      <c r="G318" s="81"/>
      <c r="H318" s="81"/>
      <c r="I318" s="81"/>
      <c r="J318" s="81">
        <f t="shared" ref="J318" si="139">L318+O318</f>
        <v>0</v>
      </c>
      <c r="K318" s="81"/>
      <c r="L318" s="81"/>
      <c r="M318" s="81"/>
      <c r="N318" s="81"/>
      <c r="O318" s="81"/>
      <c r="P318" s="81">
        <f t="shared" si="125"/>
        <v>0</v>
      </c>
      <c r="Q318" s="253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7'!A286</f>
        <v>9770</v>
      </c>
      <c r="C319" s="118" t="str">
        <f>'дод 7'!B286</f>
        <v>0180</v>
      </c>
      <c r="D319" s="122" t="str">
        <f>'дод 7'!C286</f>
        <v>Інші субвенції з місцевого бюджету</v>
      </c>
      <c r="E319" s="81">
        <f t="shared" si="124"/>
        <v>3905746</v>
      </c>
      <c r="F319" s="81">
        <f>3192750+712996</f>
        <v>3905746</v>
      </c>
      <c r="G319" s="81"/>
      <c r="H319" s="81"/>
      <c r="I319" s="81"/>
      <c r="J319" s="81">
        <f t="shared" si="126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5"/>
        <v>13823533.609999999</v>
      </c>
      <c r="Q319" s="253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7'!A287</f>
        <v>9800</v>
      </c>
      <c r="C320" s="118" t="str">
        <f>'дод 7'!B287</f>
        <v>0180</v>
      </c>
      <c r="D320" s="154" t="str">
        <f>'дод 7'!C287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6"/>
        <v>0</v>
      </c>
      <c r="K320" s="81"/>
      <c r="L320" s="81"/>
      <c r="M320" s="81"/>
      <c r="N320" s="81"/>
      <c r="O320" s="81"/>
      <c r="P320" s="81">
        <f t="shared" si="125"/>
        <v>0</v>
      </c>
      <c r="Q320" s="253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9"/>
      <c r="C321" s="149"/>
      <c r="D321" s="138" t="s">
        <v>33</v>
      </c>
      <c r="E321" s="79">
        <f>E322</f>
        <v>778995.05</v>
      </c>
      <c r="F321" s="79">
        <f t="shared" ref="F321:J324" si="140">F322</f>
        <v>778995.05</v>
      </c>
      <c r="G321" s="79">
        <f t="shared" si="140"/>
        <v>620277.72</v>
      </c>
      <c r="H321" s="79">
        <f t="shared" si="140"/>
        <v>9318.73</v>
      </c>
      <c r="I321" s="79">
        <f t="shared" si="140"/>
        <v>0</v>
      </c>
      <c r="J321" s="79">
        <f t="shared" si="140"/>
        <v>0</v>
      </c>
      <c r="K321" s="79">
        <f t="shared" ref="K321:K324" si="141">K322</f>
        <v>0</v>
      </c>
      <c r="L321" s="79">
        <f t="shared" ref="L321:L324" si="142">L322</f>
        <v>0</v>
      </c>
      <c r="M321" s="79">
        <f t="shared" ref="M321:M324" si="143">M322</f>
        <v>0</v>
      </c>
      <c r="N321" s="79">
        <f t="shared" ref="N321:N324" si="144">N322</f>
        <v>0</v>
      </c>
      <c r="O321" s="79">
        <f t="shared" ref="O321:P324" si="145">O322</f>
        <v>0</v>
      </c>
      <c r="P321" s="79">
        <f t="shared" si="145"/>
        <v>778995.05</v>
      </c>
      <c r="Q321" s="253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0"/>
        <v>778995.05</v>
      </c>
      <c r="G322" s="80">
        <f t="shared" si="140"/>
        <v>620277.72</v>
      </c>
      <c r="H322" s="80">
        <f t="shared" si="140"/>
        <v>9318.73</v>
      </c>
      <c r="I322" s="80">
        <f t="shared" si="140"/>
        <v>0</v>
      </c>
      <c r="J322" s="80">
        <f t="shared" si="140"/>
        <v>0</v>
      </c>
      <c r="K322" s="80">
        <f t="shared" si="141"/>
        <v>0</v>
      </c>
      <c r="L322" s="80">
        <f t="shared" si="142"/>
        <v>0</v>
      </c>
      <c r="M322" s="80">
        <f t="shared" si="143"/>
        <v>0</v>
      </c>
      <c r="N322" s="80">
        <f t="shared" si="144"/>
        <v>0</v>
      </c>
      <c r="O322" s="80">
        <f t="shared" si="145"/>
        <v>0</v>
      </c>
      <c r="P322" s="80">
        <f t="shared" si="145"/>
        <v>778995.05</v>
      </c>
      <c r="Q322" s="253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7'!A16</f>
        <v>0160</v>
      </c>
      <c r="C323" s="118" t="str">
        <f>'дод 7'!B16</f>
        <v>0111</v>
      </c>
      <c r="D32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53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9"/>
      <c r="C324" s="149"/>
      <c r="D324" s="138" t="s">
        <v>638</v>
      </c>
      <c r="E324" s="79">
        <f>E325</f>
        <v>0</v>
      </c>
      <c r="F324" s="79">
        <f t="shared" si="140"/>
        <v>0</v>
      </c>
      <c r="G324" s="79">
        <f t="shared" si="140"/>
        <v>0</v>
      </c>
      <c r="H324" s="79">
        <f t="shared" si="140"/>
        <v>0</v>
      </c>
      <c r="I324" s="79">
        <f t="shared" si="140"/>
        <v>0</v>
      </c>
      <c r="J324" s="79">
        <f t="shared" si="140"/>
        <v>0</v>
      </c>
      <c r="K324" s="79">
        <f t="shared" si="141"/>
        <v>0</v>
      </c>
      <c r="L324" s="79">
        <f t="shared" si="142"/>
        <v>0</v>
      </c>
      <c r="M324" s="79">
        <f t="shared" si="143"/>
        <v>0</v>
      </c>
      <c r="N324" s="79">
        <f t="shared" si="144"/>
        <v>0</v>
      </c>
      <c r="O324" s="79">
        <f t="shared" si="145"/>
        <v>0</v>
      </c>
      <c r="P324" s="79">
        <f t="shared" si="145"/>
        <v>0</v>
      </c>
      <c r="Q324" s="253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6">F326+F327</f>
        <v>0</v>
      </c>
      <c r="G325" s="80">
        <f t="shared" si="146"/>
        <v>0</v>
      </c>
      <c r="H325" s="80">
        <f t="shared" si="146"/>
        <v>0</v>
      </c>
      <c r="I325" s="80">
        <f t="shared" si="146"/>
        <v>0</v>
      </c>
      <c r="J325" s="80">
        <f t="shared" si="146"/>
        <v>0</v>
      </c>
      <c r="K325" s="80">
        <f t="shared" si="146"/>
        <v>0</v>
      </c>
      <c r="L325" s="80">
        <f t="shared" si="146"/>
        <v>0</v>
      </c>
      <c r="M325" s="80">
        <f t="shared" si="146"/>
        <v>0</v>
      </c>
      <c r="N325" s="80">
        <f t="shared" si="146"/>
        <v>0</v>
      </c>
      <c r="O325" s="80">
        <f t="shared" si="146"/>
        <v>0</v>
      </c>
      <c r="P325" s="80">
        <f t="shared" si="146"/>
        <v>0</v>
      </c>
      <c r="Q325" s="253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7'!A16</f>
        <v>0160</v>
      </c>
      <c r="C326" s="118" t="str">
        <f>'дод 7'!B16</f>
        <v>0111</v>
      </c>
      <c r="D326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5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7'!A238</f>
        <v>7610</v>
      </c>
      <c r="C327" s="118" t="str">
        <f>'дод 7'!B238</f>
        <v>0411</v>
      </c>
      <c r="D327" s="154" t="str">
        <f>'дод 7'!C238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53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9"/>
      <c r="C328" s="149"/>
      <c r="D328" s="138" t="s">
        <v>32</v>
      </c>
      <c r="E328" s="79">
        <f>E329</f>
        <v>7873980</v>
      </c>
      <c r="F328" s="79">
        <f t="shared" ref="F328:J328" si="147">F329</f>
        <v>7873980</v>
      </c>
      <c r="G328" s="79">
        <f t="shared" si="147"/>
        <v>4969400</v>
      </c>
      <c r="H328" s="79">
        <f t="shared" si="147"/>
        <v>150200</v>
      </c>
      <c r="I328" s="79">
        <f t="shared" si="147"/>
        <v>0</v>
      </c>
      <c r="J328" s="79">
        <f t="shared" si="147"/>
        <v>236716872.55000001</v>
      </c>
      <c r="K328" s="79">
        <f t="shared" ref="K328" si="148">K329</f>
        <v>236433660</v>
      </c>
      <c r="L328" s="79">
        <f t="shared" ref="L328" si="149">L329</f>
        <v>152500</v>
      </c>
      <c r="M328" s="79">
        <f t="shared" ref="M328" si="150">M329</f>
        <v>0</v>
      </c>
      <c r="N328" s="79">
        <f t="shared" ref="N328" si="151">N329</f>
        <v>0</v>
      </c>
      <c r="O328" s="79">
        <f t="shared" ref="O328:P328" si="152">O329</f>
        <v>236564372.55000001</v>
      </c>
      <c r="P328" s="79">
        <f t="shared" si="152"/>
        <v>244590852.55000001</v>
      </c>
      <c r="Q328" s="253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3">SUM(F333+F334+F335+F336+F337+F338+F342+F343+F344+F345+F346+F348+F349+F350+F351+F353+F354+F347+F356+F357+F339+F340)</f>
        <v>7873980</v>
      </c>
      <c r="G329" s="80">
        <f t="shared" si="153"/>
        <v>4969400</v>
      </c>
      <c r="H329" s="80">
        <f t="shared" si="153"/>
        <v>150200</v>
      </c>
      <c r="I329" s="80">
        <f t="shared" si="153"/>
        <v>0</v>
      </c>
      <c r="J329" s="80">
        <f t="shared" si="153"/>
        <v>236716872.55000001</v>
      </c>
      <c r="K329" s="80">
        <f t="shared" si="153"/>
        <v>236433660</v>
      </c>
      <c r="L329" s="80">
        <f t="shared" si="153"/>
        <v>152500</v>
      </c>
      <c r="M329" s="80">
        <f t="shared" si="153"/>
        <v>0</v>
      </c>
      <c r="N329" s="80">
        <f t="shared" si="153"/>
        <v>0</v>
      </c>
      <c r="O329" s="80">
        <f t="shared" si="153"/>
        <v>236564372.55000001</v>
      </c>
      <c r="P329" s="80">
        <f t="shared" si="153"/>
        <v>244590852.55000001</v>
      </c>
      <c r="Q329" s="253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4">G352</f>
        <v>0</v>
      </c>
      <c r="H330" s="80">
        <f t="shared" si="154"/>
        <v>0</v>
      </c>
      <c r="I330" s="80">
        <f t="shared" si="154"/>
        <v>0</v>
      </c>
      <c r="J330" s="80">
        <f>J352</f>
        <v>0</v>
      </c>
      <c r="K330" s="80">
        <f t="shared" si="154"/>
        <v>0</v>
      </c>
      <c r="L330" s="80">
        <f t="shared" si="154"/>
        <v>0</v>
      </c>
      <c r="M330" s="80">
        <f t="shared" si="154"/>
        <v>0</v>
      </c>
      <c r="N330" s="80">
        <f t="shared" si="154"/>
        <v>0</v>
      </c>
      <c r="O330" s="80">
        <f t="shared" si="154"/>
        <v>0</v>
      </c>
      <c r="P330" s="80">
        <f>P352</f>
        <v>0</v>
      </c>
      <c r="Q330" s="253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705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5">K341</f>
        <v>6800000</v>
      </c>
      <c r="L331" s="80">
        <f t="shared" si="155"/>
        <v>0</v>
      </c>
      <c r="M331" s="80">
        <f t="shared" si="155"/>
        <v>0</v>
      </c>
      <c r="N331" s="80">
        <f t="shared" si="155"/>
        <v>0</v>
      </c>
      <c r="O331" s="80">
        <f t="shared" si="155"/>
        <v>6800000</v>
      </c>
      <c r="P331" s="80">
        <f t="shared" si="155"/>
        <v>6800000</v>
      </c>
      <c r="Q331" s="253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50" t="s">
        <v>410</v>
      </c>
      <c r="E332" s="80">
        <f>E355</f>
        <v>0</v>
      </c>
      <c r="F332" s="80">
        <f t="shared" ref="F332:P332" si="156">F355</f>
        <v>0</v>
      </c>
      <c r="G332" s="80">
        <f t="shared" si="156"/>
        <v>0</v>
      </c>
      <c r="H332" s="80">
        <f t="shared" si="156"/>
        <v>0</v>
      </c>
      <c r="I332" s="80">
        <f t="shared" si="156"/>
        <v>0</v>
      </c>
      <c r="J332" s="80">
        <f t="shared" si="156"/>
        <v>92214546</v>
      </c>
      <c r="K332" s="80">
        <f t="shared" si="156"/>
        <v>92214546</v>
      </c>
      <c r="L332" s="80">
        <f t="shared" si="156"/>
        <v>0</v>
      </c>
      <c r="M332" s="80">
        <f t="shared" si="156"/>
        <v>0</v>
      </c>
      <c r="N332" s="80">
        <f t="shared" si="156"/>
        <v>0</v>
      </c>
      <c r="O332" s="80">
        <f t="shared" si="156"/>
        <v>92214546</v>
      </c>
      <c r="P332" s="80">
        <f t="shared" si="156"/>
        <v>92214546</v>
      </c>
      <c r="Q332" s="253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7'!A16</f>
        <v>0160</v>
      </c>
      <c r="C333" s="118" t="str">
        <f>'дод 7'!B16</f>
        <v>0111</v>
      </c>
      <c r="D33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7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8">E333+J333</f>
        <v>6365400</v>
      </c>
      <c r="Q333" s="25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7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8"/>
        <v>48000000</v>
      </c>
      <c r="Q334" s="253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7"/>
        <v>0</v>
      </c>
      <c r="F335" s="81"/>
      <c r="G335" s="81"/>
      <c r="H335" s="81"/>
      <c r="I335" s="81"/>
      <c r="J335" s="81">
        <f t="shared" ref="J335:J340" si="159">L335+O335</f>
        <v>0</v>
      </c>
      <c r="K335" s="81"/>
      <c r="L335" s="81"/>
      <c r="M335" s="81"/>
      <c r="N335" s="81"/>
      <c r="O335" s="81"/>
      <c r="P335" s="81">
        <f t="shared" si="158"/>
        <v>0</v>
      </c>
      <c r="Q335" s="253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7"/>
        <v>0</v>
      </c>
      <c r="F336" s="81"/>
      <c r="G336" s="81"/>
      <c r="H336" s="81"/>
      <c r="I336" s="81"/>
      <c r="J336" s="81">
        <f t="shared" si="159"/>
        <v>0</v>
      </c>
      <c r="K336" s="81"/>
      <c r="L336" s="81"/>
      <c r="M336" s="81"/>
      <c r="N336" s="81"/>
      <c r="O336" s="81"/>
      <c r="P336" s="81">
        <f t="shared" si="158"/>
        <v>0</v>
      </c>
      <c r="Q336" s="25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7"/>
        <v>0</v>
      </c>
      <c r="F337" s="81"/>
      <c r="G337" s="81"/>
      <c r="H337" s="81"/>
      <c r="I337" s="81"/>
      <c r="J337" s="81">
        <f t="shared" si="159"/>
        <v>0</v>
      </c>
      <c r="K337" s="81"/>
      <c r="L337" s="81"/>
      <c r="M337" s="81"/>
      <c r="N337" s="81"/>
      <c r="O337" s="81"/>
      <c r="P337" s="81">
        <f t="shared" si="158"/>
        <v>0</v>
      </c>
      <c r="Q337" s="253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7'!A178</f>
        <v>6030</v>
      </c>
      <c r="C338" s="118" t="str">
        <f>'дод 7'!B178</f>
        <v>0620</v>
      </c>
      <c r="D338" s="122" t="str">
        <f>'дод 7'!C178</f>
        <v>Організація благоустрою населених пунктів</v>
      </c>
      <c r="E338" s="81">
        <f t="shared" si="157"/>
        <v>0</v>
      </c>
      <c r="F338" s="81"/>
      <c r="G338" s="81"/>
      <c r="H338" s="81"/>
      <c r="I338" s="81"/>
      <c r="J338" s="81">
        <f t="shared" si="159"/>
        <v>0</v>
      </c>
      <c r="K338" s="81"/>
      <c r="L338" s="81"/>
      <c r="M338" s="81"/>
      <c r="N338" s="81"/>
      <c r="O338" s="81"/>
      <c r="P338" s="81">
        <f t="shared" si="158"/>
        <v>0</v>
      </c>
      <c r="Q338" s="253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708</v>
      </c>
      <c r="B339" s="118">
        <v>1261</v>
      </c>
      <c r="C339" s="117" t="s">
        <v>57</v>
      </c>
      <c r="D339" s="122" t="s">
        <v>701</v>
      </c>
      <c r="E339" s="81">
        <f t="shared" si="157"/>
        <v>0</v>
      </c>
      <c r="F339" s="81"/>
      <c r="G339" s="81"/>
      <c r="H339" s="81"/>
      <c r="I339" s="81"/>
      <c r="J339" s="81">
        <f t="shared" si="159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8"/>
        <v>2924410</v>
      </c>
      <c r="Q339" s="253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709</v>
      </c>
      <c r="B340" s="118">
        <v>1262</v>
      </c>
      <c r="C340" s="117" t="s">
        <v>57</v>
      </c>
      <c r="D340" s="122" t="s">
        <v>710</v>
      </c>
      <c r="E340" s="81">
        <f t="shared" si="157"/>
        <v>0</v>
      </c>
      <c r="F340" s="81"/>
      <c r="G340" s="81"/>
      <c r="H340" s="81"/>
      <c r="I340" s="81"/>
      <c r="J340" s="81">
        <f t="shared" si="159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8"/>
        <v>6800000</v>
      </c>
      <c r="Q340" s="25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4" t="s">
        <v>705</v>
      </c>
      <c r="E341" s="81">
        <f t="shared" si="157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8"/>
        <v>6800000</v>
      </c>
      <c r="Q341" s="253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7'!A182</f>
        <v>6084</v>
      </c>
      <c r="C342" s="118" t="str">
        <f>'дод 7'!B182</f>
        <v>0610</v>
      </c>
      <c r="D342" s="122" t="str">
        <f>'дод 7'!C182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7"/>
        <v>0</v>
      </c>
      <c r="F342" s="81"/>
      <c r="G342" s="81"/>
      <c r="H342" s="81"/>
      <c r="I342" s="81"/>
      <c r="J342" s="81">
        <f t="shared" ref="J342:J365" si="160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8"/>
        <v>130712.55</v>
      </c>
      <c r="Q342" s="253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7'!A198</f>
        <v>7310</v>
      </c>
      <c r="C343" s="118" t="str">
        <f>'дод 7'!B198</f>
        <v>0443</v>
      </c>
      <c r="D343" s="122" t="s">
        <v>696</v>
      </c>
      <c r="E343" s="81">
        <f t="shared" si="157"/>
        <v>0</v>
      </c>
      <c r="F343" s="81"/>
      <c r="G343" s="81"/>
      <c r="H343" s="81"/>
      <c r="I343" s="81"/>
      <c r="J343" s="81">
        <f t="shared" si="160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8"/>
        <v>6043714</v>
      </c>
      <c r="Q343" s="253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7'!A200</f>
        <v>7321</v>
      </c>
      <c r="C344" s="118" t="str">
        <f>'дод 7'!B200</f>
        <v>0443</v>
      </c>
      <c r="D344" s="132" t="str">
        <f>'дод 7'!C200</f>
        <v>Будівництво1 освітніх установ та закладів</v>
      </c>
      <c r="E344" s="81">
        <f t="shared" si="157"/>
        <v>0</v>
      </c>
      <c r="F344" s="81"/>
      <c r="G344" s="81"/>
      <c r="H344" s="81"/>
      <c r="I344" s="81"/>
      <c r="J344" s="81">
        <f t="shared" si="160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8"/>
        <v>4541407</v>
      </c>
      <c r="Q344" s="253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7'!A202</f>
        <v>7322</v>
      </c>
      <c r="C345" s="118" t="str">
        <f>'дод 7'!B202</f>
        <v>0443</v>
      </c>
      <c r="D345" s="132" t="str">
        <f>'дод 7'!C202</f>
        <v>Будівництво1 медичних установ та закладів</v>
      </c>
      <c r="E345" s="81">
        <f t="shared" si="157"/>
        <v>0</v>
      </c>
      <c r="F345" s="81"/>
      <c r="G345" s="81"/>
      <c r="H345" s="81"/>
      <c r="I345" s="81"/>
      <c r="J345" s="81">
        <f t="shared" si="160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8"/>
        <v>9071975</v>
      </c>
      <c r="Q345" s="253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7'!C204</f>
        <v>Будівництво1 установ та закладів культури</v>
      </c>
      <c r="E346" s="81">
        <f t="shared" si="157"/>
        <v>0</v>
      </c>
      <c r="F346" s="81"/>
      <c r="G346" s="81"/>
      <c r="H346" s="81"/>
      <c r="I346" s="81"/>
      <c r="J346" s="81">
        <f t="shared" si="160"/>
        <v>0</v>
      </c>
      <c r="K346" s="81"/>
      <c r="L346" s="81"/>
      <c r="M346" s="81"/>
      <c r="N346" s="81"/>
      <c r="O346" s="81"/>
      <c r="P346" s="81">
        <f t="shared" si="158"/>
        <v>0</v>
      </c>
      <c r="Q346" s="253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7'!A205</f>
        <v>7325</v>
      </c>
      <c r="C347" s="117" t="s">
        <v>110</v>
      </c>
      <c r="D347" s="132" t="str">
        <f>'дод 7'!C205</f>
        <v>Будівництво1 споруд, установ та закладів фізичної культури і спорту</v>
      </c>
      <c r="E347" s="81">
        <f t="shared" si="157"/>
        <v>0</v>
      </c>
      <c r="F347" s="81"/>
      <c r="G347" s="81"/>
      <c r="H347" s="81"/>
      <c r="I347" s="81"/>
      <c r="J347" s="81">
        <f t="shared" si="160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8"/>
        <v>293385</v>
      </c>
      <c r="Q347" s="253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7'!A206</f>
        <v>7330</v>
      </c>
      <c r="C348" s="118" t="str">
        <f>'дод 7'!B206</f>
        <v>0443</v>
      </c>
      <c r="D348" s="132" t="str">
        <f>'дод 7'!C206</f>
        <v>Будівництво1 інших об'єктів комунальної власності</v>
      </c>
      <c r="E348" s="81">
        <f t="shared" si="157"/>
        <v>0</v>
      </c>
      <c r="F348" s="81"/>
      <c r="G348" s="81"/>
      <c r="H348" s="81"/>
      <c r="I348" s="81"/>
      <c r="J348" s="81">
        <f t="shared" si="160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8"/>
        <v>11811473</v>
      </c>
      <c r="Q348" s="25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7"/>
        <v>0</v>
      </c>
      <c r="F349" s="81"/>
      <c r="G349" s="81"/>
      <c r="H349" s="81"/>
      <c r="I349" s="81"/>
      <c r="J349" s="81">
        <f t="shared" si="160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8"/>
        <v>8709812</v>
      </c>
      <c r="Q349" s="253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7'!A209</f>
        <v>7361</v>
      </c>
      <c r="C350" s="118" t="str">
        <f>'дод 7'!B209</f>
        <v>0490</v>
      </c>
      <c r="D350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1">F350+I350</f>
        <v>0</v>
      </c>
      <c r="F350" s="81"/>
      <c r="G350" s="81"/>
      <c r="H350" s="81"/>
      <c r="I350" s="81"/>
      <c r="J350" s="81">
        <f t="shared" ref="J350" si="162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8"/>
        <v>16683471</v>
      </c>
      <c r="Q350" s="253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7"/>
        <v>0</v>
      </c>
      <c r="F351" s="81"/>
      <c r="G351" s="81"/>
      <c r="H351" s="81"/>
      <c r="I351" s="81"/>
      <c r="J351" s="81">
        <f t="shared" si="160"/>
        <v>0</v>
      </c>
      <c r="K351" s="81"/>
      <c r="L351" s="81"/>
      <c r="M351" s="81"/>
      <c r="N351" s="81"/>
      <c r="O351" s="81"/>
      <c r="P351" s="81">
        <f t="shared" si="158"/>
        <v>0</v>
      </c>
      <c r="Q351" s="253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5"/>
      <c r="C352" s="123"/>
      <c r="D352" s="125" t="s">
        <v>602</v>
      </c>
      <c r="E352" s="82">
        <f t="shared" si="157"/>
        <v>0</v>
      </c>
      <c r="F352" s="82"/>
      <c r="G352" s="82"/>
      <c r="H352" s="82"/>
      <c r="I352" s="82"/>
      <c r="J352" s="82">
        <f t="shared" ref="J352" si="163">L352+O352</f>
        <v>0</v>
      </c>
      <c r="K352" s="82"/>
      <c r="L352" s="82"/>
      <c r="M352" s="82"/>
      <c r="N352" s="82"/>
      <c r="O352" s="82"/>
      <c r="P352" s="82">
        <f t="shared" ref="P352" si="164">E352+J352</f>
        <v>0</v>
      </c>
      <c r="Q352" s="253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0"/>
        <v>0</v>
      </c>
      <c r="K353" s="81"/>
      <c r="L353" s="81"/>
      <c r="M353" s="81"/>
      <c r="N353" s="81"/>
      <c r="O353" s="81"/>
      <c r="P353" s="81">
        <f t="shared" si="158"/>
        <v>0</v>
      </c>
      <c r="Q353" s="253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7'!A239</f>
        <v>7640</v>
      </c>
      <c r="C354" s="118" t="str">
        <f>'дод 7'!B239</f>
        <v>0470</v>
      </c>
      <c r="D354" s="122" t="str">
        <f>'дод 7'!C239</f>
        <v>Заходи з енергозбереження, у т. ч. за рахунок:</v>
      </c>
      <c r="E354" s="81">
        <f t="shared" si="157"/>
        <v>1661080</v>
      </c>
      <c r="F354" s="81">
        <f>461080+1200000</f>
        <v>1661080</v>
      </c>
      <c r="G354" s="81"/>
      <c r="H354" s="81"/>
      <c r="I354" s="81"/>
      <c r="J354" s="81">
        <f t="shared" si="160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8"/>
        <v>123215093</v>
      </c>
      <c r="Q354" s="253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5"/>
      <c r="C355" s="145"/>
      <c r="D355" s="144" t="s">
        <v>410</v>
      </c>
      <c r="E355" s="82">
        <f t="shared" si="157"/>
        <v>0</v>
      </c>
      <c r="F355" s="82"/>
      <c r="G355" s="82"/>
      <c r="H355" s="82"/>
      <c r="I355" s="82"/>
      <c r="J355" s="82">
        <f t="shared" si="160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8"/>
        <v>92214546</v>
      </c>
      <c r="Q355" s="253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8" t="s">
        <v>81</v>
      </c>
      <c r="D356" s="122" t="s">
        <v>309</v>
      </c>
      <c r="E356" s="81">
        <f t="shared" si="157"/>
        <v>0</v>
      </c>
      <c r="F356" s="81"/>
      <c r="G356" s="81"/>
      <c r="H356" s="81"/>
      <c r="I356" s="81"/>
      <c r="J356" s="81">
        <f t="shared" si="160"/>
        <v>0</v>
      </c>
      <c r="K356" s="81"/>
      <c r="L356" s="81"/>
      <c r="M356" s="81"/>
      <c r="N356" s="81"/>
      <c r="O356" s="81"/>
      <c r="P356" s="81">
        <f t="shared" si="158"/>
        <v>0</v>
      </c>
      <c r="Q356" s="253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5">F357+I357</f>
        <v>0</v>
      </c>
      <c r="F357" s="81"/>
      <c r="G357" s="81"/>
      <c r="H357" s="81"/>
      <c r="I357" s="81"/>
      <c r="J357" s="81">
        <f t="shared" ref="J357" si="166">L357+O357</f>
        <v>0</v>
      </c>
      <c r="K357" s="81"/>
      <c r="L357" s="81"/>
      <c r="M357" s="81"/>
      <c r="N357" s="81"/>
      <c r="O357" s="81"/>
      <c r="P357" s="81">
        <f t="shared" ref="P357" si="167">E357+J357</f>
        <v>0</v>
      </c>
      <c r="Q357" s="253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9"/>
      <c r="C358" s="149"/>
      <c r="D358" s="138" t="s">
        <v>39</v>
      </c>
      <c r="E358" s="79">
        <f>E359</f>
        <v>1185642.93</v>
      </c>
      <c r="F358" s="79">
        <f t="shared" ref="F358:J358" si="168">F359</f>
        <v>1185642.93</v>
      </c>
      <c r="G358" s="79">
        <f t="shared" si="168"/>
        <v>947021.56</v>
      </c>
      <c r="H358" s="79">
        <f t="shared" si="168"/>
        <v>31827.29</v>
      </c>
      <c r="I358" s="79">
        <f t="shared" si="168"/>
        <v>0</v>
      </c>
      <c r="J358" s="79">
        <f t="shared" si="168"/>
        <v>0</v>
      </c>
      <c r="K358" s="79">
        <f t="shared" ref="K358" si="169">K359</f>
        <v>0</v>
      </c>
      <c r="L358" s="79">
        <f t="shared" ref="L358" si="170">L359</f>
        <v>0</v>
      </c>
      <c r="M358" s="79">
        <f t="shared" ref="M358" si="171">M359</f>
        <v>0</v>
      </c>
      <c r="N358" s="79">
        <f t="shared" ref="N358" si="172">N359</f>
        <v>0</v>
      </c>
      <c r="O358" s="79">
        <f t="shared" ref="O358:P358" si="173">O359</f>
        <v>0</v>
      </c>
      <c r="P358" s="79">
        <f t="shared" si="173"/>
        <v>1185642.93</v>
      </c>
      <c r="Q358" s="253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4">F360+F361+F363+F364+F365+F362</f>
        <v>1185642.93</v>
      </c>
      <c r="G359" s="80">
        <f t="shared" si="174"/>
        <v>947021.56</v>
      </c>
      <c r="H359" s="80">
        <f t="shared" si="174"/>
        <v>31827.29</v>
      </c>
      <c r="I359" s="80">
        <f t="shared" si="174"/>
        <v>0</v>
      </c>
      <c r="J359" s="80">
        <f t="shared" si="174"/>
        <v>0</v>
      </c>
      <c r="K359" s="80">
        <f t="shared" si="174"/>
        <v>0</v>
      </c>
      <c r="L359" s="80">
        <f t="shared" si="174"/>
        <v>0</v>
      </c>
      <c r="M359" s="80">
        <f t="shared" si="174"/>
        <v>0</v>
      </c>
      <c r="N359" s="80">
        <f t="shared" si="174"/>
        <v>0</v>
      </c>
      <c r="O359" s="80">
        <f t="shared" si="174"/>
        <v>0</v>
      </c>
      <c r="P359" s="80">
        <f t="shared" si="174"/>
        <v>1185642.93</v>
      </c>
      <c r="Q359" s="253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7'!A16</f>
        <v>0160</v>
      </c>
      <c r="C360" s="118" t="str">
        <f>'дод 7'!B16</f>
        <v>0111</v>
      </c>
      <c r="D360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5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0"/>
        <v>0</v>
      </c>
      <c r="K360" s="81"/>
      <c r="L360" s="81"/>
      <c r="M360" s="81"/>
      <c r="N360" s="81"/>
      <c r="O360" s="81"/>
      <c r="P360" s="81">
        <f t="shared" ref="P360:P365" si="176">E360+J360</f>
        <v>1177242.93</v>
      </c>
      <c r="Q360" s="253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7'!A184</f>
        <v>6090</v>
      </c>
      <c r="C361" s="118" t="str">
        <f>'дод 7'!B184</f>
        <v>0640</v>
      </c>
      <c r="D361" s="122" t="str">
        <f>'дод 7'!C184</f>
        <v>Інша діяльність у сфері житлово-комунального господарства</v>
      </c>
      <c r="E361" s="81">
        <f t="shared" si="175"/>
        <v>8400</v>
      </c>
      <c r="F361" s="81">
        <f>24000-15600</f>
        <v>8400</v>
      </c>
      <c r="G361" s="81"/>
      <c r="H361" s="81"/>
      <c r="I361" s="81"/>
      <c r="J361" s="81">
        <f t="shared" si="160"/>
        <v>0</v>
      </c>
      <c r="K361" s="81"/>
      <c r="L361" s="81"/>
      <c r="M361" s="81"/>
      <c r="N361" s="81"/>
      <c r="O361" s="81"/>
      <c r="P361" s="81">
        <f t="shared" si="176"/>
        <v>8400</v>
      </c>
      <c r="Q361" s="253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7'!C207</f>
        <v>Проектування, реставрація та охорона пам'яток архітектури</v>
      </c>
      <c r="E362" s="81">
        <f t="shared" si="175"/>
        <v>0</v>
      </c>
      <c r="F362" s="81"/>
      <c r="G362" s="81"/>
      <c r="H362" s="81"/>
      <c r="I362" s="81"/>
      <c r="J362" s="81">
        <f t="shared" si="160"/>
        <v>0</v>
      </c>
      <c r="K362" s="81"/>
      <c r="L362" s="81"/>
      <c r="M362" s="81"/>
      <c r="N362" s="81"/>
      <c r="O362" s="81"/>
      <c r="P362" s="81">
        <f t="shared" si="176"/>
        <v>0</v>
      </c>
      <c r="Q362" s="197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5"/>
        <v>0</v>
      </c>
      <c r="F363" s="81"/>
      <c r="G363" s="81"/>
      <c r="H363" s="81"/>
      <c r="I363" s="81"/>
      <c r="J363" s="81">
        <f t="shared" si="160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6"/>
        <v>0</v>
      </c>
      <c r="Q363" s="197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7'!C215</f>
        <v>Реалізація інших заходів щодо соціально-економічного розвитку територій</v>
      </c>
      <c r="E364" s="81">
        <f t="shared" si="175"/>
        <v>0</v>
      </c>
      <c r="F364" s="81"/>
      <c r="G364" s="81"/>
      <c r="H364" s="81"/>
      <c r="I364" s="81"/>
      <c r="J364" s="81">
        <f t="shared" ref="J364" si="177">L364+O364</f>
        <v>0</v>
      </c>
      <c r="K364" s="81"/>
      <c r="L364" s="81"/>
      <c r="M364" s="81"/>
      <c r="N364" s="81"/>
      <c r="O364" s="81"/>
      <c r="P364" s="81">
        <f t="shared" si="176"/>
        <v>0</v>
      </c>
      <c r="Q364" s="197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7'!A246</f>
        <v>7691</v>
      </c>
      <c r="C365" s="130" t="str">
        <f>'дод 7'!B246</f>
        <v>0490</v>
      </c>
      <c r="D365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5"/>
        <v>0</v>
      </c>
      <c r="F365" s="81"/>
      <c r="G365" s="81"/>
      <c r="H365" s="81"/>
      <c r="I365" s="81"/>
      <c r="J365" s="81">
        <f t="shared" si="160"/>
        <v>0</v>
      </c>
      <c r="K365" s="81"/>
      <c r="L365" s="81"/>
      <c r="M365" s="81"/>
      <c r="N365" s="81"/>
      <c r="O365" s="81"/>
      <c r="P365" s="81">
        <f t="shared" si="176"/>
        <v>0</v>
      </c>
      <c r="Q365" s="197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9"/>
      <c r="C366" s="149"/>
      <c r="D366" s="138" t="s">
        <v>41</v>
      </c>
      <c r="E366" s="79">
        <f>E367</f>
        <v>4334000</v>
      </c>
      <c r="F366" s="79">
        <f t="shared" ref="F366:J367" si="178">F367</f>
        <v>4334000</v>
      </c>
      <c r="G366" s="79">
        <f t="shared" si="178"/>
        <v>3271100</v>
      </c>
      <c r="H366" s="79">
        <f t="shared" si="178"/>
        <v>84900</v>
      </c>
      <c r="I366" s="79">
        <f t="shared" si="178"/>
        <v>0</v>
      </c>
      <c r="J366" s="79">
        <f t="shared" si="178"/>
        <v>0</v>
      </c>
      <c r="K366" s="79">
        <f t="shared" ref="K366:K367" si="179">K367</f>
        <v>0</v>
      </c>
      <c r="L366" s="79">
        <f t="shared" ref="L366:L367" si="180">L367</f>
        <v>0</v>
      </c>
      <c r="M366" s="79">
        <f t="shared" ref="M366:M367" si="181">M367</f>
        <v>0</v>
      </c>
      <c r="N366" s="79">
        <f t="shared" ref="N366:N367" si="182">N367</f>
        <v>0</v>
      </c>
      <c r="O366" s="79">
        <f t="shared" ref="O366:P367" si="183">O367</f>
        <v>0</v>
      </c>
      <c r="P366" s="79">
        <f t="shared" si="183"/>
        <v>4334000</v>
      </c>
      <c r="Q366" s="253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8"/>
        <v>4334000</v>
      </c>
      <c r="G367" s="80">
        <f t="shared" si="178"/>
        <v>3271100</v>
      </c>
      <c r="H367" s="80">
        <f t="shared" si="178"/>
        <v>84900</v>
      </c>
      <c r="I367" s="80">
        <f t="shared" si="178"/>
        <v>0</v>
      </c>
      <c r="J367" s="80">
        <f t="shared" si="178"/>
        <v>0</v>
      </c>
      <c r="K367" s="80">
        <f t="shared" si="179"/>
        <v>0</v>
      </c>
      <c r="L367" s="80">
        <f t="shared" si="180"/>
        <v>0</v>
      </c>
      <c r="M367" s="80">
        <f t="shared" si="181"/>
        <v>0</v>
      </c>
      <c r="N367" s="80">
        <f t="shared" si="182"/>
        <v>0</v>
      </c>
      <c r="O367" s="80">
        <f t="shared" si="183"/>
        <v>0</v>
      </c>
      <c r="P367" s="80">
        <f t="shared" si="183"/>
        <v>4334000</v>
      </c>
      <c r="Q367" s="253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7'!A16</f>
        <v>0160</v>
      </c>
      <c r="C368" s="118" t="str">
        <f>'дод 7'!B16</f>
        <v>0111</v>
      </c>
      <c r="D36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53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680</v>
      </c>
      <c r="B369" s="149"/>
      <c r="C369" s="149"/>
      <c r="D369" s="138" t="s">
        <v>638</v>
      </c>
      <c r="E369" s="79">
        <f>E370</f>
        <v>11561700.460000001</v>
      </c>
      <c r="F369" s="79">
        <f t="shared" ref="F369:P369" si="184">F370</f>
        <v>11211700.460000001</v>
      </c>
      <c r="G369" s="79">
        <f t="shared" si="184"/>
        <v>8566400</v>
      </c>
      <c r="H369" s="79">
        <f t="shared" si="184"/>
        <v>227501.27000000002</v>
      </c>
      <c r="I369" s="79">
        <f t="shared" si="184"/>
        <v>350000</v>
      </c>
      <c r="J369" s="79">
        <f t="shared" si="184"/>
        <v>0</v>
      </c>
      <c r="K369" s="79">
        <f t="shared" si="184"/>
        <v>0</v>
      </c>
      <c r="L369" s="79">
        <f t="shared" si="184"/>
        <v>0</v>
      </c>
      <c r="M369" s="79">
        <f t="shared" si="184"/>
        <v>0</v>
      </c>
      <c r="N369" s="79">
        <f t="shared" si="184"/>
        <v>0</v>
      </c>
      <c r="O369" s="79">
        <f t="shared" si="184"/>
        <v>0</v>
      </c>
      <c r="P369" s="79">
        <f t="shared" si="184"/>
        <v>11561700.460000001</v>
      </c>
      <c r="Q369" s="253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682</v>
      </c>
      <c r="B370" s="141"/>
      <c r="C370" s="141"/>
      <c r="D370" s="114" t="s">
        <v>638</v>
      </c>
      <c r="E370" s="80">
        <f>E371+E372</f>
        <v>11561700.460000001</v>
      </c>
      <c r="F370" s="80">
        <f>F371+F372</f>
        <v>11211700.460000001</v>
      </c>
      <c r="G370" s="80">
        <f t="shared" ref="G370:P370" si="185">G371+G372</f>
        <v>8566400</v>
      </c>
      <c r="H370" s="80">
        <f t="shared" si="185"/>
        <v>227501.27000000002</v>
      </c>
      <c r="I370" s="80">
        <f t="shared" si="185"/>
        <v>350000</v>
      </c>
      <c r="J370" s="80">
        <f t="shared" si="185"/>
        <v>0</v>
      </c>
      <c r="K370" s="80">
        <f t="shared" si="185"/>
        <v>0</v>
      </c>
      <c r="L370" s="80">
        <f t="shared" si="185"/>
        <v>0</v>
      </c>
      <c r="M370" s="80">
        <f t="shared" si="185"/>
        <v>0</v>
      </c>
      <c r="N370" s="80">
        <f t="shared" si="185"/>
        <v>0</v>
      </c>
      <c r="O370" s="80">
        <f t="shared" si="185"/>
        <v>0</v>
      </c>
      <c r="P370" s="80">
        <f t="shared" si="185"/>
        <v>11561700.460000001</v>
      </c>
      <c r="Q370" s="253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681</v>
      </c>
      <c r="B371" s="118" t="str">
        <f>'дод 7'!A16</f>
        <v>0160</v>
      </c>
      <c r="C371" s="118" t="str">
        <f>'дод 7'!B16</f>
        <v>0111</v>
      </c>
      <c r="D371" s="154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11041700.460000001</v>
      </c>
      <c r="F371" s="81">
        <f>10047900+33100+1405300+36380.46+78600+101320-625800-35100</f>
        <v>11041700.460000001</v>
      </c>
      <c r="G371" s="81">
        <f>7966500+1151900-513000-39000</f>
        <v>8566400</v>
      </c>
      <c r="H371" s="81">
        <f>122300+33100+5881.27+101320-35100</f>
        <v>227501.27000000002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11041700.460000001</v>
      </c>
      <c r="Q371" s="253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683</v>
      </c>
      <c r="B372" s="118" t="str">
        <f>'дод 7'!A238</f>
        <v>7610</v>
      </c>
      <c r="C372" s="118" t="str">
        <f>'дод 7'!B238</f>
        <v>0411</v>
      </c>
      <c r="D372" s="154" t="str">
        <f>'дод 7'!C238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53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9"/>
      <c r="C373" s="149"/>
      <c r="D373" s="138" t="s">
        <v>38</v>
      </c>
      <c r="E373" s="79">
        <f>E374</f>
        <v>0</v>
      </c>
      <c r="F373" s="79">
        <f t="shared" ref="F373:J373" si="186">F374</f>
        <v>0</v>
      </c>
      <c r="G373" s="79">
        <f t="shared" si="186"/>
        <v>0</v>
      </c>
      <c r="H373" s="79">
        <f t="shared" si="186"/>
        <v>0</v>
      </c>
      <c r="I373" s="79">
        <f t="shared" si="186"/>
        <v>0</v>
      </c>
      <c r="J373" s="79">
        <f t="shared" si="186"/>
        <v>0</v>
      </c>
      <c r="K373" s="79">
        <f t="shared" ref="K373" si="187">K374</f>
        <v>0</v>
      </c>
      <c r="L373" s="79">
        <f t="shared" ref="L373" si="188">L374</f>
        <v>0</v>
      </c>
      <c r="M373" s="79">
        <f t="shared" ref="M373" si="189">M374</f>
        <v>0</v>
      </c>
      <c r="N373" s="79">
        <f t="shared" ref="N373" si="190">N374</f>
        <v>0</v>
      </c>
      <c r="O373" s="79">
        <f t="shared" ref="O373" si="191">O374</f>
        <v>0</v>
      </c>
      <c r="P373" s="79">
        <f>P374</f>
        <v>0</v>
      </c>
      <c r="Q373" s="253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2">F375+F376++F377+F378+F379+F380</f>
        <v>0</v>
      </c>
      <c r="G374" s="80">
        <f t="shared" si="192"/>
        <v>0</v>
      </c>
      <c r="H374" s="80">
        <f t="shared" si="192"/>
        <v>0</v>
      </c>
      <c r="I374" s="80">
        <f t="shared" si="192"/>
        <v>0</v>
      </c>
      <c r="J374" s="80">
        <f t="shared" si="192"/>
        <v>0</v>
      </c>
      <c r="K374" s="80">
        <f>K375+K376++K377+K378+K379+K380</f>
        <v>0</v>
      </c>
      <c r="L374" s="80">
        <f t="shared" si="192"/>
        <v>0</v>
      </c>
      <c r="M374" s="80">
        <f t="shared" si="192"/>
        <v>0</v>
      </c>
      <c r="N374" s="80">
        <f t="shared" si="192"/>
        <v>0</v>
      </c>
      <c r="O374" s="80">
        <f t="shared" si="192"/>
        <v>0</v>
      </c>
      <c r="P374" s="80">
        <f t="shared" si="192"/>
        <v>0</v>
      </c>
      <c r="Q374" s="253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7'!A16</f>
        <v>0160</v>
      </c>
      <c r="C375" s="118" t="str">
        <f>'дод 7'!B16</f>
        <v>0111</v>
      </c>
      <c r="D375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3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4">E375+J375</f>
        <v>0</v>
      </c>
      <c r="Q375" s="253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60" customFormat="1" ht="21" hidden="1" customHeight="1" x14ac:dyDescent="0.25">
      <c r="A376" s="117" t="s">
        <v>213</v>
      </c>
      <c r="B376" s="118" t="str">
        <f>'дод 7'!A194</f>
        <v>7130</v>
      </c>
      <c r="C376" s="118" t="str">
        <f>'дод 7'!B194</f>
        <v>0421</v>
      </c>
      <c r="D376" s="122" t="str">
        <f>'дод 7'!C194</f>
        <v>Здійснення заходів із землеустрою</v>
      </c>
      <c r="E376" s="81">
        <f t="shared" si="193"/>
        <v>0</v>
      </c>
      <c r="F376" s="81"/>
      <c r="G376" s="81"/>
      <c r="H376" s="81"/>
      <c r="I376" s="81"/>
      <c r="J376" s="81">
        <f t="shared" ref="J376:J380" si="195">L376+O376</f>
        <v>0</v>
      </c>
      <c r="K376" s="81"/>
      <c r="L376" s="81"/>
      <c r="M376" s="81"/>
      <c r="N376" s="81"/>
      <c r="O376" s="81"/>
      <c r="P376" s="81">
        <f t="shared" si="194"/>
        <v>0</v>
      </c>
      <c r="Q376" s="253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  <c r="AU376" s="159"/>
      <c r="AV376" s="159"/>
      <c r="AW376" s="159"/>
      <c r="AX376" s="159"/>
      <c r="AY376" s="159"/>
      <c r="AZ376" s="159"/>
      <c r="BA376" s="159"/>
      <c r="BB376" s="159"/>
      <c r="BC376" s="159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  <c r="BZ376" s="159"/>
      <c r="CA376" s="159"/>
      <c r="CB376" s="159"/>
      <c r="CC376" s="159"/>
      <c r="CD376" s="159"/>
      <c r="CE376" s="159"/>
      <c r="CF376" s="159"/>
      <c r="CG376" s="159"/>
      <c r="CH376" s="159"/>
      <c r="CI376" s="159"/>
      <c r="CJ376" s="159"/>
      <c r="CK376" s="159"/>
      <c r="CL376" s="159"/>
      <c r="CM376" s="159"/>
      <c r="CN376" s="159"/>
      <c r="CO376" s="159"/>
      <c r="CP376" s="159"/>
      <c r="CQ376" s="159"/>
      <c r="CR376" s="159"/>
      <c r="CS376" s="159"/>
      <c r="CT376" s="159"/>
      <c r="CU376" s="159"/>
      <c r="CV376" s="159"/>
      <c r="CW376" s="159"/>
      <c r="CX376" s="159"/>
      <c r="CY376" s="159"/>
      <c r="CZ376" s="159"/>
      <c r="DA376" s="159"/>
      <c r="DB376" s="159"/>
      <c r="DC376" s="159"/>
      <c r="DD376" s="159"/>
      <c r="DE376" s="159"/>
      <c r="DF376" s="159"/>
      <c r="DG376" s="159"/>
      <c r="DH376" s="159"/>
      <c r="DI376" s="159"/>
      <c r="DJ376" s="159"/>
      <c r="DK376" s="159"/>
      <c r="DL376" s="159"/>
      <c r="DM376" s="159"/>
      <c r="DN376" s="159"/>
      <c r="DO376" s="159"/>
      <c r="DP376" s="159"/>
      <c r="DQ376" s="159"/>
      <c r="DR376" s="159"/>
      <c r="DS376" s="159"/>
      <c r="DT376" s="159"/>
      <c r="DU376" s="159"/>
      <c r="DV376" s="159"/>
      <c r="DW376" s="159"/>
      <c r="DX376" s="159"/>
      <c r="DY376" s="159"/>
      <c r="DZ376" s="159"/>
      <c r="EA376" s="159"/>
      <c r="EB376" s="159"/>
      <c r="EC376" s="159"/>
      <c r="ED376" s="159"/>
      <c r="EE376" s="159"/>
      <c r="EF376" s="159"/>
      <c r="EG376" s="159"/>
      <c r="EH376" s="159"/>
      <c r="EI376" s="159"/>
      <c r="EJ376" s="159"/>
      <c r="EK376" s="159"/>
      <c r="EL376" s="159"/>
      <c r="EM376" s="159"/>
      <c r="EN376" s="159"/>
      <c r="EO376" s="159"/>
      <c r="EP376" s="159"/>
      <c r="EQ376" s="159"/>
      <c r="ER376" s="159"/>
      <c r="ES376" s="159"/>
      <c r="ET376" s="159"/>
      <c r="EU376" s="159"/>
      <c r="EV376" s="159"/>
      <c r="EW376" s="159"/>
      <c r="EX376" s="159"/>
      <c r="EY376" s="159"/>
      <c r="EZ376" s="159"/>
      <c r="FA376" s="159"/>
      <c r="FB376" s="159"/>
      <c r="FC376" s="159"/>
      <c r="FD376" s="159"/>
      <c r="FE376" s="159"/>
      <c r="FF376" s="159"/>
      <c r="FG376" s="159"/>
      <c r="FH376" s="159"/>
      <c r="FI376" s="159"/>
      <c r="FJ376" s="159"/>
      <c r="FK376" s="159"/>
      <c r="FL376" s="159"/>
      <c r="FM376" s="159"/>
      <c r="FN376" s="159"/>
      <c r="FO376" s="159"/>
      <c r="FP376" s="159"/>
      <c r="FQ376" s="159"/>
      <c r="FR376" s="159"/>
      <c r="FS376" s="159"/>
      <c r="FT376" s="159"/>
      <c r="FU376" s="159"/>
      <c r="FV376" s="159"/>
      <c r="FW376" s="159"/>
      <c r="FX376" s="159"/>
      <c r="FY376" s="159"/>
      <c r="FZ376" s="159"/>
      <c r="GA376" s="159"/>
      <c r="GB376" s="159"/>
      <c r="GC376" s="159"/>
      <c r="GD376" s="159"/>
      <c r="GE376" s="159"/>
      <c r="GF376" s="159"/>
      <c r="GG376" s="159"/>
      <c r="GH376" s="159"/>
      <c r="GI376" s="159"/>
      <c r="GJ376" s="159"/>
      <c r="GK376" s="159"/>
      <c r="GL376" s="159"/>
      <c r="GM376" s="159"/>
      <c r="GN376" s="159"/>
      <c r="GO376" s="159"/>
      <c r="GP376" s="159"/>
      <c r="GQ376" s="159"/>
      <c r="GR376" s="159"/>
      <c r="GS376" s="159"/>
      <c r="GT376" s="159"/>
      <c r="GU376" s="159"/>
      <c r="GV376" s="159"/>
      <c r="GW376" s="159"/>
      <c r="GX376" s="159"/>
      <c r="GY376" s="159"/>
      <c r="GZ376" s="159"/>
      <c r="HA376" s="159"/>
      <c r="HB376" s="159"/>
      <c r="HC376" s="159"/>
      <c r="HD376" s="159"/>
      <c r="HE376" s="159"/>
      <c r="HF376" s="159"/>
      <c r="HG376" s="159"/>
      <c r="HH376" s="159"/>
      <c r="HI376" s="159"/>
      <c r="HJ376" s="159"/>
      <c r="HK376" s="159"/>
      <c r="HL376" s="159"/>
      <c r="HM376" s="159"/>
      <c r="HN376" s="159"/>
      <c r="HO376" s="159"/>
      <c r="HP376" s="159"/>
      <c r="HQ376" s="159"/>
      <c r="HR376" s="159"/>
      <c r="HS376" s="159"/>
      <c r="HT376" s="159"/>
      <c r="HU376" s="159"/>
      <c r="HV376" s="159"/>
      <c r="HW376" s="159"/>
      <c r="HX376" s="159"/>
      <c r="HY376" s="159"/>
      <c r="HZ376" s="159"/>
      <c r="IA376" s="159"/>
      <c r="IB376" s="159"/>
      <c r="IC376" s="159"/>
      <c r="ID376" s="159"/>
      <c r="IE376" s="159"/>
      <c r="IF376" s="159"/>
      <c r="IG376" s="159"/>
      <c r="IH376" s="159"/>
      <c r="II376" s="159"/>
      <c r="IJ376" s="159"/>
      <c r="IK376" s="159"/>
      <c r="IL376" s="159"/>
      <c r="IM376" s="159"/>
      <c r="IN376" s="159"/>
      <c r="IO376" s="159"/>
      <c r="IP376" s="159"/>
      <c r="IQ376" s="159"/>
      <c r="IR376" s="159"/>
      <c r="IS376" s="159"/>
      <c r="IT376" s="159"/>
      <c r="IU376" s="159"/>
      <c r="IV376" s="159"/>
      <c r="IW376" s="159"/>
      <c r="IX376" s="159"/>
      <c r="IY376" s="159"/>
      <c r="IZ376" s="159"/>
      <c r="JA376" s="159"/>
      <c r="JB376" s="159"/>
      <c r="JC376" s="159"/>
      <c r="JD376" s="159"/>
      <c r="JE376" s="159"/>
      <c r="JF376" s="159"/>
      <c r="JG376" s="159"/>
      <c r="JH376" s="159"/>
      <c r="JI376" s="159"/>
      <c r="JJ376" s="159"/>
      <c r="JK376" s="159"/>
      <c r="JL376" s="159"/>
      <c r="JM376" s="159"/>
      <c r="JN376" s="159"/>
      <c r="JO376" s="159"/>
      <c r="JP376" s="159"/>
      <c r="JQ376" s="159"/>
      <c r="JR376" s="159"/>
      <c r="JS376" s="159"/>
      <c r="JT376" s="159"/>
      <c r="JU376" s="159"/>
      <c r="JV376" s="159"/>
      <c r="JW376" s="159"/>
      <c r="JX376" s="159"/>
      <c r="JY376" s="159"/>
      <c r="JZ376" s="159"/>
      <c r="KA376" s="159"/>
      <c r="KB376" s="159"/>
      <c r="KC376" s="159"/>
      <c r="KD376" s="159"/>
      <c r="KE376" s="159"/>
      <c r="KF376" s="159"/>
      <c r="KG376" s="159"/>
      <c r="KH376" s="159"/>
      <c r="KI376" s="159"/>
      <c r="KJ376" s="159"/>
      <c r="KK376" s="159"/>
      <c r="KL376" s="159"/>
      <c r="KM376" s="159"/>
      <c r="KN376" s="159"/>
      <c r="KO376" s="159"/>
      <c r="KP376" s="159"/>
      <c r="KQ376" s="159"/>
      <c r="KR376" s="159"/>
      <c r="KS376" s="159"/>
      <c r="KT376" s="159"/>
      <c r="KU376" s="159"/>
      <c r="KV376" s="159"/>
      <c r="KW376" s="159"/>
      <c r="KX376" s="159"/>
      <c r="KY376" s="159"/>
      <c r="KZ376" s="159"/>
      <c r="LA376" s="159"/>
      <c r="LB376" s="159"/>
      <c r="LC376" s="159"/>
      <c r="LD376" s="159"/>
      <c r="LE376" s="159"/>
      <c r="LF376" s="159"/>
      <c r="LG376" s="159"/>
      <c r="LH376" s="159"/>
      <c r="LI376" s="159"/>
      <c r="LJ376" s="159"/>
      <c r="LK376" s="159"/>
      <c r="LL376" s="159"/>
      <c r="LM376" s="159"/>
      <c r="LN376" s="159"/>
      <c r="LO376" s="159"/>
      <c r="LP376" s="159"/>
      <c r="LQ376" s="159"/>
      <c r="LR376" s="159"/>
      <c r="LS376" s="159"/>
      <c r="LT376" s="159"/>
      <c r="LU376" s="159"/>
      <c r="LV376" s="159"/>
      <c r="LW376" s="159"/>
      <c r="LX376" s="159"/>
      <c r="LY376" s="159"/>
      <c r="LZ376" s="159"/>
      <c r="MA376" s="159"/>
      <c r="MB376" s="159"/>
      <c r="MC376" s="159"/>
      <c r="MD376" s="159"/>
      <c r="ME376" s="159"/>
      <c r="MF376" s="159"/>
      <c r="MG376" s="159"/>
      <c r="MH376" s="159"/>
      <c r="MI376" s="159"/>
      <c r="MJ376" s="159"/>
      <c r="MK376" s="159"/>
      <c r="ML376" s="159"/>
      <c r="MM376" s="159"/>
      <c r="MN376" s="159"/>
      <c r="MO376" s="159"/>
      <c r="MP376" s="159"/>
      <c r="MQ376" s="159"/>
      <c r="MR376" s="159"/>
      <c r="MS376" s="159"/>
      <c r="MT376" s="159"/>
      <c r="MU376" s="159"/>
      <c r="MV376" s="159"/>
      <c r="MW376" s="159"/>
      <c r="MX376" s="159"/>
      <c r="MY376" s="159"/>
      <c r="MZ376" s="159"/>
      <c r="NA376" s="159"/>
      <c r="NB376" s="159"/>
      <c r="NC376" s="159"/>
      <c r="ND376" s="159"/>
      <c r="NE376" s="159"/>
      <c r="NF376" s="159"/>
      <c r="NG376" s="159"/>
      <c r="NH376" s="159"/>
      <c r="NI376" s="159"/>
      <c r="NJ376" s="159"/>
      <c r="NK376" s="159"/>
      <c r="NL376" s="159"/>
      <c r="NM376" s="159"/>
      <c r="NN376" s="159"/>
      <c r="NO376" s="159"/>
      <c r="NP376" s="159"/>
      <c r="NQ376" s="159"/>
      <c r="NR376" s="159"/>
      <c r="NS376" s="159"/>
      <c r="NT376" s="159"/>
      <c r="NU376" s="159"/>
      <c r="NV376" s="159"/>
      <c r="NW376" s="159"/>
      <c r="NX376" s="159"/>
      <c r="NY376" s="159"/>
      <c r="NZ376" s="159"/>
      <c r="OA376" s="159"/>
      <c r="OB376" s="159"/>
      <c r="OC376" s="159"/>
      <c r="OD376" s="159"/>
      <c r="OE376" s="159"/>
      <c r="OF376" s="159"/>
      <c r="OG376" s="159"/>
      <c r="OH376" s="159"/>
      <c r="OI376" s="159"/>
      <c r="OJ376" s="159"/>
      <c r="OK376" s="159"/>
      <c r="OL376" s="159"/>
      <c r="OM376" s="159"/>
      <c r="ON376" s="159"/>
      <c r="OO376" s="159"/>
      <c r="OP376" s="159"/>
      <c r="OQ376" s="159"/>
      <c r="OR376" s="159"/>
      <c r="OS376" s="159"/>
      <c r="OT376" s="159"/>
      <c r="OU376" s="159"/>
      <c r="OV376" s="159"/>
      <c r="OW376" s="159"/>
      <c r="OX376" s="159"/>
      <c r="OY376" s="159"/>
      <c r="OZ376" s="159"/>
      <c r="PA376" s="159"/>
      <c r="PB376" s="159"/>
      <c r="PC376" s="159"/>
      <c r="PD376" s="159"/>
      <c r="PE376" s="159"/>
      <c r="PF376" s="159"/>
      <c r="PG376" s="159"/>
      <c r="PH376" s="159"/>
      <c r="PI376" s="159"/>
      <c r="PJ376" s="159"/>
      <c r="PK376" s="159"/>
      <c r="PL376" s="159"/>
      <c r="PM376" s="159"/>
      <c r="PN376" s="159"/>
      <c r="PO376" s="159"/>
      <c r="PP376" s="159"/>
      <c r="PQ376" s="159"/>
      <c r="PR376" s="159"/>
      <c r="PS376" s="159"/>
      <c r="PT376" s="159"/>
      <c r="PU376" s="159"/>
      <c r="PV376" s="159"/>
      <c r="PW376" s="159"/>
      <c r="PX376" s="159"/>
      <c r="PY376" s="159"/>
      <c r="PZ376" s="159"/>
      <c r="QA376" s="159"/>
      <c r="QB376" s="159"/>
      <c r="QC376" s="159"/>
      <c r="QD376" s="159"/>
      <c r="QE376" s="159"/>
      <c r="QF376" s="159"/>
      <c r="QG376" s="159"/>
      <c r="QH376" s="159"/>
      <c r="QI376" s="159"/>
      <c r="QJ376" s="159"/>
      <c r="QK376" s="159"/>
      <c r="QL376" s="159"/>
      <c r="QM376" s="159"/>
      <c r="QN376" s="159"/>
      <c r="QO376" s="159"/>
      <c r="QP376" s="159"/>
      <c r="QQ376" s="159"/>
      <c r="QR376" s="159"/>
      <c r="QS376" s="159"/>
      <c r="QT376" s="159"/>
      <c r="QU376" s="159"/>
      <c r="QV376" s="159"/>
      <c r="QW376" s="159"/>
      <c r="QX376" s="159"/>
      <c r="QY376" s="159"/>
      <c r="QZ376" s="159"/>
      <c r="RA376" s="159"/>
      <c r="RB376" s="159"/>
      <c r="RC376" s="159"/>
      <c r="RD376" s="159"/>
      <c r="RE376" s="159"/>
      <c r="RF376" s="159"/>
      <c r="RG376" s="159"/>
      <c r="RH376" s="159"/>
      <c r="RI376" s="159"/>
      <c r="RJ376" s="159"/>
      <c r="RK376" s="159"/>
      <c r="RL376" s="159"/>
      <c r="RM376" s="159"/>
      <c r="RN376" s="159"/>
      <c r="RO376" s="159"/>
      <c r="RP376" s="159"/>
      <c r="RQ376" s="159"/>
      <c r="RR376" s="159"/>
      <c r="RS376" s="159"/>
      <c r="RT376" s="159"/>
      <c r="RU376" s="159"/>
      <c r="RV376" s="159"/>
      <c r="RW376" s="159"/>
      <c r="RX376" s="159"/>
      <c r="RY376" s="159"/>
      <c r="RZ376" s="159"/>
      <c r="SA376" s="159"/>
      <c r="SB376" s="159"/>
      <c r="SC376" s="159"/>
      <c r="SD376" s="159"/>
      <c r="SE376" s="159"/>
      <c r="SF376" s="159"/>
      <c r="SG376" s="159"/>
      <c r="SH376" s="159"/>
      <c r="SI376" s="159"/>
      <c r="SJ376" s="159"/>
      <c r="SK376" s="159"/>
      <c r="SL376" s="159"/>
      <c r="SM376" s="159"/>
      <c r="SN376" s="159"/>
      <c r="SO376" s="159"/>
      <c r="SP376" s="159"/>
      <c r="SQ376" s="159"/>
      <c r="SR376" s="159"/>
      <c r="SS376" s="159"/>
      <c r="ST376" s="159"/>
      <c r="SU376" s="159"/>
      <c r="SV376" s="159"/>
      <c r="SW376" s="159"/>
      <c r="SX376" s="159"/>
      <c r="SY376" s="159"/>
      <c r="SZ376" s="159"/>
      <c r="TA376" s="159"/>
      <c r="TB376" s="159"/>
      <c r="TC376" s="159"/>
      <c r="TD376" s="159"/>
      <c r="TE376" s="159"/>
    </row>
    <row r="377" spans="1:525" s="121" customFormat="1" ht="36" hidden="1" customHeight="1" x14ac:dyDescent="0.25">
      <c r="A377" s="129" t="s">
        <v>214</v>
      </c>
      <c r="B377" s="130" t="str">
        <f>'дод 7'!A238</f>
        <v>7610</v>
      </c>
      <c r="C377" s="130" t="str">
        <f>'дод 7'!B238</f>
        <v>0411</v>
      </c>
      <c r="D377" s="119" t="str">
        <f>'дод 7'!C238</f>
        <v>Сприяння розвитку малого та середнього підприємництва</v>
      </c>
      <c r="E377" s="81">
        <f t="shared" si="193"/>
        <v>0</v>
      </c>
      <c r="F377" s="81"/>
      <c r="G377" s="81"/>
      <c r="H377" s="81"/>
      <c r="I377" s="81"/>
      <c r="J377" s="81">
        <f t="shared" si="195"/>
        <v>0</v>
      </c>
      <c r="K377" s="81"/>
      <c r="L377" s="81"/>
      <c r="M377" s="81"/>
      <c r="N377" s="81"/>
      <c r="O377" s="81"/>
      <c r="P377" s="81">
        <f t="shared" si="194"/>
        <v>0</v>
      </c>
      <c r="Q377" s="253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7'!A241</f>
        <v>7650</v>
      </c>
      <c r="C378" s="130" t="str">
        <f>'дод 7'!B241</f>
        <v>0490</v>
      </c>
      <c r="D378" s="119" t="str">
        <f>'дод 7'!C241</f>
        <v>Проведення експертної грошової оцінки земельної ділянки чи права на неї</v>
      </c>
      <c r="E378" s="81">
        <f t="shared" si="193"/>
        <v>0</v>
      </c>
      <c r="F378" s="81"/>
      <c r="G378" s="81"/>
      <c r="H378" s="81"/>
      <c r="I378" s="81"/>
      <c r="J378" s="81">
        <f t="shared" si="195"/>
        <v>0</v>
      </c>
      <c r="K378" s="81"/>
      <c r="L378" s="81"/>
      <c r="M378" s="81"/>
      <c r="N378" s="81"/>
      <c r="O378" s="81"/>
      <c r="P378" s="81">
        <f t="shared" si="194"/>
        <v>0</v>
      </c>
      <c r="Q378" s="253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7'!A242</f>
        <v>7660</v>
      </c>
      <c r="C379" s="130" t="str">
        <f>'дод 7'!B242</f>
        <v>0490</v>
      </c>
      <c r="D379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3"/>
        <v>0</v>
      </c>
      <c r="F379" s="81"/>
      <c r="G379" s="81"/>
      <c r="H379" s="81"/>
      <c r="I379" s="81"/>
      <c r="J379" s="81">
        <f t="shared" si="195"/>
        <v>0</v>
      </c>
      <c r="K379" s="81"/>
      <c r="L379" s="81"/>
      <c r="M379" s="81"/>
      <c r="N379" s="81"/>
      <c r="O379" s="81"/>
      <c r="P379" s="81">
        <f t="shared" si="194"/>
        <v>0</v>
      </c>
      <c r="Q379" s="253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7'!A247</f>
        <v>7693</v>
      </c>
      <c r="C380" s="130" t="str">
        <f>'дод 7'!B247</f>
        <v>0490</v>
      </c>
      <c r="D380" s="119" t="str">
        <f>'дод 7'!C247</f>
        <v>Інші заходи, пов'язані з економічною діяльністю</v>
      </c>
      <c r="E380" s="81">
        <f t="shared" si="193"/>
        <v>0</v>
      </c>
      <c r="F380" s="81"/>
      <c r="G380" s="81"/>
      <c r="H380" s="81"/>
      <c r="I380" s="81"/>
      <c r="J380" s="81">
        <f t="shared" si="195"/>
        <v>0</v>
      </c>
      <c r="K380" s="81"/>
      <c r="L380" s="81"/>
      <c r="M380" s="81"/>
      <c r="N380" s="81"/>
      <c r="O380" s="81"/>
      <c r="P380" s="81">
        <f t="shared" si="194"/>
        <v>0</v>
      </c>
      <c r="Q380" s="253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9"/>
      <c r="C381" s="149"/>
      <c r="D381" s="138" t="s">
        <v>642</v>
      </c>
      <c r="E381" s="79">
        <f>E382</f>
        <v>10297300</v>
      </c>
      <c r="F381" s="79">
        <f t="shared" ref="F381:O381" si="196">F382</f>
        <v>10297300</v>
      </c>
      <c r="G381" s="79">
        <f t="shared" si="196"/>
        <v>7510800</v>
      </c>
      <c r="H381" s="79">
        <f t="shared" si="196"/>
        <v>138700</v>
      </c>
      <c r="I381" s="79">
        <f t="shared" si="196"/>
        <v>0</v>
      </c>
      <c r="J381" s="79">
        <f t="shared" si="196"/>
        <v>0</v>
      </c>
      <c r="K381" s="79">
        <f t="shared" si="196"/>
        <v>0</v>
      </c>
      <c r="L381" s="79">
        <f t="shared" si="196"/>
        <v>0</v>
      </c>
      <c r="M381" s="79">
        <f t="shared" si="196"/>
        <v>0</v>
      </c>
      <c r="N381" s="79">
        <f t="shared" si="196"/>
        <v>0</v>
      </c>
      <c r="O381" s="79">
        <f t="shared" si="196"/>
        <v>0</v>
      </c>
      <c r="P381" s="79">
        <f>P382</f>
        <v>10297300</v>
      </c>
      <c r="Q381" s="253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10297300</v>
      </c>
      <c r="F382" s="80">
        <f t="shared" ref="F382:J382" si="197">F383+F384++F385+F386+F387+F388</f>
        <v>10297300</v>
      </c>
      <c r="G382" s="80">
        <f t="shared" si="197"/>
        <v>7510800</v>
      </c>
      <c r="H382" s="80">
        <f t="shared" si="197"/>
        <v>138700</v>
      </c>
      <c r="I382" s="80">
        <f t="shared" si="197"/>
        <v>0</v>
      </c>
      <c r="J382" s="80">
        <f t="shared" si="197"/>
        <v>0</v>
      </c>
      <c r="K382" s="80">
        <f>K383+K384++K385+K386+K387+K388</f>
        <v>0</v>
      </c>
      <c r="L382" s="80">
        <f t="shared" ref="L382:P382" si="198">L383+L384++L385+L386+L387+L388</f>
        <v>0</v>
      </c>
      <c r="M382" s="80">
        <f t="shared" si="198"/>
        <v>0</v>
      </c>
      <c r="N382" s="80">
        <f t="shared" si="198"/>
        <v>0</v>
      </c>
      <c r="O382" s="80">
        <f t="shared" si="198"/>
        <v>0</v>
      </c>
      <c r="P382" s="80">
        <f t="shared" si="198"/>
        <v>10297300</v>
      </c>
      <c r="Q382" s="253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7'!A16</f>
        <v>0160</v>
      </c>
      <c r="C383" s="118" t="str">
        <f>'дод 7'!B16</f>
        <v>0111</v>
      </c>
      <c r="D3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199">F383+I383</f>
        <v>9707100</v>
      </c>
      <c r="F383" s="81">
        <f>7869800+200600+2197900+8700-546000-23900</f>
        <v>9707100</v>
      </c>
      <c r="G383" s="81">
        <f>6156700+1801600-447500</f>
        <v>7510800</v>
      </c>
      <c r="H383" s="81">
        <f>153900+8700-23900</f>
        <v>138700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0">E383+J383</f>
        <v>9707100</v>
      </c>
      <c r="Q383" s="253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60" customFormat="1" ht="21" hidden="1" customHeight="1" x14ac:dyDescent="0.25">
      <c r="A384" s="117" t="s">
        <v>213</v>
      </c>
      <c r="B384" s="118" t="str">
        <f>'дод 7'!A194</f>
        <v>7130</v>
      </c>
      <c r="C384" s="118" t="str">
        <f>'дод 7'!B194</f>
        <v>0421</v>
      </c>
      <c r="D384" s="122" t="str">
        <f>'дод 7'!C194</f>
        <v>Здійснення заходів із землеустрою</v>
      </c>
      <c r="E384" s="81">
        <f t="shared" si="199"/>
        <v>0</v>
      </c>
      <c r="F384" s="81"/>
      <c r="G384" s="81"/>
      <c r="H384" s="81"/>
      <c r="I384" s="81"/>
      <c r="J384" s="81">
        <f t="shared" ref="J384:J388" si="201">L384+O384</f>
        <v>0</v>
      </c>
      <c r="K384" s="81"/>
      <c r="L384" s="81"/>
      <c r="M384" s="81"/>
      <c r="N384" s="81"/>
      <c r="O384" s="81"/>
      <c r="P384" s="81">
        <f t="shared" si="200"/>
        <v>0</v>
      </c>
      <c r="Q384" s="253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  <c r="AU384" s="159"/>
      <c r="AV384" s="159"/>
      <c r="AW384" s="159"/>
      <c r="AX384" s="159"/>
      <c r="AY384" s="159"/>
      <c r="AZ384" s="159"/>
      <c r="BA384" s="159"/>
      <c r="BB384" s="159"/>
      <c r="BC384" s="159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  <c r="BZ384" s="159"/>
      <c r="CA384" s="159"/>
      <c r="CB384" s="159"/>
      <c r="CC384" s="159"/>
      <c r="CD384" s="159"/>
      <c r="CE384" s="159"/>
      <c r="CF384" s="159"/>
      <c r="CG384" s="159"/>
      <c r="CH384" s="159"/>
      <c r="CI384" s="159"/>
      <c r="CJ384" s="159"/>
      <c r="CK384" s="159"/>
      <c r="CL384" s="159"/>
      <c r="CM384" s="159"/>
      <c r="CN384" s="159"/>
      <c r="CO384" s="159"/>
      <c r="CP384" s="159"/>
      <c r="CQ384" s="159"/>
      <c r="CR384" s="159"/>
      <c r="CS384" s="159"/>
      <c r="CT384" s="159"/>
      <c r="CU384" s="159"/>
      <c r="CV384" s="159"/>
      <c r="CW384" s="159"/>
      <c r="CX384" s="159"/>
      <c r="CY384" s="159"/>
      <c r="CZ384" s="159"/>
      <c r="DA384" s="159"/>
      <c r="DB384" s="159"/>
      <c r="DC384" s="159"/>
      <c r="DD384" s="159"/>
      <c r="DE384" s="159"/>
      <c r="DF384" s="159"/>
      <c r="DG384" s="159"/>
      <c r="DH384" s="159"/>
      <c r="DI384" s="159"/>
      <c r="DJ384" s="159"/>
      <c r="DK384" s="159"/>
      <c r="DL384" s="159"/>
      <c r="DM384" s="159"/>
      <c r="DN384" s="159"/>
      <c r="DO384" s="159"/>
      <c r="DP384" s="159"/>
      <c r="DQ384" s="159"/>
      <c r="DR384" s="159"/>
      <c r="DS384" s="159"/>
      <c r="DT384" s="159"/>
      <c r="DU384" s="159"/>
      <c r="DV384" s="159"/>
      <c r="DW384" s="159"/>
      <c r="DX384" s="159"/>
      <c r="DY384" s="159"/>
      <c r="DZ384" s="159"/>
      <c r="EA384" s="159"/>
      <c r="EB384" s="159"/>
      <c r="EC384" s="159"/>
      <c r="ED384" s="159"/>
      <c r="EE384" s="159"/>
      <c r="EF384" s="159"/>
      <c r="EG384" s="159"/>
      <c r="EH384" s="159"/>
      <c r="EI384" s="159"/>
      <c r="EJ384" s="159"/>
      <c r="EK384" s="159"/>
      <c r="EL384" s="159"/>
      <c r="EM384" s="159"/>
      <c r="EN384" s="159"/>
      <c r="EO384" s="159"/>
      <c r="EP384" s="159"/>
      <c r="EQ384" s="159"/>
      <c r="ER384" s="159"/>
      <c r="ES384" s="159"/>
      <c r="ET384" s="159"/>
      <c r="EU384" s="159"/>
      <c r="EV384" s="159"/>
      <c r="EW384" s="159"/>
      <c r="EX384" s="159"/>
      <c r="EY384" s="159"/>
      <c r="EZ384" s="159"/>
      <c r="FA384" s="159"/>
      <c r="FB384" s="159"/>
      <c r="FC384" s="159"/>
      <c r="FD384" s="159"/>
      <c r="FE384" s="159"/>
      <c r="FF384" s="159"/>
      <c r="FG384" s="159"/>
      <c r="FH384" s="159"/>
      <c r="FI384" s="159"/>
      <c r="FJ384" s="159"/>
      <c r="FK384" s="159"/>
      <c r="FL384" s="159"/>
      <c r="FM384" s="159"/>
      <c r="FN384" s="159"/>
      <c r="FO384" s="159"/>
      <c r="FP384" s="159"/>
      <c r="FQ384" s="159"/>
      <c r="FR384" s="159"/>
      <c r="FS384" s="159"/>
      <c r="FT384" s="159"/>
      <c r="FU384" s="159"/>
      <c r="FV384" s="159"/>
      <c r="FW384" s="159"/>
      <c r="FX384" s="159"/>
      <c r="FY384" s="159"/>
      <c r="FZ384" s="159"/>
      <c r="GA384" s="159"/>
      <c r="GB384" s="159"/>
      <c r="GC384" s="159"/>
      <c r="GD384" s="159"/>
      <c r="GE384" s="159"/>
      <c r="GF384" s="159"/>
      <c r="GG384" s="159"/>
      <c r="GH384" s="159"/>
      <c r="GI384" s="159"/>
      <c r="GJ384" s="159"/>
      <c r="GK384" s="159"/>
      <c r="GL384" s="159"/>
      <c r="GM384" s="159"/>
      <c r="GN384" s="159"/>
      <c r="GO384" s="159"/>
      <c r="GP384" s="159"/>
      <c r="GQ384" s="159"/>
      <c r="GR384" s="159"/>
      <c r="GS384" s="159"/>
      <c r="GT384" s="159"/>
      <c r="GU384" s="159"/>
      <c r="GV384" s="159"/>
      <c r="GW384" s="159"/>
      <c r="GX384" s="159"/>
      <c r="GY384" s="159"/>
      <c r="GZ384" s="159"/>
      <c r="HA384" s="159"/>
      <c r="HB384" s="159"/>
      <c r="HC384" s="159"/>
      <c r="HD384" s="159"/>
      <c r="HE384" s="159"/>
      <c r="HF384" s="159"/>
      <c r="HG384" s="159"/>
      <c r="HH384" s="159"/>
      <c r="HI384" s="159"/>
      <c r="HJ384" s="159"/>
      <c r="HK384" s="159"/>
      <c r="HL384" s="159"/>
      <c r="HM384" s="159"/>
      <c r="HN384" s="159"/>
      <c r="HO384" s="159"/>
      <c r="HP384" s="159"/>
      <c r="HQ384" s="159"/>
      <c r="HR384" s="159"/>
      <c r="HS384" s="159"/>
      <c r="HT384" s="159"/>
      <c r="HU384" s="159"/>
      <c r="HV384" s="159"/>
      <c r="HW384" s="159"/>
      <c r="HX384" s="159"/>
      <c r="HY384" s="159"/>
      <c r="HZ384" s="159"/>
      <c r="IA384" s="159"/>
      <c r="IB384" s="159"/>
      <c r="IC384" s="159"/>
      <c r="ID384" s="159"/>
      <c r="IE384" s="159"/>
      <c r="IF384" s="159"/>
      <c r="IG384" s="159"/>
      <c r="IH384" s="159"/>
      <c r="II384" s="159"/>
      <c r="IJ384" s="159"/>
      <c r="IK384" s="159"/>
      <c r="IL384" s="159"/>
      <c r="IM384" s="159"/>
      <c r="IN384" s="159"/>
      <c r="IO384" s="159"/>
      <c r="IP384" s="159"/>
      <c r="IQ384" s="159"/>
      <c r="IR384" s="159"/>
      <c r="IS384" s="159"/>
      <c r="IT384" s="159"/>
      <c r="IU384" s="159"/>
      <c r="IV384" s="159"/>
      <c r="IW384" s="159"/>
      <c r="IX384" s="159"/>
      <c r="IY384" s="159"/>
      <c r="IZ384" s="159"/>
      <c r="JA384" s="159"/>
      <c r="JB384" s="159"/>
      <c r="JC384" s="159"/>
      <c r="JD384" s="159"/>
      <c r="JE384" s="159"/>
      <c r="JF384" s="159"/>
      <c r="JG384" s="159"/>
      <c r="JH384" s="159"/>
      <c r="JI384" s="159"/>
      <c r="JJ384" s="159"/>
      <c r="JK384" s="159"/>
      <c r="JL384" s="159"/>
      <c r="JM384" s="159"/>
      <c r="JN384" s="159"/>
      <c r="JO384" s="159"/>
      <c r="JP384" s="159"/>
      <c r="JQ384" s="159"/>
      <c r="JR384" s="159"/>
      <c r="JS384" s="159"/>
      <c r="JT384" s="159"/>
      <c r="JU384" s="159"/>
      <c r="JV384" s="159"/>
      <c r="JW384" s="159"/>
      <c r="JX384" s="159"/>
      <c r="JY384" s="159"/>
      <c r="JZ384" s="159"/>
      <c r="KA384" s="159"/>
      <c r="KB384" s="159"/>
      <c r="KC384" s="159"/>
      <c r="KD384" s="159"/>
      <c r="KE384" s="159"/>
      <c r="KF384" s="159"/>
      <c r="KG384" s="159"/>
      <c r="KH384" s="159"/>
      <c r="KI384" s="159"/>
      <c r="KJ384" s="159"/>
      <c r="KK384" s="159"/>
      <c r="KL384" s="159"/>
      <c r="KM384" s="159"/>
      <c r="KN384" s="159"/>
      <c r="KO384" s="159"/>
      <c r="KP384" s="159"/>
      <c r="KQ384" s="159"/>
      <c r="KR384" s="159"/>
      <c r="KS384" s="159"/>
      <c r="KT384" s="159"/>
      <c r="KU384" s="159"/>
      <c r="KV384" s="159"/>
      <c r="KW384" s="159"/>
      <c r="KX384" s="159"/>
      <c r="KY384" s="159"/>
      <c r="KZ384" s="159"/>
      <c r="LA384" s="159"/>
      <c r="LB384" s="159"/>
      <c r="LC384" s="159"/>
      <c r="LD384" s="159"/>
      <c r="LE384" s="159"/>
      <c r="LF384" s="159"/>
      <c r="LG384" s="159"/>
      <c r="LH384" s="159"/>
      <c r="LI384" s="159"/>
      <c r="LJ384" s="159"/>
      <c r="LK384" s="159"/>
      <c r="LL384" s="159"/>
      <c r="LM384" s="159"/>
      <c r="LN384" s="159"/>
      <c r="LO384" s="159"/>
      <c r="LP384" s="159"/>
      <c r="LQ384" s="159"/>
      <c r="LR384" s="159"/>
      <c r="LS384" s="159"/>
      <c r="LT384" s="159"/>
      <c r="LU384" s="159"/>
      <c r="LV384" s="159"/>
      <c r="LW384" s="159"/>
      <c r="LX384" s="159"/>
      <c r="LY384" s="159"/>
      <c r="LZ384" s="159"/>
      <c r="MA384" s="159"/>
      <c r="MB384" s="159"/>
      <c r="MC384" s="159"/>
      <c r="MD384" s="159"/>
      <c r="ME384" s="159"/>
      <c r="MF384" s="159"/>
      <c r="MG384" s="159"/>
      <c r="MH384" s="159"/>
      <c r="MI384" s="159"/>
      <c r="MJ384" s="159"/>
      <c r="MK384" s="159"/>
      <c r="ML384" s="159"/>
      <c r="MM384" s="159"/>
      <c r="MN384" s="159"/>
      <c r="MO384" s="159"/>
      <c r="MP384" s="159"/>
      <c r="MQ384" s="159"/>
      <c r="MR384" s="159"/>
      <c r="MS384" s="159"/>
      <c r="MT384" s="159"/>
      <c r="MU384" s="159"/>
      <c r="MV384" s="159"/>
      <c r="MW384" s="159"/>
      <c r="MX384" s="159"/>
      <c r="MY384" s="159"/>
      <c r="MZ384" s="159"/>
      <c r="NA384" s="159"/>
      <c r="NB384" s="159"/>
      <c r="NC384" s="159"/>
      <c r="ND384" s="159"/>
      <c r="NE384" s="159"/>
      <c r="NF384" s="159"/>
      <c r="NG384" s="159"/>
      <c r="NH384" s="159"/>
      <c r="NI384" s="159"/>
      <c r="NJ384" s="159"/>
      <c r="NK384" s="159"/>
      <c r="NL384" s="159"/>
      <c r="NM384" s="159"/>
      <c r="NN384" s="159"/>
      <c r="NO384" s="159"/>
      <c r="NP384" s="159"/>
      <c r="NQ384" s="159"/>
      <c r="NR384" s="159"/>
      <c r="NS384" s="159"/>
      <c r="NT384" s="159"/>
      <c r="NU384" s="159"/>
      <c r="NV384" s="159"/>
      <c r="NW384" s="159"/>
      <c r="NX384" s="159"/>
      <c r="NY384" s="159"/>
      <c r="NZ384" s="159"/>
      <c r="OA384" s="159"/>
      <c r="OB384" s="159"/>
      <c r="OC384" s="159"/>
      <c r="OD384" s="159"/>
      <c r="OE384" s="159"/>
      <c r="OF384" s="159"/>
      <c r="OG384" s="159"/>
      <c r="OH384" s="159"/>
      <c r="OI384" s="159"/>
      <c r="OJ384" s="159"/>
      <c r="OK384" s="159"/>
      <c r="OL384" s="159"/>
      <c r="OM384" s="159"/>
      <c r="ON384" s="159"/>
      <c r="OO384" s="159"/>
      <c r="OP384" s="159"/>
      <c r="OQ384" s="159"/>
      <c r="OR384" s="159"/>
      <c r="OS384" s="159"/>
      <c r="OT384" s="159"/>
      <c r="OU384" s="159"/>
      <c r="OV384" s="159"/>
      <c r="OW384" s="159"/>
      <c r="OX384" s="159"/>
      <c r="OY384" s="159"/>
      <c r="OZ384" s="159"/>
      <c r="PA384" s="159"/>
      <c r="PB384" s="159"/>
      <c r="PC384" s="159"/>
      <c r="PD384" s="159"/>
      <c r="PE384" s="159"/>
      <c r="PF384" s="159"/>
      <c r="PG384" s="159"/>
      <c r="PH384" s="159"/>
      <c r="PI384" s="159"/>
      <c r="PJ384" s="159"/>
      <c r="PK384" s="159"/>
      <c r="PL384" s="159"/>
      <c r="PM384" s="159"/>
      <c r="PN384" s="159"/>
      <c r="PO384" s="159"/>
      <c r="PP384" s="159"/>
      <c r="PQ384" s="159"/>
      <c r="PR384" s="159"/>
      <c r="PS384" s="159"/>
      <c r="PT384" s="159"/>
      <c r="PU384" s="159"/>
      <c r="PV384" s="159"/>
      <c r="PW384" s="159"/>
      <c r="PX384" s="159"/>
      <c r="PY384" s="159"/>
      <c r="PZ384" s="159"/>
      <c r="QA384" s="159"/>
      <c r="QB384" s="159"/>
      <c r="QC384" s="159"/>
      <c r="QD384" s="159"/>
      <c r="QE384" s="159"/>
      <c r="QF384" s="159"/>
      <c r="QG384" s="159"/>
      <c r="QH384" s="159"/>
      <c r="QI384" s="159"/>
      <c r="QJ384" s="159"/>
      <c r="QK384" s="159"/>
      <c r="QL384" s="159"/>
      <c r="QM384" s="159"/>
      <c r="QN384" s="159"/>
      <c r="QO384" s="159"/>
      <c r="QP384" s="159"/>
      <c r="QQ384" s="159"/>
      <c r="QR384" s="159"/>
      <c r="QS384" s="159"/>
      <c r="QT384" s="159"/>
      <c r="QU384" s="159"/>
      <c r="QV384" s="159"/>
      <c r="QW384" s="159"/>
      <c r="QX384" s="159"/>
      <c r="QY384" s="159"/>
      <c r="QZ384" s="159"/>
      <c r="RA384" s="159"/>
      <c r="RB384" s="159"/>
      <c r="RC384" s="159"/>
      <c r="RD384" s="159"/>
      <c r="RE384" s="159"/>
      <c r="RF384" s="159"/>
      <c r="RG384" s="159"/>
      <c r="RH384" s="159"/>
      <c r="RI384" s="159"/>
      <c r="RJ384" s="159"/>
      <c r="RK384" s="159"/>
      <c r="RL384" s="159"/>
      <c r="RM384" s="159"/>
      <c r="RN384" s="159"/>
      <c r="RO384" s="159"/>
      <c r="RP384" s="159"/>
      <c r="RQ384" s="159"/>
      <c r="RR384" s="159"/>
      <c r="RS384" s="159"/>
      <c r="RT384" s="159"/>
      <c r="RU384" s="159"/>
      <c r="RV384" s="159"/>
      <c r="RW384" s="159"/>
      <c r="RX384" s="159"/>
      <c r="RY384" s="159"/>
      <c r="RZ384" s="159"/>
      <c r="SA384" s="159"/>
      <c r="SB384" s="159"/>
      <c r="SC384" s="159"/>
      <c r="SD384" s="159"/>
      <c r="SE384" s="159"/>
      <c r="SF384" s="159"/>
      <c r="SG384" s="159"/>
      <c r="SH384" s="159"/>
      <c r="SI384" s="159"/>
      <c r="SJ384" s="159"/>
      <c r="SK384" s="159"/>
      <c r="SL384" s="159"/>
      <c r="SM384" s="159"/>
      <c r="SN384" s="159"/>
      <c r="SO384" s="159"/>
      <c r="SP384" s="159"/>
      <c r="SQ384" s="159"/>
      <c r="SR384" s="159"/>
      <c r="SS384" s="159"/>
      <c r="ST384" s="159"/>
      <c r="SU384" s="159"/>
      <c r="SV384" s="159"/>
      <c r="SW384" s="159"/>
      <c r="SX384" s="159"/>
      <c r="SY384" s="159"/>
      <c r="SZ384" s="159"/>
      <c r="TA384" s="159"/>
      <c r="TB384" s="159"/>
      <c r="TC384" s="159"/>
      <c r="TD384" s="159"/>
      <c r="TE384" s="159"/>
    </row>
    <row r="385" spans="1:525" s="121" customFormat="1" ht="33.75" hidden="1" customHeight="1" x14ac:dyDescent="0.25">
      <c r="A385" s="129" t="s">
        <v>214</v>
      </c>
      <c r="B385" s="130" t="str">
        <f>'дод 7'!A238</f>
        <v>7610</v>
      </c>
      <c r="C385" s="130" t="str">
        <f>'дод 7'!B238</f>
        <v>0411</v>
      </c>
      <c r="D385" s="119" t="str">
        <f>'дод 7'!C238</f>
        <v>Сприяння розвитку малого та середнього підприємництва</v>
      </c>
      <c r="E385" s="81">
        <f t="shared" si="199"/>
        <v>0</v>
      </c>
      <c r="F385" s="81"/>
      <c r="G385" s="81"/>
      <c r="H385" s="81"/>
      <c r="I385" s="81"/>
      <c r="J385" s="81">
        <f t="shared" si="201"/>
        <v>0</v>
      </c>
      <c r="K385" s="81"/>
      <c r="L385" s="81"/>
      <c r="M385" s="81"/>
      <c r="N385" s="81"/>
      <c r="O385" s="81"/>
      <c r="P385" s="81">
        <f t="shared" si="200"/>
        <v>0</v>
      </c>
      <c r="Q385" s="253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7'!A241</f>
        <v>7650</v>
      </c>
      <c r="C386" s="130" t="str">
        <f>'дод 7'!B241</f>
        <v>0490</v>
      </c>
      <c r="D386" s="119" t="str">
        <f>'дод 7'!C241</f>
        <v>Проведення експертної грошової оцінки земельної ділянки чи права на неї</v>
      </c>
      <c r="E386" s="81">
        <f t="shared" si="199"/>
        <v>0</v>
      </c>
      <c r="F386" s="81"/>
      <c r="G386" s="81"/>
      <c r="H386" s="81"/>
      <c r="I386" s="81"/>
      <c r="J386" s="81">
        <f t="shared" si="201"/>
        <v>0</v>
      </c>
      <c r="K386" s="81"/>
      <c r="L386" s="81"/>
      <c r="M386" s="81"/>
      <c r="N386" s="81"/>
      <c r="O386" s="81"/>
      <c r="P386" s="81">
        <f t="shared" si="200"/>
        <v>0</v>
      </c>
      <c r="Q386" s="253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7'!A242</f>
        <v>7660</v>
      </c>
      <c r="C387" s="130" t="str">
        <f>'дод 7'!B242</f>
        <v>0490</v>
      </c>
      <c r="D387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199"/>
        <v>0</v>
      </c>
      <c r="F387" s="81"/>
      <c r="G387" s="81"/>
      <c r="H387" s="81"/>
      <c r="I387" s="81"/>
      <c r="J387" s="81">
        <f t="shared" si="201"/>
        <v>0</v>
      </c>
      <c r="K387" s="81"/>
      <c r="L387" s="81"/>
      <c r="M387" s="81"/>
      <c r="N387" s="81"/>
      <c r="O387" s="81"/>
      <c r="P387" s="81">
        <f t="shared" si="200"/>
        <v>0</v>
      </c>
      <c r="Q387" s="253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7'!A247</f>
        <v>7693</v>
      </c>
      <c r="C388" s="130" t="str">
        <f>'дод 7'!B247</f>
        <v>0490</v>
      </c>
      <c r="D388" s="119" t="str">
        <f>'дод 7'!C247</f>
        <v>Інші заходи, пов'язані з економічною діяльністю</v>
      </c>
      <c r="E388" s="81">
        <f t="shared" si="199"/>
        <v>590200</v>
      </c>
      <c r="F388" s="81">
        <f>160000+200000+230200</f>
        <v>590200</v>
      </c>
      <c r="G388" s="81"/>
      <c r="H388" s="81"/>
      <c r="I388" s="81"/>
      <c r="J388" s="81">
        <f t="shared" si="201"/>
        <v>0</v>
      </c>
      <c r="K388" s="81"/>
      <c r="L388" s="81"/>
      <c r="M388" s="81"/>
      <c r="N388" s="81"/>
      <c r="O388" s="81"/>
      <c r="P388" s="81">
        <f t="shared" si="200"/>
        <v>590200</v>
      </c>
      <c r="Q388" s="253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9"/>
      <c r="C389" s="149"/>
      <c r="D389" s="138" t="s">
        <v>38</v>
      </c>
      <c r="E389" s="79">
        <f>E390</f>
        <v>22717500</v>
      </c>
      <c r="F389" s="79">
        <f t="shared" ref="F389:P389" si="202">F390</f>
        <v>22717500</v>
      </c>
      <c r="G389" s="79">
        <f t="shared" si="202"/>
        <v>15190500</v>
      </c>
      <c r="H389" s="79">
        <f t="shared" si="202"/>
        <v>692800</v>
      </c>
      <c r="I389" s="79">
        <f t="shared" si="202"/>
        <v>0</v>
      </c>
      <c r="J389" s="79">
        <f t="shared" si="202"/>
        <v>175000</v>
      </c>
      <c r="K389" s="79">
        <f t="shared" si="202"/>
        <v>175000</v>
      </c>
      <c r="L389" s="79">
        <f t="shared" si="202"/>
        <v>0</v>
      </c>
      <c r="M389" s="79">
        <f t="shared" si="202"/>
        <v>0</v>
      </c>
      <c r="N389" s="79">
        <f t="shared" si="202"/>
        <v>0</v>
      </c>
      <c r="O389" s="79">
        <f t="shared" si="202"/>
        <v>175000</v>
      </c>
      <c r="P389" s="79">
        <f t="shared" si="202"/>
        <v>22892500</v>
      </c>
      <c r="Q389" s="253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E391+E392+E393+E394+E395+E396+E397+E398+E399</f>
        <v>22717500</v>
      </c>
      <c r="F390" s="80">
        <f t="shared" ref="F390:P390" si="203">F391+F392+F393+F394+F395+F396+F397+F398+F399</f>
        <v>22717500</v>
      </c>
      <c r="G390" s="80">
        <f t="shared" si="203"/>
        <v>15190500</v>
      </c>
      <c r="H390" s="80">
        <f t="shared" si="203"/>
        <v>692800</v>
      </c>
      <c r="I390" s="80">
        <f t="shared" si="203"/>
        <v>0</v>
      </c>
      <c r="J390" s="80">
        <f t="shared" si="203"/>
        <v>175000</v>
      </c>
      <c r="K390" s="80">
        <f t="shared" si="203"/>
        <v>175000</v>
      </c>
      <c r="L390" s="80">
        <f t="shared" si="203"/>
        <v>0</v>
      </c>
      <c r="M390" s="80">
        <f t="shared" si="203"/>
        <v>0</v>
      </c>
      <c r="N390" s="80">
        <f t="shared" si="203"/>
        <v>0</v>
      </c>
      <c r="O390" s="80">
        <f t="shared" si="203"/>
        <v>175000</v>
      </c>
      <c r="P390" s="80">
        <f t="shared" si="203"/>
        <v>22892500</v>
      </c>
      <c r="Q390" s="253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7'!A16</f>
        <v>0160</v>
      </c>
      <c r="C391" s="118" t="str">
        <f>'дод 7'!B16</f>
        <v>0111</v>
      </c>
      <c r="D391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53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7'!A184</f>
        <v>6090</v>
      </c>
      <c r="C392" s="118" t="str">
        <f>'дод 7'!B184</f>
        <v>0640</v>
      </c>
      <c r="D392" s="154" t="str">
        <f>'дод 7'!C184</f>
        <v>Інша діяльність у сфері житлово-комунального господарства</v>
      </c>
      <c r="E392" s="81">
        <f t="shared" ref="E392:E399" si="204">F392+I392</f>
        <v>35600</v>
      </c>
      <c r="F392" s="81">
        <f>70500-50500+15600</f>
        <v>35600</v>
      </c>
      <c r="G392" s="81"/>
      <c r="H392" s="81"/>
      <c r="I392" s="81"/>
      <c r="J392" s="81">
        <f t="shared" ref="J392:J399" si="205">L392+O392</f>
        <v>0</v>
      </c>
      <c r="K392" s="81">
        <f t="shared" ref="K392:K399" si="206">8000-8000</f>
        <v>0</v>
      </c>
      <c r="L392" s="81"/>
      <c r="M392" s="81"/>
      <c r="N392" s="81"/>
      <c r="O392" s="81">
        <f t="shared" ref="O392:O399" si="207">8000-8000</f>
        <v>0</v>
      </c>
      <c r="P392" s="81">
        <f t="shared" ref="P392:P399" si="208">E392+J392</f>
        <v>35600</v>
      </c>
      <c r="Q392" s="253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7'!A194</f>
        <v>7130</v>
      </c>
      <c r="C393" s="118" t="str">
        <f>'дод 7'!B194</f>
        <v>0421</v>
      </c>
      <c r="D393" s="154" t="str">
        <f>'дод 7'!C194</f>
        <v>Здійснення заходів із землеустрою</v>
      </c>
      <c r="E393" s="81">
        <f t="shared" si="204"/>
        <v>1750000</v>
      </c>
      <c r="F393" s="81">
        <v>1750000</v>
      </c>
      <c r="G393" s="81"/>
      <c r="H393" s="81"/>
      <c r="I393" s="81"/>
      <c r="J393" s="81">
        <f t="shared" si="205"/>
        <v>0</v>
      </c>
      <c r="K393" s="81">
        <f t="shared" si="206"/>
        <v>0</v>
      </c>
      <c r="L393" s="81"/>
      <c r="M393" s="81"/>
      <c r="N393" s="81"/>
      <c r="O393" s="81">
        <f t="shared" si="207"/>
        <v>0</v>
      </c>
      <c r="P393" s="81">
        <f t="shared" si="208"/>
        <v>1750000</v>
      </c>
      <c r="Q393" s="253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7'!A207</f>
        <v>7340</v>
      </c>
      <c r="C394" s="118" t="str">
        <f>'дод 7'!B207</f>
        <v>0443</v>
      </c>
      <c r="D394" s="154" t="str">
        <f>'дод 7'!C207</f>
        <v>Проектування, реставрація та охорона пам'яток архітектури</v>
      </c>
      <c r="E394" s="81">
        <f t="shared" si="204"/>
        <v>0</v>
      </c>
      <c r="F394" s="81"/>
      <c r="G394" s="81"/>
      <c r="H394" s="81"/>
      <c r="I394" s="81"/>
      <c r="J394" s="81">
        <f t="shared" si="205"/>
        <v>0</v>
      </c>
      <c r="K394" s="81">
        <f t="shared" si="206"/>
        <v>0</v>
      </c>
      <c r="L394" s="81"/>
      <c r="M394" s="81"/>
      <c r="N394" s="81"/>
      <c r="O394" s="81">
        <f t="shared" si="207"/>
        <v>0</v>
      </c>
      <c r="P394" s="81">
        <f t="shared" si="208"/>
        <v>0</v>
      </c>
      <c r="Q394" s="253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7'!A215</f>
        <v>7370</v>
      </c>
      <c r="C395" s="118" t="str">
        <f>'дод 7'!B215</f>
        <v>0490</v>
      </c>
      <c r="D395" s="154" t="str">
        <f>'дод 7'!C215</f>
        <v>Реалізація інших заходів щодо соціально-економічного розвитку територій</v>
      </c>
      <c r="E395" s="81">
        <f t="shared" si="204"/>
        <v>0</v>
      </c>
      <c r="F395" s="81"/>
      <c r="G395" s="81"/>
      <c r="H395" s="81"/>
      <c r="I395" s="81"/>
      <c r="J395" s="81">
        <f t="shared" si="205"/>
        <v>0</v>
      </c>
      <c r="K395" s="81">
        <f t="shared" si="206"/>
        <v>0</v>
      </c>
      <c r="L395" s="81"/>
      <c r="M395" s="81"/>
      <c r="N395" s="81"/>
      <c r="O395" s="81">
        <f t="shared" si="207"/>
        <v>0</v>
      </c>
      <c r="P395" s="81">
        <f t="shared" si="208"/>
        <v>0</v>
      </c>
      <c r="Q395" s="253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7'!A238</f>
        <v>7610</v>
      </c>
      <c r="C396" s="118" t="str">
        <f>'дод 7'!B238</f>
        <v>0411</v>
      </c>
      <c r="D396" s="154" t="str">
        <f>'дод 7'!C238</f>
        <v>Сприяння розвитку малого та середнього підприємництва</v>
      </c>
      <c r="E396" s="81">
        <f t="shared" si="204"/>
        <v>0</v>
      </c>
      <c r="F396" s="81"/>
      <c r="G396" s="81"/>
      <c r="H396" s="81"/>
      <c r="I396" s="81"/>
      <c r="J396" s="81">
        <f t="shared" si="205"/>
        <v>0</v>
      </c>
      <c r="K396" s="81">
        <f t="shared" si="206"/>
        <v>0</v>
      </c>
      <c r="L396" s="81"/>
      <c r="M396" s="81"/>
      <c r="N396" s="81"/>
      <c r="O396" s="81">
        <f t="shared" si="207"/>
        <v>0</v>
      </c>
      <c r="P396" s="81">
        <f t="shared" si="208"/>
        <v>0</v>
      </c>
      <c r="Q396" s="253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7'!A241</f>
        <v>7650</v>
      </c>
      <c r="C397" s="118" t="str">
        <f>'дод 7'!B241</f>
        <v>0490</v>
      </c>
      <c r="D397" s="154" t="str">
        <f>'дод 7'!C241</f>
        <v>Проведення експертної грошової оцінки земельної ділянки чи права на неї</v>
      </c>
      <c r="E397" s="81">
        <f t="shared" si="204"/>
        <v>0</v>
      </c>
      <c r="F397" s="81"/>
      <c r="G397" s="81"/>
      <c r="H397" s="81"/>
      <c r="I397" s="81"/>
      <c r="J397" s="81">
        <f t="shared" si="205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8"/>
        <v>30000</v>
      </c>
      <c r="Q397" s="253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7'!A242</f>
        <v>7660</v>
      </c>
      <c r="C398" s="118" t="str">
        <f>'дод 7'!B242</f>
        <v>0490</v>
      </c>
      <c r="D398" s="154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4"/>
        <v>0</v>
      </c>
      <c r="F398" s="81"/>
      <c r="G398" s="81"/>
      <c r="H398" s="81"/>
      <c r="I398" s="81"/>
      <c r="J398" s="81">
        <f t="shared" si="205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8"/>
        <v>145000</v>
      </c>
      <c r="Q398" s="253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27.75" customHeight="1" x14ac:dyDescent="0.25">
      <c r="A399" s="129" t="s">
        <v>650</v>
      </c>
      <c r="B399" s="118" t="str">
        <f>'дод 7'!A247</f>
        <v>7693</v>
      </c>
      <c r="C399" s="118" t="str">
        <f>'дод 7'!B247</f>
        <v>0490</v>
      </c>
      <c r="D399" s="154" t="str">
        <f>'дод 7'!C247</f>
        <v>Інші заходи, пов'язані з економічною діяльністю</v>
      </c>
      <c r="E399" s="81">
        <f t="shared" si="204"/>
        <v>660000</v>
      </c>
      <c r="F399" s="81">
        <v>660000</v>
      </c>
      <c r="G399" s="81"/>
      <c r="H399" s="81"/>
      <c r="I399" s="81"/>
      <c r="J399" s="81">
        <f t="shared" si="205"/>
        <v>0</v>
      </c>
      <c r="K399" s="81">
        <f t="shared" si="206"/>
        <v>0</v>
      </c>
      <c r="L399" s="81"/>
      <c r="M399" s="81"/>
      <c r="N399" s="81"/>
      <c r="O399" s="81">
        <f t="shared" si="207"/>
        <v>0</v>
      </c>
      <c r="P399" s="81">
        <f t="shared" si="208"/>
        <v>660000</v>
      </c>
      <c r="Q399" s="253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11" customFormat="1" ht="38.25" customHeight="1" x14ac:dyDescent="0.25">
      <c r="A400" s="142" t="s">
        <v>215</v>
      </c>
      <c r="B400" s="149"/>
      <c r="C400" s="149"/>
      <c r="D400" s="138" t="s">
        <v>40</v>
      </c>
      <c r="E400" s="79">
        <f>E401</f>
        <v>186743963.56</v>
      </c>
      <c r="F400" s="79">
        <f t="shared" ref="F400:J400" si="209">F401</f>
        <v>149185503</v>
      </c>
      <c r="G400" s="79">
        <f t="shared" si="209"/>
        <v>15060200</v>
      </c>
      <c r="H400" s="79">
        <f t="shared" si="209"/>
        <v>530520</v>
      </c>
      <c r="I400" s="79">
        <f t="shared" si="209"/>
        <v>0</v>
      </c>
      <c r="J400" s="79">
        <f t="shared" si="209"/>
        <v>248000</v>
      </c>
      <c r="K400" s="79">
        <f t="shared" ref="K400" si="210">K401</f>
        <v>0</v>
      </c>
      <c r="L400" s="79">
        <f t="shared" ref="L400" si="211">L401</f>
        <v>198000</v>
      </c>
      <c r="M400" s="79">
        <f t="shared" ref="M400" si="212">M401</f>
        <v>0</v>
      </c>
      <c r="N400" s="79">
        <f t="shared" ref="N400" si="213">N401</f>
        <v>0</v>
      </c>
      <c r="O400" s="79">
        <f t="shared" ref="O400:P400" si="214">O401</f>
        <v>50000</v>
      </c>
      <c r="P400" s="79">
        <f t="shared" si="214"/>
        <v>186991963.56</v>
      </c>
      <c r="Q400" s="253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  <c r="CX400" s="110"/>
      <c r="CY400" s="110"/>
      <c r="CZ400" s="110"/>
      <c r="DA400" s="110"/>
      <c r="DB400" s="110"/>
      <c r="DC400" s="110"/>
      <c r="DD400" s="110"/>
      <c r="DE400" s="110"/>
      <c r="DF400" s="110"/>
      <c r="DG400" s="110"/>
      <c r="DH400" s="110"/>
      <c r="DI400" s="110"/>
      <c r="DJ400" s="110"/>
      <c r="DK400" s="110"/>
      <c r="DL400" s="110"/>
      <c r="DM400" s="110"/>
      <c r="DN400" s="110"/>
      <c r="DO400" s="110"/>
      <c r="DP400" s="110"/>
      <c r="DQ400" s="110"/>
      <c r="DR400" s="110"/>
      <c r="DS400" s="110"/>
      <c r="DT400" s="110"/>
      <c r="DU400" s="110"/>
      <c r="DV400" s="110"/>
      <c r="DW400" s="110"/>
      <c r="DX400" s="110"/>
      <c r="DY400" s="110"/>
      <c r="DZ400" s="110"/>
      <c r="EA400" s="110"/>
      <c r="EB400" s="110"/>
      <c r="EC400" s="110"/>
      <c r="ED400" s="110"/>
      <c r="EE400" s="110"/>
      <c r="EF400" s="110"/>
      <c r="EG400" s="110"/>
      <c r="EH400" s="110"/>
      <c r="EI400" s="110"/>
      <c r="EJ400" s="110"/>
      <c r="EK400" s="110"/>
      <c r="EL400" s="110"/>
      <c r="EM400" s="110"/>
      <c r="EN400" s="110"/>
      <c r="EO400" s="110"/>
      <c r="EP400" s="110"/>
      <c r="EQ400" s="110"/>
      <c r="ER400" s="110"/>
      <c r="ES400" s="110"/>
      <c r="ET400" s="110"/>
      <c r="EU400" s="110"/>
      <c r="EV400" s="110"/>
      <c r="EW400" s="110"/>
      <c r="EX400" s="110"/>
      <c r="EY400" s="110"/>
      <c r="EZ400" s="110"/>
      <c r="FA400" s="110"/>
      <c r="FB400" s="110"/>
      <c r="FC400" s="110"/>
      <c r="FD400" s="110"/>
      <c r="FE400" s="110"/>
      <c r="FF400" s="110"/>
      <c r="FG400" s="110"/>
      <c r="FH400" s="110"/>
      <c r="FI400" s="110"/>
      <c r="FJ400" s="110"/>
      <c r="FK400" s="110"/>
      <c r="FL400" s="110"/>
      <c r="FM400" s="110"/>
      <c r="FN400" s="110"/>
      <c r="FO400" s="110"/>
      <c r="FP400" s="110"/>
      <c r="FQ400" s="110"/>
      <c r="FR400" s="110"/>
      <c r="FS400" s="110"/>
      <c r="FT400" s="110"/>
      <c r="FU400" s="110"/>
      <c r="FV400" s="110"/>
      <c r="FW400" s="110"/>
      <c r="FX400" s="110"/>
      <c r="FY400" s="110"/>
      <c r="FZ400" s="110"/>
      <c r="GA400" s="110"/>
      <c r="GB400" s="110"/>
      <c r="GC400" s="110"/>
      <c r="GD400" s="110"/>
      <c r="GE400" s="110"/>
      <c r="GF400" s="110"/>
      <c r="GG400" s="110"/>
      <c r="GH400" s="110"/>
      <c r="GI400" s="110"/>
      <c r="GJ400" s="110"/>
      <c r="GK400" s="110"/>
      <c r="GL400" s="110"/>
      <c r="GM400" s="110"/>
      <c r="GN400" s="110"/>
      <c r="GO400" s="110"/>
      <c r="GP400" s="110"/>
      <c r="GQ400" s="110"/>
      <c r="GR400" s="110"/>
      <c r="GS400" s="110"/>
      <c r="GT400" s="110"/>
      <c r="GU400" s="110"/>
      <c r="GV400" s="110"/>
      <c r="GW400" s="110"/>
      <c r="GX400" s="110"/>
      <c r="GY400" s="110"/>
      <c r="GZ400" s="110"/>
      <c r="HA400" s="110"/>
      <c r="HB400" s="110"/>
      <c r="HC400" s="110"/>
      <c r="HD400" s="110"/>
      <c r="HE400" s="110"/>
      <c r="HF400" s="110"/>
      <c r="HG400" s="110"/>
      <c r="HH400" s="110"/>
      <c r="HI400" s="110"/>
      <c r="HJ400" s="110"/>
      <c r="HK400" s="110"/>
      <c r="HL400" s="110"/>
      <c r="HM400" s="110"/>
      <c r="HN400" s="110"/>
      <c r="HO400" s="110"/>
      <c r="HP400" s="110"/>
      <c r="HQ400" s="110"/>
      <c r="HR400" s="110"/>
      <c r="HS400" s="110"/>
      <c r="HT400" s="110"/>
      <c r="HU400" s="110"/>
      <c r="HV400" s="110"/>
      <c r="HW400" s="110"/>
      <c r="HX400" s="110"/>
      <c r="HY400" s="110"/>
      <c r="HZ400" s="110"/>
      <c r="IA400" s="110"/>
      <c r="IB400" s="110"/>
      <c r="IC400" s="110"/>
      <c r="ID400" s="110"/>
      <c r="IE400" s="110"/>
      <c r="IF400" s="110"/>
      <c r="IG400" s="110"/>
      <c r="IH400" s="110"/>
      <c r="II400" s="110"/>
      <c r="IJ400" s="110"/>
      <c r="IK400" s="110"/>
      <c r="IL400" s="110"/>
      <c r="IM400" s="110"/>
      <c r="IN400" s="110"/>
      <c r="IO400" s="110"/>
      <c r="IP400" s="110"/>
      <c r="IQ400" s="110"/>
      <c r="IR400" s="110"/>
      <c r="IS400" s="110"/>
      <c r="IT400" s="110"/>
      <c r="IU400" s="110"/>
      <c r="IV400" s="110"/>
      <c r="IW400" s="110"/>
      <c r="IX400" s="110"/>
      <c r="IY400" s="110"/>
      <c r="IZ400" s="110"/>
      <c r="JA400" s="110"/>
      <c r="JB400" s="110"/>
      <c r="JC400" s="110"/>
      <c r="JD400" s="110"/>
      <c r="JE400" s="110"/>
      <c r="JF400" s="110"/>
      <c r="JG400" s="110"/>
      <c r="JH400" s="110"/>
      <c r="JI400" s="110"/>
      <c r="JJ400" s="110"/>
      <c r="JK400" s="110"/>
      <c r="JL400" s="110"/>
      <c r="JM400" s="110"/>
      <c r="JN400" s="110"/>
      <c r="JO400" s="110"/>
      <c r="JP400" s="110"/>
      <c r="JQ400" s="110"/>
      <c r="JR400" s="110"/>
      <c r="JS400" s="110"/>
      <c r="JT400" s="110"/>
      <c r="JU400" s="110"/>
      <c r="JV400" s="110"/>
      <c r="JW400" s="110"/>
      <c r="JX400" s="110"/>
      <c r="JY400" s="110"/>
      <c r="JZ400" s="110"/>
      <c r="KA400" s="110"/>
      <c r="KB400" s="110"/>
      <c r="KC400" s="110"/>
      <c r="KD400" s="110"/>
      <c r="KE400" s="110"/>
      <c r="KF400" s="110"/>
      <c r="KG400" s="110"/>
      <c r="KH400" s="110"/>
      <c r="KI400" s="110"/>
      <c r="KJ400" s="110"/>
      <c r="KK400" s="110"/>
      <c r="KL400" s="110"/>
      <c r="KM400" s="110"/>
      <c r="KN400" s="110"/>
      <c r="KO400" s="110"/>
      <c r="KP400" s="110"/>
      <c r="KQ400" s="110"/>
      <c r="KR400" s="110"/>
      <c r="KS400" s="110"/>
      <c r="KT400" s="110"/>
      <c r="KU400" s="110"/>
      <c r="KV400" s="110"/>
      <c r="KW400" s="110"/>
      <c r="KX400" s="110"/>
      <c r="KY400" s="110"/>
      <c r="KZ400" s="110"/>
      <c r="LA400" s="110"/>
      <c r="LB400" s="110"/>
      <c r="LC400" s="110"/>
      <c r="LD400" s="110"/>
      <c r="LE400" s="110"/>
      <c r="LF400" s="110"/>
      <c r="LG400" s="110"/>
      <c r="LH400" s="110"/>
      <c r="LI400" s="110"/>
      <c r="LJ400" s="110"/>
      <c r="LK400" s="110"/>
      <c r="LL400" s="110"/>
      <c r="LM400" s="110"/>
      <c r="LN400" s="110"/>
      <c r="LO400" s="110"/>
      <c r="LP400" s="110"/>
      <c r="LQ400" s="110"/>
      <c r="LR400" s="110"/>
      <c r="LS400" s="110"/>
      <c r="LT400" s="110"/>
      <c r="LU400" s="110"/>
      <c r="LV400" s="110"/>
      <c r="LW400" s="110"/>
      <c r="LX400" s="110"/>
      <c r="LY400" s="110"/>
      <c r="LZ400" s="110"/>
      <c r="MA400" s="110"/>
      <c r="MB400" s="110"/>
      <c r="MC400" s="110"/>
      <c r="MD400" s="110"/>
      <c r="ME400" s="110"/>
      <c r="MF400" s="110"/>
      <c r="MG400" s="110"/>
      <c r="MH400" s="110"/>
      <c r="MI400" s="110"/>
      <c r="MJ400" s="110"/>
      <c r="MK400" s="110"/>
      <c r="ML400" s="110"/>
      <c r="MM400" s="110"/>
      <c r="MN400" s="110"/>
      <c r="MO400" s="110"/>
      <c r="MP400" s="110"/>
      <c r="MQ400" s="110"/>
      <c r="MR400" s="110"/>
      <c r="MS400" s="110"/>
      <c r="MT400" s="110"/>
      <c r="MU400" s="110"/>
      <c r="MV400" s="110"/>
      <c r="MW400" s="110"/>
      <c r="MX400" s="110"/>
      <c r="MY400" s="110"/>
      <c r="MZ400" s="110"/>
      <c r="NA400" s="110"/>
      <c r="NB400" s="110"/>
      <c r="NC400" s="110"/>
      <c r="ND400" s="110"/>
      <c r="NE400" s="110"/>
      <c r="NF400" s="110"/>
      <c r="NG400" s="110"/>
      <c r="NH400" s="110"/>
      <c r="NI400" s="110"/>
      <c r="NJ400" s="110"/>
      <c r="NK400" s="110"/>
      <c r="NL400" s="110"/>
      <c r="NM400" s="110"/>
      <c r="NN400" s="110"/>
      <c r="NO400" s="110"/>
      <c r="NP400" s="110"/>
      <c r="NQ400" s="110"/>
      <c r="NR400" s="110"/>
      <c r="NS400" s="110"/>
      <c r="NT400" s="110"/>
      <c r="NU400" s="110"/>
      <c r="NV400" s="110"/>
      <c r="NW400" s="110"/>
      <c r="NX400" s="110"/>
      <c r="NY400" s="110"/>
      <c r="NZ400" s="110"/>
      <c r="OA400" s="110"/>
      <c r="OB400" s="110"/>
      <c r="OC400" s="110"/>
      <c r="OD400" s="110"/>
      <c r="OE400" s="110"/>
      <c r="OF400" s="110"/>
      <c r="OG400" s="110"/>
      <c r="OH400" s="110"/>
      <c r="OI400" s="110"/>
      <c r="OJ400" s="110"/>
      <c r="OK400" s="110"/>
      <c r="OL400" s="110"/>
      <c r="OM400" s="110"/>
      <c r="ON400" s="110"/>
      <c r="OO400" s="110"/>
      <c r="OP400" s="110"/>
      <c r="OQ400" s="110"/>
      <c r="OR400" s="110"/>
      <c r="OS400" s="110"/>
      <c r="OT400" s="110"/>
      <c r="OU400" s="110"/>
      <c r="OV400" s="110"/>
      <c r="OW400" s="110"/>
      <c r="OX400" s="110"/>
      <c r="OY400" s="110"/>
      <c r="OZ400" s="110"/>
      <c r="PA400" s="110"/>
      <c r="PB400" s="110"/>
      <c r="PC400" s="110"/>
      <c r="PD400" s="110"/>
      <c r="PE400" s="110"/>
      <c r="PF400" s="110"/>
      <c r="PG400" s="110"/>
      <c r="PH400" s="110"/>
      <c r="PI400" s="110"/>
      <c r="PJ400" s="110"/>
      <c r="PK400" s="110"/>
      <c r="PL400" s="110"/>
      <c r="PM400" s="110"/>
      <c r="PN400" s="110"/>
      <c r="PO400" s="110"/>
      <c r="PP400" s="110"/>
      <c r="PQ400" s="110"/>
      <c r="PR400" s="110"/>
      <c r="PS400" s="110"/>
      <c r="PT400" s="110"/>
      <c r="PU400" s="110"/>
      <c r="PV400" s="110"/>
      <c r="PW400" s="110"/>
      <c r="PX400" s="110"/>
      <c r="PY400" s="110"/>
      <c r="PZ400" s="110"/>
      <c r="QA400" s="110"/>
      <c r="QB400" s="110"/>
      <c r="QC400" s="110"/>
      <c r="QD400" s="110"/>
      <c r="QE400" s="110"/>
      <c r="QF400" s="110"/>
      <c r="QG400" s="110"/>
      <c r="QH400" s="110"/>
      <c r="QI400" s="110"/>
      <c r="QJ400" s="110"/>
      <c r="QK400" s="110"/>
      <c r="QL400" s="110"/>
      <c r="QM400" s="110"/>
      <c r="QN400" s="110"/>
      <c r="QO400" s="110"/>
      <c r="QP400" s="110"/>
      <c r="QQ400" s="110"/>
      <c r="QR400" s="110"/>
      <c r="QS400" s="110"/>
      <c r="QT400" s="110"/>
      <c r="QU400" s="110"/>
      <c r="QV400" s="110"/>
      <c r="QW400" s="110"/>
      <c r="QX400" s="110"/>
      <c r="QY400" s="110"/>
      <c r="QZ400" s="110"/>
      <c r="RA400" s="110"/>
      <c r="RB400" s="110"/>
      <c r="RC400" s="110"/>
      <c r="RD400" s="110"/>
      <c r="RE400" s="110"/>
      <c r="RF400" s="110"/>
      <c r="RG400" s="110"/>
      <c r="RH400" s="110"/>
      <c r="RI400" s="110"/>
      <c r="RJ400" s="110"/>
      <c r="RK400" s="110"/>
      <c r="RL400" s="110"/>
      <c r="RM400" s="110"/>
      <c r="RN400" s="110"/>
      <c r="RO400" s="110"/>
      <c r="RP400" s="110"/>
      <c r="RQ400" s="110"/>
      <c r="RR400" s="110"/>
      <c r="RS400" s="110"/>
      <c r="RT400" s="110"/>
      <c r="RU400" s="110"/>
      <c r="RV400" s="110"/>
      <c r="RW400" s="110"/>
      <c r="RX400" s="110"/>
      <c r="RY400" s="110"/>
      <c r="RZ400" s="110"/>
      <c r="SA400" s="110"/>
      <c r="SB400" s="110"/>
      <c r="SC400" s="110"/>
      <c r="SD400" s="110"/>
      <c r="SE400" s="110"/>
      <c r="SF400" s="110"/>
      <c r="SG400" s="110"/>
      <c r="SH400" s="110"/>
      <c r="SI400" s="110"/>
      <c r="SJ400" s="110"/>
      <c r="SK400" s="110"/>
      <c r="SL400" s="110"/>
      <c r="SM400" s="110"/>
      <c r="SN400" s="110"/>
      <c r="SO400" s="110"/>
      <c r="SP400" s="110"/>
      <c r="SQ400" s="110"/>
      <c r="SR400" s="110"/>
      <c r="SS400" s="110"/>
      <c r="ST400" s="110"/>
      <c r="SU400" s="110"/>
      <c r="SV400" s="110"/>
      <c r="SW400" s="110"/>
      <c r="SX400" s="110"/>
      <c r="SY400" s="110"/>
      <c r="SZ400" s="110"/>
      <c r="TA400" s="110"/>
      <c r="TB400" s="110"/>
      <c r="TC400" s="110"/>
      <c r="TD400" s="110"/>
      <c r="TE400" s="110"/>
    </row>
    <row r="401" spans="1:525" s="116" customFormat="1" ht="34.5" customHeight="1" x14ac:dyDescent="0.25">
      <c r="A401" s="112" t="s">
        <v>216</v>
      </c>
      <c r="B401" s="141"/>
      <c r="C401" s="141"/>
      <c r="D401" s="114" t="s">
        <v>40</v>
      </c>
      <c r="E401" s="80">
        <f>SUM(E402+E403+E404+E407+E408+E409+E410+E406+E405)</f>
        <v>186743963.56</v>
      </c>
      <c r="F401" s="80">
        <f t="shared" ref="F401:P401" si="215">SUM(F402+F403+F404+F407+F408+F409+F410+F406+F405)</f>
        <v>149185503</v>
      </c>
      <c r="G401" s="80">
        <f t="shared" si="215"/>
        <v>15060200</v>
      </c>
      <c r="H401" s="80">
        <f t="shared" si="215"/>
        <v>530520</v>
      </c>
      <c r="I401" s="80">
        <f t="shared" si="215"/>
        <v>0</v>
      </c>
      <c r="J401" s="80">
        <f t="shared" si="215"/>
        <v>248000</v>
      </c>
      <c r="K401" s="80">
        <f t="shared" si="215"/>
        <v>0</v>
      </c>
      <c r="L401" s="80">
        <f t="shared" si="215"/>
        <v>198000</v>
      </c>
      <c r="M401" s="80">
        <f t="shared" si="215"/>
        <v>0</v>
      </c>
      <c r="N401" s="80">
        <f t="shared" si="215"/>
        <v>0</v>
      </c>
      <c r="O401" s="80">
        <f t="shared" si="215"/>
        <v>50000</v>
      </c>
      <c r="P401" s="80">
        <f t="shared" si="215"/>
        <v>186991963.56</v>
      </c>
      <c r="Q401" s="253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BZ401" s="115"/>
      <c r="CA401" s="115"/>
      <c r="CB401" s="115"/>
      <c r="CC401" s="115"/>
      <c r="CD401" s="115"/>
      <c r="CE401" s="115"/>
      <c r="CF401" s="115"/>
      <c r="CG401" s="115"/>
      <c r="CH401" s="115"/>
      <c r="CI401" s="115"/>
      <c r="CJ401" s="115"/>
      <c r="CK401" s="115"/>
      <c r="CL401" s="115"/>
      <c r="CM401" s="115"/>
      <c r="CN401" s="115"/>
      <c r="CO401" s="115"/>
      <c r="CP401" s="115"/>
      <c r="CQ401" s="115"/>
      <c r="CR401" s="115"/>
      <c r="CS401" s="115"/>
      <c r="CT401" s="115"/>
      <c r="CU401" s="115"/>
      <c r="CV401" s="115"/>
      <c r="CW401" s="115"/>
      <c r="CX401" s="115"/>
      <c r="CY401" s="115"/>
      <c r="CZ401" s="115"/>
      <c r="DA401" s="115"/>
      <c r="DB401" s="115"/>
      <c r="DC401" s="115"/>
      <c r="DD401" s="115"/>
      <c r="DE401" s="115"/>
      <c r="DF401" s="115"/>
      <c r="DG401" s="115"/>
      <c r="DH401" s="115"/>
      <c r="DI401" s="115"/>
      <c r="DJ401" s="115"/>
      <c r="DK401" s="115"/>
      <c r="DL401" s="115"/>
      <c r="DM401" s="115"/>
      <c r="DN401" s="115"/>
      <c r="DO401" s="115"/>
      <c r="DP401" s="115"/>
      <c r="DQ401" s="115"/>
      <c r="DR401" s="115"/>
      <c r="DS401" s="115"/>
      <c r="DT401" s="115"/>
      <c r="DU401" s="115"/>
      <c r="DV401" s="115"/>
      <c r="DW401" s="115"/>
      <c r="DX401" s="115"/>
      <c r="DY401" s="115"/>
      <c r="DZ401" s="115"/>
      <c r="EA401" s="115"/>
      <c r="EB401" s="115"/>
      <c r="EC401" s="115"/>
      <c r="ED401" s="115"/>
      <c r="EE401" s="115"/>
      <c r="EF401" s="115"/>
      <c r="EG401" s="115"/>
      <c r="EH401" s="115"/>
      <c r="EI401" s="115"/>
      <c r="EJ401" s="115"/>
      <c r="EK401" s="115"/>
      <c r="EL401" s="115"/>
      <c r="EM401" s="115"/>
      <c r="EN401" s="115"/>
      <c r="EO401" s="115"/>
      <c r="EP401" s="115"/>
      <c r="EQ401" s="115"/>
      <c r="ER401" s="115"/>
      <c r="ES401" s="115"/>
      <c r="ET401" s="115"/>
      <c r="EU401" s="115"/>
      <c r="EV401" s="115"/>
      <c r="EW401" s="115"/>
      <c r="EX401" s="115"/>
      <c r="EY401" s="115"/>
      <c r="EZ401" s="115"/>
      <c r="FA401" s="115"/>
      <c r="FB401" s="115"/>
      <c r="FC401" s="115"/>
      <c r="FD401" s="115"/>
      <c r="FE401" s="115"/>
      <c r="FF401" s="115"/>
      <c r="FG401" s="115"/>
      <c r="FH401" s="115"/>
      <c r="FI401" s="115"/>
      <c r="FJ401" s="115"/>
      <c r="FK401" s="115"/>
      <c r="FL401" s="115"/>
      <c r="FM401" s="115"/>
      <c r="FN401" s="115"/>
      <c r="FO401" s="115"/>
      <c r="FP401" s="115"/>
      <c r="FQ401" s="115"/>
      <c r="FR401" s="115"/>
      <c r="FS401" s="115"/>
      <c r="FT401" s="115"/>
      <c r="FU401" s="115"/>
      <c r="FV401" s="115"/>
      <c r="FW401" s="115"/>
      <c r="FX401" s="115"/>
      <c r="FY401" s="115"/>
      <c r="FZ401" s="115"/>
      <c r="GA401" s="115"/>
      <c r="GB401" s="115"/>
      <c r="GC401" s="115"/>
      <c r="GD401" s="115"/>
      <c r="GE401" s="115"/>
      <c r="GF401" s="115"/>
      <c r="GG401" s="115"/>
      <c r="GH401" s="115"/>
      <c r="GI401" s="115"/>
      <c r="GJ401" s="115"/>
      <c r="GK401" s="115"/>
      <c r="GL401" s="115"/>
      <c r="GM401" s="115"/>
      <c r="GN401" s="115"/>
      <c r="GO401" s="115"/>
      <c r="GP401" s="115"/>
      <c r="GQ401" s="115"/>
      <c r="GR401" s="115"/>
      <c r="GS401" s="115"/>
      <c r="GT401" s="115"/>
      <c r="GU401" s="115"/>
      <c r="GV401" s="115"/>
      <c r="GW401" s="115"/>
      <c r="GX401" s="115"/>
      <c r="GY401" s="115"/>
      <c r="GZ401" s="115"/>
      <c r="HA401" s="115"/>
      <c r="HB401" s="115"/>
      <c r="HC401" s="115"/>
      <c r="HD401" s="115"/>
      <c r="HE401" s="115"/>
      <c r="HF401" s="115"/>
      <c r="HG401" s="115"/>
      <c r="HH401" s="115"/>
      <c r="HI401" s="115"/>
      <c r="HJ401" s="115"/>
      <c r="HK401" s="115"/>
      <c r="HL401" s="115"/>
      <c r="HM401" s="115"/>
      <c r="HN401" s="115"/>
      <c r="HO401" s="115"/>
      <c r="HP401" s="115"/>
      <c r="HQ401" s="115"/>
      <c r="HR401" s="115"/>
      <c r="HS401" s="115"/>
      <c r="HT401" s="115"/>
      <c r="HU401" s="115"/>
      <c r="HV401" s="115"/>
      <c r="HW401" s="115"/>
      <c r="HX401" s="115"/>
      <c r="HY401" s="115"/>
      <c r="HZ401" s="115"/>
      <c r="IA401" s="115"/>
      <c r="IB401" s="115"/>
      <c r="IC401" s="115"/>
      <c r="ID401" s="115"/>
      <c r="IE401" s="115"/>
      <c r="IF401" s="115"/>
      <c r="IG401" s="115"/>
      <c r="IH401" s="115"/>
      <c r="II401" s="115"/>
      <c r="IJ401" s="115"/>
      <c r="IK401" s="115"/>
      <c r="IL401" s="115"/>
      <c r="IM401" s="115"/>
      <c r="IN401" s="115"/>
      <c r="IO401" s="115"/>
      <c r="IP401" s="115"/>
      <c r="IQ401" s="115"/>
      <c r="IR401" s="115"/>
      <c r="IS401" s="115"/>
      <c r="IT401" s="115"/>
      <c r="IU401" s="115"/>
      <c r="IV401" s="115"/>
      <c r="IW401" s="115"/>
      <c r="IX401" s="115"/>
      <c r="IY401" s="115"/>
      <c r="IZ401" s="115"/>
      <c r="JA401" s="115"/>
      <c r="JB401" s="115"/>
      <c r="JC401" s="115"/>
      <c r="JD401" s="115"/>
      <c r="JE401" s="115"/>
      <c r="JF401" s="115"/>
      <c r="JG401" s="115"/>
      <c r="JH401" s="115"/>
      <c r="JI401" s="115"/>
      <c r="JJ401" s="115"/>
      <c r="JK401" s="115"/>
      <c r="JL401" s="115"/>
      <c r="JM401" s="115"/>
      <c r="JN401" s="115"/>
      <c r="JO401" s="115"/>
      <c r="JP401" s="115"/>
      <c r="JQ401" s="115"/>
      <c r="JR401" s="115"/>
      <c r="JS401" s="115"/>
      <c r="JT401" s="115"/>
      <c r="JU401" s="115"/>
      <c r="JV401" s="115"/>
      <c r="JW401" s="115"/>
      <c r="JX401" s="115"/>
      <c r="JY401" s="115"/>
      <c r="JZ401" s="115"/>
      <c r="KA401" s="115"/>
      <c r="KB401" s="115"/>
      <c r="KC401" s="115"/>
      <c r="KD401" s="115"/>
      <c r="KE401" s="115"/>
      <c r="KF401" s="115"/>
      <c r="KG401" s="115"/>
      <c r="KH401" s="115"/>
      <c r="KI401" s="115"/>
      <c r="KJ401" s="115"/>
      <c r="KK401" s="115"/>
      <c r="KL401" s="115"/>
      <c r="KM401" s="115"/>
      <c r="KN401" s="115"/>
      <c r="KO401" s="115"/>
      <c r="KP401" s="115"/>
      <c r="KQ401" s="115"/>
      <c r="KR401" s="115"/>
      <c r="KS401" s="115"/>
      <c r="KT401" s="115"/>
      <c r="KU401" s="115"/>
      <c r="KV401" s="115"/>
      <c r="KW401" s="115"/>
      <c r="KX401" s="115"/>
      <c r="KY401" s="115"/>
      <c r="KZ401" s="115"/>
      <c r="LA401" s="115"/>
      <c r="LB401" s="115"/>
      <c r="LC401" s="115"/>
      <c r="LD401" s="115"/>
      <c r="LE401" s="115"/>
      <c r="LF401" s="115"/>
      <c r="LG401" s="115"/>
      <c r="LH401" s="115"/>
      <c r="LI401" s="115"/>
      <c r="LJ401" s="115"/>
      <c r="LK401" s="115"/>
      <c r="LL401" s="115"/>
      <c r="LM401" s="115"/>
      <c r="LN401" s="115"/>
      <c r="LO401" s="115"/>
      <c r="LP401" s="115"/>
      <c r="LQ401" s="115"/>
      <c r="LR401" s="115"/>
      <c r="LS401" s="115"/>
      <c r="LT401" s="115"/>
      <c r="LU401" s="115"/>
      <c r="LV401" s="115"/>
      <c r="LW401" s="115"/>
      <c r="LX401" s="115"/>
      <c r="LY401" s="115"/>
      <c r="LZ401" s="115"/>
      <c r="MA401" s="115"/>
      <c r="MB401" s="115"/>
      <c r="MC401" s="115"/>
      <c r="MD401" s="115"/>
      <c r="ME401" s="115"/>
      <c r="MF401" s="115"/>
      <c r="MG401" s="115"/>
      <c r="MH401" s="115"/>
      <c r="MI401" s="115"/>
      <c r="MJ401" s="115"/>
      <c r="MK401" s="115"/>
      <c r="ML401" s="115"/>
      <c r="MM401" s="115"/>
      <c r="MN401" s="115"/>
      <c r="MO401" s="115"/>
      <c r="MP401" s="115"/>
      <c r="MQ401" s="115"/>
      <c r="MR401" s="115"/>
      <c r="MS401" s="115"/>
      <c r="MT401" s="115"/>
      <c r="MU401" s="115"/>
      <c r="MV401" s="115"/>
      <c r="MW401" s="115"/>
      <c r="MX401" s="115"/>
      <c r="MY401" s="115"/>
      <c r="MZ401" s="115"/>
      <c r="NA401" s="115"/>
      <c r="NB401" s="115"/>
      <c r="NC401" s="115"/>
      <c r="ND401" s="115"/>
      <c r="NE401" s="115"/>
      <c r="NF401" s="115"/>
      <c r="NG401" s="115"/>
      <c r="NH401" s="115"/>
      <c r="NI401" s="115"/>
      <c r="NJ401" s="115"/>
      <c r="NK401" s="115"/>
      <c r="NL401" s="115"/>
      <c r="NM401" s="115"/>
      <c r="NN401" s="115"/>
      <c r="NO401" s="115"/>
      <c r="NP401" s="115"/>
      <c r="NQ401" s="115"/>
      <c r="NR401" s="115"/>
      <c r="NS401" s="115"/>
      <c r="NT401" s="115"/>
      <c r="NU401" s="115"/>
      <c r="NV401" s="115"/>
      <c r="NW401" s="115"/>
      <c r="NX401" s="115"/>
      <c r="NY401" s="115"/>
      <c r="NZ401" s="115"/>
      <c r="OA401" s="115"/>
      <c r="OB401" s="115"/>
      <c r="OC401" s="115"/>
      <c r="OD401" s="115"/>
      <c r="OE401" s="115"/>
      <c r="OF401" s="115"/>
      <c r="OG401" s="115"/>
      <c r="OH401" s="115"/>
      <c r="OI401" s="115"/>
      <c r="OJ401" s="115"/>
      <c r="OK401" s="115"/>
      <c r="OL401" s="115"/>
      <c r="OM401" s="115"/>
      <c r="ON401" s="115"/>
      <c r="OO401" s="115"/>
      <c r="OP401" s="115"/>
      <c r="OQ401" s="115"/>
      <c r="OR401" s="115"/>
      <c r="OS401" s="115"/>
      <c r="OT401" s="115"/>
      <c r="OU401" s="115"/>
      <c r="OV401" s="115"/>
      <c r="OW401" s="115"/>
      <c r="OX401" s="115"/>
      <c r="OY401" s="115"/>
      <c r="OZ401" s="115"/>
      <c r="PA401" s="115"/>
      <c r="PB401" s="115"/>
      <c r="PC401" s="115"/>
      <c r="PD401" s="115"/>
      <c r="PE401" s="115"/>
      <c r="PF401" s="115"/>
      <c r="PG401" s="115"/>
      <c r="PH401" s="115"/>
      <c r="PI401" s="115"/>
      <c r="PJ401" s="115"/>
      <c r="PK401" s="115"/>
      <c r="PL401" s="115"/>
      <c r="PM401" s="115"/>
      <c r="PN401" s="115"/>
      <c r="PO401" s="115"/>
      <c r="PP401" s="115"/>
      <c r="PQ401" s="115"/>
      <c r="PR401" s="115"/>
      <c r="PS401" s="115"/>
      <c r="PT401" s="115"/>
      <c r="PU401" s="115"/>
      <c r="PV401" s="115"/>
      <c r="PW401" s="115"/>
      <c r="PX401" s="115"/>
      <c r="PY401" s="115"/>
      <c r="PZ401" s="115"/>
      <c r="QA401" s="115"/>
      <c r="QB401" s="115"/>
      <c r="QC401" s="115"/>
      <c r="QD401" s="115"/>
      <c r="QE401" s="115"/>
      <c r="QF401" s="115"/>
      <c r="QG401" s="115"/>
      <c r="QH401" s="115"/>
      <c r="QI401" s="115"/>
      <c r="QJ401" s="115"/>
      <c r="QK401" s="115"/>
      <c r="QL401" s="115"/>
      <c r="QM401" s="115"/>
      <c r="QN401" s="115"/>
      <c r="QO401" s="115"/>
      <c r="QP401" s="115"/>
      <c r="QQ401" s="115"/>
      <c r="QR401" s="115"/>
      <c r="QS401" s="115"/>
      <c r="QT401" s="115"/>
      <c r="QU401" s="115"/>
      <c r="QV401" s="115"/>
      <c r="QW401" s="115"/>
      <c r="QX401" s="115"/>
      <c r="QY401" s="115"/>
      <c r="QZ401" s="115"/>
      <c r="RA401" s="115"/>
      <c r="RB401" s="115"/>
      <c r="RC401" s="115"/>
      <c r="RD401" s="115"/>
      <c r="RE401" s="115"/>
      <c r="RF401" s="115"/>
      <c r="RG401" s="115"/>
      <c r="RH401" s="115"/>
      <c r="RI401" s="115"/>
      <c r="RJ401" s="115"/>
      <c r="RK401" s="115"/>
      <c r="RL401" s="115"/>
      <c r="RM401" s="115"/>
      <c r="RN401" s="115"/>
      <c r="RO401" s="115"/>
      <c r="RP401" s="115"/>
      <c r="RQ401" s="115"/>
      <c r="RR401" s="115"/>
      <c r="RS401" s="115"/>
      <c r="RT401" s="115"/>
      <c r="RU401" s="115"/>
      <c r="RV401" s="115"/>
      <c r="RW401" s="115"/>
      <c r="RX401" s="115"/>
      <c r="RY401" s="115"/>
      <c r="RZ401" s="115"/>
      <c r="SA401" s="115"/>
      <c r="SB401" s="115"/>
      <c r="SC401" s="115"/>
      <c r="SD401" s="115"/>
      <c r="SE401" s="115"/>
      <c r="SF401" s="115"/>
      <c r="SG401" s="115"/>
      <c r="SH401" s="115"/>
      <c r="SI401" s="115"/>
      <c r="SJ401" s="115"/>
      <c r="SK401" s="115"/>
      <c r="SL401" s="115"/>
      <c r="SM401" s="115"/>
      <c r="SN401" s="115"/>
      <c r="SO401" s="115"/>
      <c r="SP401" s="115"/>
      <c r="SQ401" s="115"/>
      <c r="SR401" s="115"/>
      <c r="SS401" s="115"/>
      <c r="ST401" s="115"/>
      <c r="SU401" s="115"/>
      <c r="SV401" s="115"/>
      <c r="SW401" s="115"/>
      <c r="SX401" s="115"/>
      <c r="SY401" s="115"/>
      <c r="SZ401" s="115"/>
      <c r="TA401" s="115"/>
      <c r="TB401" s="115"/>
      <c r="TC401" s="115"/>
      <c r="TD401" s="115"/>
      <c r="TE401" s="115"/>
    </row>
    <row r="402" spans="1:525" s="121" customFormat="1" ht="45.75" customHeight="1" x14ac:dyDescent="0.25">
      <c r="A402" s="117" t="s">
        <v>217</v>
      </c>
      <c r="B402" s="118" t="str">
        <f>'дод 7'!A16</f>
        <v>0160</v>
      </c>
      <c r="C402" s="118" t="str">
        <f>'дод 7'!B16</f>
        <v>0111</v>
      </c>
      <c r="D402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402" s="81">
        <f t="shared" ref="E402:E408" si="216">F402+I402</f>
        <v>19835694</v>
      </c>
      <c r="F402" s="81">
        <f>20906300+47674-1094800-83480+60000</f>
        <v>19835694</v>
      </c>
      <c r="G402" s="81">
        <f>15957600-897400</f>
        <v>15060200</v>
      </c>
      <c r="H402" s="81">
        <f>614000-83480</f>
        <v>530520</v>
      </c>
      <c r="I402" s="81"/>
      <c r="J402" s="81">
        <f>L402+O402</f>
        <v>0</v>
      </c>
      <c r="K402" s="81"/>
      <c r="L402" s="81"/>
      <c r="M402" s="81"/>
      <c r="N402" s="81"/>
      <c r="O402" s="81"/>
      <c r="P402" s="81">
        <f t="shared" ref="P402:P409" si="217">E402+J402</f>
        <v>19835694</v>
      </c>
      <c r="Q402" s="253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  <c r="BV402" s="120"/>
      <c r="BW402" s="120"/>
      <c r="BX402" s="120"/>
      <c r="BY402" s="120"/>
      <c r="BZ402" s="120"/>
      <c r="CA402" s="120"/>
      <c r="CB402" s="120"/>
      <c r="CC402" s="120"/>
      <c r="CD402" s="120"/>
      <c r="CE402" s="120"/>
      <c r="CF402" s="120"/>
      <c r="CG402" s="120"/>
      <c r="CH402" s="120"/>
      <c r="CI402" s="120"/>
      <c r="CJ402" s="120"/>
      <c r="CK402" s="120"/>
      <c r="CL402" s="120"/>
      <c r="CM402" s="120"/>
      <c r="CN402" s="120"/>
      <c r="CO402" s="120"/>
      <c r="CP402" s="120"/>
      <c r="CQ402" s="120"/>
      <c r="CR402" s="120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  <c r="DC402" s="120"/>
      <c r="DD402" s="120"/>
      <c r="DE402" s="120"/>
      <c r="DF402" s="120"/>
      <c r="DG402" s="120"/>
      <c r="DH402" s="120"/>
      <c r="DI402" s="120"/>
      <c r="DJ402" s="120"/>
      <c r="DK402" s="120"/>
      <c r="DL402" s="120"/>
      <c r="DM402" s="120"/>
      <c r="DN402" s="120"/>
      <c r="DO402" s="120"/>
      <c r="DP402" s="120"/>
      <c r="DQ402" s="120"/>
      <c r="DR402" s="120"/>
      <c r="DS402" s="120"/>
      <c r="DT402" s="120"/>
      <c r="DU402" s="120"/>
      <c r="DV402" s="120"/>
      <c r="DW402" s="120"/>
      <c r="DX402" s="120"/>
      <c r="DY402" s="120"/>
      <c r="DZ402" s="120"/>
      <c r="EA402" s="120"/>
      <c r="EB402" s="120"/>
      <c r="EC402" s="120"/>
      <c r="ED402" s="120"/>
      <c r="EE402" s="120"/>
      <c r="EF402" s="120"/>
      <c r="EG402" s="120"/>
      <c r="EH402" s="120"/>
      <c r="EI402" s="120"/>
      <c r="EJ402" s="120"/>
      <c r="EK402" s="120"/>
      <c r="EL402" s="120"/>
      <c r="EM402" s="120"/>
      <c r="EN402" s="120"/>
      <c r="EO402" s="120"/>
      <c r="EP402" s="120"/>
      <c r="EQ402" s="120"/>
      <c r="ER402" s="120"/>
      <c r="ES402" s="120"/>
      <c r="ET402" s="120"/>
      <c r="EU402" s="120"/>
      <c r="EV402" s="120"/>
      <c r="EW402" s="120"/>
      <c r="EX402" s="120"/>
      <c r="EY402" s="120"/>
      <c r="EZ402" s="120"/>
      <c r="FA402" s="120"/>
      <c r="FB402" s="120"/>
      <c r="FC402" s="120"/>
      <c r="FD402" s="120"/>
      <c r="FE402" s="120"/>
      <c r="FF402" s="120"/>
      <c r="FG402" s="120"/>
      <c r="FH402" s="120"/>
      <c r="FI402" s="120"/>
      <c r="FJ402" s="120"/>
      <c r="FK402" s="120"/>
      <c r="FL402" s="120"/>
      <c r="FM402" s="120"/>
      <c r="FN402" s="120"/>
      <c r="FO402" s="120"/>
      <c r="FP402" s="120"/>
      <c r="FQ402" s="120"/>
      <c r="FR402" s="120"/>
      <c r="FS402" s="120"/>
      <c r="FT402" s="120"/>
      <c r="FU402" s="120"/>
      <c r="FV402" s="120"/>
      <c r="FW402" s="120"/>
      <c r="FX402" s="120"/>
      <c r="FY402" s="120"/>
      <c r="FZ402" s="120"/>
      <c r="GA402" s="120"/>
      <c r="GB402" s="120"/>
      <c r="GC402" s="120"/>
      <c r="GD402" s="120"/>
      <c r="GE402" s="120"/>
      <c r="GF402" s="120"/>
      <c r="GG402" s="120"/>
      <c r="GH402" s="120"/>
      <c r="GI402" s="120"/>
      <c r="GJ402" s="120"/>
      <c r="GK402" s="120"/>
      <c r="GL402" s="120"/>
      <c r="GM402" s="120"/>
      <c r="GN402" s="120"/>
      <c r="GO402" s="120"/>
      <c r="GP402" s="120"/>
      <c r="GQ402" s="120"/>
      <c r="GR402" s="120"/>
      <c r="GS402" s="120"/>
      <c r="GT402" s="120"/>
      <c r="GU402" s="120"/>
      <c r="GV402" s="120"/>
      <c r="GW402" s="120"/>
      <c r="GX402" s="120"/>
      <c r="GY402" s="120"/>
      <c r="GZ402" s="120"/>
      <c r="HA402" s="120"/>
      <c r="HB402" s="120"/>
      <c r="HC402" s="120"/>
      <c r="HD402" s="120"/>
      <c r="HE402" s="120"/>
      <c r="HF402" s="120"/>
      <c r="HG402" s="120"/>
      <c r="HH402" s="120"/>
      <c r="HI402" s="120"/>
      <c r="HJ402" s="120"/>
      <c r="HK402" s="120"/>
      <c r="HL402" s="120"/>
      <c r="HM402" s="120"/>
      <c r="HN402" s="120"/>
      <c r="HO402" s="120"/>
      <c r="HP402" s="120"/>
      <c r="HQ402" s="120"/>
      <c r="HR402" s="120"/>
      <c r="HS402" s="120"/>
      <c r="HT402" s="120"/>
      <c r="HU402" s="120"/>
      <c r="HV402" s="120"/>
      <c r="HW402" s="120"/>
      <c r="HX402" s="120"/>
      <c r="HY402" s="120"/>
      <c r="HZ402" s="120"/>
      <c r="IA402" s="120"/>
      <c r="IB402" s="120"/>
      <c r="IC402" s="120"/>
      <c r="ID402" s="120"/>
      <c r="IE402" s="120"/>
      <c r="IF402" s="120"/>
      <c r="IG402" s="120"/>
      <c r="IH402" s="120"/>
      <c r="II402" s="120"/>
      <c r="IJ402" s="120"/>
      <c r="IK402" s="120"/>
      <c r="IL402" s="120"/>
      <c r="IM402" s="120"/>
      <c r="IN402" s="120"/>
      <c r="IO402" s="120"/>
      <c r="IP402" s="120"/>
      <c r="IQ402" s="120"/>
      <c r="IR402" s="120"/>
      <c r="IS402" s="120"/>
      <c r="IT402" s="120"/>
      <c r="IU402" s="120"/>
      <c r="IV402" s="120"/>
      <c r="IW402" s="120"/>
      <c r="IX402" s="120"/>
      <c r="IY402" s="120"/>
      <c r="IZ402" s="120"/>
      <c r="JA402" s="120"/>
      <c r="JB402" s="120"/>
      <c r="JC402" s="120"/>
      <c r="JD402" s="120"/>
      <c r="JE402" s="120"/>
      <c r="JF402" s="120"/>
      <c r="JG402" s="120"/>
      <c r="JH402" s="120"/>
      <c r="JI402" s="120"/>
      <c r="JJ402" s="120"/>
      <c r="JK402" s="120"/>
      <c r="JL402" s="120"/>
      <c r="JM402" s="120"/>
      <c r="JN402" s="120"/>
      <c r="JO402" s="120"/>
      <c r="JP402" s="120"/>
      <c r="JQ402" s="120"/>
      <c r="JR402" s="120"/>
      <c r="JS402" s="120"/>
      <c r="JT402" s="120"/>
      <c r="JU402" s="120"/>
      <c r="JV402" s="120"/>
      <c r="JW402" s="120"/>
      <c r="JX402" s="120"/>
      <c r="JY402" s="120"/>
      <c r="JZ402" s="120"/>
      <c r="KA402" s="120"/>
      <c r="KB402" s="120"/>
      <c r="KC402" s="120"/>
      <c r="KD402" s="120"/>
      <c r="KE402" s="120"/>
      <c r="KF402" s="120"/>
      <c r="KG402" s="120"/>
      <c r="KH402" s="120"/>
      <c r="KI402" s="120"/>
      <c r="KJ402" s="120"/>
      <c r="KK402" s="120"/>
      <c r="KL402" s="120"/>
      <c r="KM402" s="120"/>
      <c r="KN402" s="120"/>
      <c r="KO402" s="120"/>
      <c r="KP402" s="120"/>
      <c r="KQ402" s="120"/>
      <c r="KR402" s="120"/>
      <c r="KS402" s="120"/>
      <c r="KT402" s="120"/>
      <c r="KU402" s="120"/>
      <c r="KV402" s="120"/>
      <c r="KW402" s="120"/>
      <c r="KX402" s="120"/>
      <c r="KY402" s="120"/>
      <c r="KZ402" s="120"/>
      <c r="LA402" s="120"/>
      <c r="LB402" s="120"/>
      <c r="LC402" s="120"/>
      <c r="LD402" s="120"/>
      <c r="LE402" s="120"/>
      <c r="LF402" s="120"/>
      <c r="LG402" s="120"/>
      <c r="LH402" s="120"/>
      <c r="LI402" s="120"/>
      <c r="LJ402" s="120"/>
      <c r="LK402" s="120"/>
      <c r="LL402" s="120"/>
      <c r="LM402" s="120"/>
      <c r="LN402" s="120"/>
      <c r="LO402" s="120"/>
      <c r="LP402" s="120"/>
      <c r="LQ402" s="120"/>
      <c r="LR402" s="120"/>
      <c r="LS402" s="120"/>
      <c r="LT402" s="120"/>
      <c r="LU402" s="120"/>
      <c r="LV402" s="120"/>
      <c r="LW402" s="120"/>
      <c r="LX402" s="120"/>
      <c r="LY402" s="120"/>
      <c r="LZ402" s="120"/>
      <c r="MA402" s="120"/>
      <c r="MB402" s="120"/>
      <c r="MC402" s="120"/>
      <c r="MD402" s="120"/>
      <c r="ME402" s="120"/>
      <c r="MF402" s="120"/>
      <c r="MG402" s="120"/>
      <c r="MH402" s="120"/>
      <c r="MI402" s="120"/>
      <c r="MJ402" s="120"/>
      <c r="MK402" s="120"/>
      <c r="ML402" s="120"/>
      <c r="MM402" s="120"/>
      <c r="MN402" s="120"/>
      <c r="MO402" s="120"/>
      <c r="MP402" s="120"/>
      <c r="MQ402" s="120"/>
      <c r="MR402" s="120"/>
      <c r="MS402" s="120"/>
      <c r="MT402" s="120"/>
      <c r="MU402" s="120"/>
      <c r="MV402" s="120"/>
      <c r="MW402" s="120"/>
      <c r="MX402" s="120"/>
      <c r="MY402" s="120"/>
      <c r="MZ402" s="120"/>
      <c r="NA402" s="120"/>
      <c r="NB402" s="120"/>
      <c r="NC402" s="120"/>
      <c r="ND402" s="120"/>
      <c r="NE402" s="120"/>
      <c r="NF402" s="120"/>
      <c r="NG402" s="120"/>
      <c r="NH402" s="120"/>
      <c r="NI402" s="120"/>
      <c r="NJ402" s="120"/>
      <c r="NK402" s="120"/>
      <c r="NL402" s="120"/>
      <c r="NM402" s="120"/>
      <c r="NN402" s="120"/>
      <c r="NO402" s="120"/>
      <c r="NP402" s="120"/>
      <c r="NQ402" s="120"/>
      <c r="NR402" s="120"/>
      <c r="NS402" s="120"/>
      <c r="NT402" s="120"/>
      <c r="NU402" s="120"/>
      <c r="NV402" s="120"/>
      <c r="NW402" s="120"/>
      <c r="NX402" s="120"/>
      <c r="NY402" s="120"/>
      <c r="NZ402" s="120"/>
      <c r="OA402" s="120"/>
      <c r="OB402" s="120"/>
      <c r="OC402" s="120"/>
      <c r="OD402" s="120"/>
      <c r="OE402" s="120"/>
      <c r="OF402" s="120"/>
      <c r="OG402" s="120"/>
      <c r="OH402" s="120"/>
      <c r="OI402" s="120"/>
      <c r="OJ402" s="120"/>
      <c r="OK402" s="120"/>
      <c r="OL402" s="120"/>
      <c r="OM402" s="120"/>
      <c r="ON402" s="120"/>
      <c r="OO402" s="120"/>
      <c r="OP402" s="120"/>
      <c r="OQ402" s="120"/>
      <c r="OR402" s="120"/>
      <c r="OS402" s="120"/>
      <c r="OT402" s="120"/>
      <c r="OU402" s="120"/>
      <c r="OV402" s="120"/>
      <c r="OW402" s="120"/>
      <c r="OX402" s="120"/>
      <c r="OY402" s="120"/>
      <c r="OZ402" s="120"/>
      <c r="PA402" s="120"/>
      <c r="PB402" s="120"/>
      <c r="PC402" s="120"/>
      <c r="PD402" s="120"/>
      <c r="PE402" s="120"/>
      <c r="PF402" s="120"/>
      <c r="PG402" s="120"/>
      <c r="PH402" s="120"/>
      <c r="PI402" s="120"/>
      <c r="PJ402" s="120"/>
      <c r="PK402" s="120"/>
      <c r="PL402" s="120"/>
      <c r="PM402" s="120"/>
      <c r="PN402" s="120"/>
      <c r="PO402" s="120"/>
      <c r="PP402" s="120"/>
      <c r="PQ402" s="120"/>
      <c r="PR402" s="120"/>
      <c r="PS402" s="120"/>
      <c r="PT402" s="120"/>
      <c r="PU402" s="120"/>
      <c r="PV402" s="120"/>
      <c r="PW402" s="120"/>
      <c r="PX402" s="120"/>
      <c r="PY402" s="120"/>
      <c r="PZ402" s="120"/>
      <c r="QA402" s="120"/>
      <c r="QB402" s="120"/>
      <c r="QC402" s="120"/>
      <c r="QD402" s="120"/>
      <c r="QE402" s="120"/>
      <c r="QF402" s="120"/>
      <c r="QG402" s="120"/>
      <c r="QH402" s="120"/>
      <c r="QI402" s="120"/>
      <c r="QJ402" s="120"/>
      <c r="QK402" s="120"/>
      <c r="QL402" s="120"/>
      <c r="QM402" s="120"/>
      <c r="QN402" s="120"/>
      <c r="QO402" s="120"/>
      <c r="QP402" s="120"/>
      <c r="QQ402" s="120"/>
      <c r="QR402" s="120"/>
      <c r="QS402" s="120"/>
      <c r="QT402" s="120"/>
      <c r="QU402" s="120"/>
      <c r="QV402" s="120"/>
      <c r="QW402" s="120"/>
      <c r="QX402" s="120"/>
      <c r="QY402" s="120"/>
      <c r="QZ402" s="120"/>
      <c r="RA402" s="120"/>
      <c r="RB402" s="120"/>
      <c r="RC402" s="120"/>
      <c r="RD402" s="120"/>
      <c r="RE402" s="120"/>
      <c r="RF402" s="120"/>
      <c r="RG402" s="120"/>
      <c r="RH402" s="120"/>
      <c r="RI402" s="120"/>
      <c r="RJ402" s="120"/>
      <c r="RK402" s="120"/>
      <c r="RL402" s="120"/>
      <c r="RM402" s="120"/>
      <c r="RN402" s="120"/>
      <c r="RO402" s="120"/>
      <c r="RP402" s="120"/>
      <c r="RQ402" s="120"/>
      <c r="RR402" s="120"/>
      <c r="RS402" s="120"/>
      <c r="RT402" s="120"/>
      <c r="RU402" s="120"/>
      <c r="RV402" s="120"/>
      <c r="RW402" s="120"/>
      <c r="RX402" s="120"/>
      <c r="RY402" s="120"/>
      <c r="RZ402" s="120"/>
      <c r="SA402" s="120"/>
      <c r="SB402" s="120"/>
      <c r="SC402" s="120"/>
      <c r="SD402" s="120"/>
      <c r="SE402" s="120"/>
      <c r="SF402" s="120"/>
      <c r="SG402" s="120"/>
      <c r="SH402" s="120"/>
      <c r="SI402" s="120"/>
      <c r="SJ402" s="120"/>
      <c r="SK402" s="120"/>
      <c r="SL402" s="120"/>
      <c r="SM402" s="120"/>
      <c r="SN402" s="120"/>
      <c r="SO402" s="120"/>
      <c r="SP402" s="120"/>
      <c r="SQ402" s="120"/>
      <c r="SR402" s="120"/>
      <c r="SS402" s="120"/>
      <c r="ST402" s="120"/>
      <c r="SU402" s="120"/>
      <c r="SV402" s="120"/>
      <c r="SW402" s="120"/>
      <c r="SX402" s="120"/>
      <c r="SY402" s="120"/>
      <c r="SZ402" s="120"/>
      <c r="TA402" s="120"/>
      <c r="TB402" s="120"/>
      <c r="TC402" s="120"/>
      <c r="TD402" s="120"/>
      <c r="TE402" s="120"/>
    </row>
    <row r="403" spans="1:525" s="121" customFormat="1" ht="30.75" customHeight="1" x14ac:dyDescent="0.25">
      <c r="A403" s="117" t="s">
        <v>255</v>
      </c>
      <c r="B403" s="118" t="str">
        <f>'дод 7'!A239</f>
        <v>7640</v>
      </c>
      <c r="C403" s="118" t="str">
        <f>'дод 7'!B239</f>
        <v>0470</v>
      </c>
      <c r="D403" s="122" t="s">
        <v>413</v>
      </c>
      <c r="E403" s="81">
        <f t="shared" si="216"/>
        <v>666700</v>
      </c>
      <c r="F403" s="81">
        <f>596800+20000+49900</f>
        <v>666700</v>
      </c>
      <c r="G403" s="81"/>
      <c r="H403" s="81"/>
      <c r="I403" s="81"/>
      <c r="J403" s="81">
        <f t="shared" ref="J403:J410" si="218">L403+O403</f>
        <v>0</v>
      </c>
      <c r="K403" s="81"/>
      <c r="L403" s="81"/>
      <c r="M403" s="81"/>
      <c r="N403" s="81"/>
      <c r="O403" s="81"/>
      <c r="P403" s="81">
        <f t="shared" si="217"/>
        <v>666700</v>
      </c>
      <c r="Q403" s="253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42.75" customHeight="1" x14ac:dyDescent="0.25">
      <c r="A404" s="117" t="s">
        <v>325</v>
      </c>
      <c r="B404" s="118" t="str">
        <f>'дод 7'!A247</f>
        <v>7693</v>
      </c>
      <c r="C404" s="118" t="str">
        <f>'дод 7'!B247</f>
        <v>0490</v>
      </c>
      <c r="D404" s="122" t="str">
        <f>'дод 7'!C247</f>
        <v>Інші заходи, пов'язані з економічною діяльністю</v>
      </c>
      <c r="E404" s="81">
        <f t="shared" si="216"/>
        <v>65800</v>
      </c>
      <c r="F404" s="81">
        <f>20000+194200+85800-234200</f>
        <v>65800</v>
      </c>
      <c r="G404" s="81"/>
      <c r="H404" s="81"/>
      <c r="I404" s="81"/>
      <c r="J404" s="81">
        <f t="shared" si="218"/>
        <v>0</v>
      </c>
      <c r="K404" s="81"/>
      <c r="L404" s="81"/>
      <c r="M404" s="81"/>
      <c r="N404" s="81"/>
      <c r="O404" s="81"/>
      <c r="P404" s="81">
        <f t="shared" si="217"/>
        <v>65800</v>
      </c>
      <c r="Q404" s="253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8.75" customHeight="1" x14ac:dyDescent="0.25">
      <c r="A405" s="117" t="s">
        <v>651</v>
      </c>
      <c r="B405" s="118">
        <v>7700</v>
      </c>
      <c r="C405" s="117" t="s">
        <v>92</v>
      </c>
      <c r="D405" s="122" t="s">
        <v>357</v>
      </c>
      <c r="E405" s="81">
        <f t="shared" si="216"/>
        <v>10000</v>
      </c>
      <c r="F405" s="81">
        <v>10000</v>
      </c>
      <c r="G405" s="81"/>
      <c r="H405" s="81"/>
      <c r="I405" s="81"/>
      <c r="J405" s="81">
        <f t="shared" si="218"/>
        <v>0</v>
      </c>
      <c r="K405" s="81"/>
      <c r="L405" s="81"/>
      <c r="M405" s="81"/>
      <c r="N405" s="81"/>
      <c r="O405" s="81"/>
      <c r="P405" s="81">
        <f t="shared" si="217"/>
        <v>10000</v>
      </c>
      <c r="Q405" s="253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31.5" customHeight="1" x14ac:dyDescent="0.25">
      <c r="A406" s="117">
        <v>3718330</v>
      </c>
      <c r="B406" s="118">
        <f>'дод 7'!A264</f>
        <v>8330</v>
      </c>
      <c r="C406" s="117" t="s">
        <v>91</v>
      </c>
      <c r="D406" s="122" t="str">
        <f>'дод 7'!C264</f>
        <v xml:space="preserve">Інша діяльність у сфері екології та охорони природних ресурсів </v>
      </c>
      <c r="E406" s="81">
        <f t="shared" si="216"/>
        <v>108000</v>
      </c>
      <c r="F406" s="81">
        <f>80000+28000</f>
        <v>108000</v>
      </c>
      <c r="G406" s="81"/>
      <c r="H406" s="81"/>
      <c r="I406" s="81"/>
      <c r="J406" s="81">
        <f t="shared" si="218"/>
        <v>0</v>
      </c>
      <c r="K406" s="81"/>
      <c r="L406" s="81"/>
      <c r="M406" s="81"/>
      <c r="N406" s="81"/>
      <c r="O406" s="81"/>
      <c r="P406" s="81">
        <f t="shared" si="217"/>
        <v>108000</v>
      </c>
      <c r="Q406" s="253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0" customHeight="1" x14ac:dyDescent="0.25">
      <c r="A407" s="117" t="s">
        <v>218</v>
      </c>
      <c r="B407" s="118" t="str">
        <f>'дод 7'!A265</f>
        <v>8340</v>
      </c>
      <c r="C407" s="117" t="str">
        <f>'дод 7'!B265</f>
        <v>0540</v>
      </c>
      <c r="D407" s="122" t="str">
        <f>'дод 7'!C265</f>
        <v>Природоохоронні заходи за рахунок цільових фондів</v>
      </c>
      <c r="E407" s="81">
        <f t="shared" si="216"/>
        <v>0</v>
      </c>
      <c r="F407" s="81"/>
      <c r="G407" s="81"/>
      <c r="H407" s="81"/>
      <c r="I407" s="81"/>
      <c r="J407" s="81">
        <f t="shared" si="218"/>
        <v>248000</v>
      </c>
      <c r="K407" s="81"/>
      <c r="L407" s="81">
        <f>140000+58000</f>
        <v>198000</v>
      </c>
      <c r="M407" s="81"/>
      <c r="N407" s="81"/>
      <c r="O407" s="81">
        <v>50000</v>
      </c>
      <c r="P407" s="81">
        <f t="shared" si="217"/>
        <v>248000</v>
      </c>
      <c r="Q407" s="253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21.75" customHeight="1" x14ac:dyDescent="0.25">
      <c r="A408" s="117" t="s">
        <v>219</v>
      </c>
      <c r="B408" s="118" t="str">
        <f>'дод 7'!A268</f>
        <v>8600</v>
      </c>
      <c r="C408" s="118" t="str">
        <f>'дод 7'!B268</f>
        <v>0170</v>
      </c>
      <c r="D408" s="122" t="str">
        <f>'дод 7'!C268</f>
        <v>Обслуговування місцевого боргу</v>
      </c>
      <c r="E408" s="81">
        <f t="shared" si="216"/>
        <v>1500809</v>
      </c>
      <c r="F408" s="81">
        <f>157286+1338191+5332</f>
        <v>1500809</v>
      </c>
      <c r="G408" s="81"/>
      <c r="H408" s="81"/>
      <c r="I408" s="81"/>
      <c r="J408" s="81">
        <f t="shared" si="218"/>
        <v>0</v>
      </c>
      <c r="K408" s="81"/>
      <c r="L408" s="81"/>
      <c r="M408" s="81"/>
      <c r="N408" s="81"/>
      <c r="O408" s="81"/>
      <c r="P408" s="81">
        <f t="shared" si="217"/>
        <v>1500809</v>
      </c>
      <c r="Q408" s="253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2.5" customHeight="1" x14ac:dyDescent="0.25">
      <c r="A409" s="117" t="s">
        <v>487</v>
      </c>
      <c r="B409" s="118">
        <v>8710</v>
      </c>
      <c r="C409" s="118" t="str">
        <f>'дод 7'!B270</f>
        <v>0133</v>
      </c>
      <c r="D409" s="122" t="str">
        <f>'дод 7'!C270</f>
        <v>Резервний фонд місцевого бюджету</v>
      </c>
      <c r="E409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</f>
        <v>37558460.560000002</v>
      </c>
      <c r="F409" s="81"/>
      <c r="G409" s="81"/>
      <c r="H409" s="81"/>
      <c r="I409" s="81"/>
      <c r="J409" s="81">
        <f t="shared" si="218"/>
        <v>0</v>
      </c>
      <c r="K409" s="81"/>
      <c r="L409" s="81"/>
      <c r="M409" s="81"/>
      <c r="N409" s="81"/>
      <c r="O409" s="81"/>
      <c r="P409" s="81">
        <f t="shared" si="217"/>
        <v>37558460.560000002</v>
      </c>
      <c r="Q409" s="253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4.75" customHeight="1" x14ac:dyDescent="0.25">
      <c r="A410" s="117" t="s">
        <v>229</v>
      </c>
      <c r="B410" s="118" t="str">
        <f>'дод 7'!A278</f>
        <v>9110</v>
      </c>
      <c r="C410" s="118" t="str">
        <f>'дод 7'!B278</f>
        <v>0180</v>
      </c>
      <c r="D410" s="122" t="str">
        <f>'дод 7'!C278</f>
        <v>Реверсна дотація</v>
      </c>
      <c r="E410" s="81">
        <f>F410+I410</f>
        <v>126998500</v>
      </c>
      <c r="F410" s="81">
        <v>126998500</v>
      </c>
      <c r="G410" s="81"/>
      <c r="H410" s="81"/>
      <c r="I410" s="81"/>
      <c r="J410" s="81">
        <f t="shared" si="218"/>
        <v>0</v>
      </c>
      <c r="K410" s="81"/>
      <c r="L410" s="81"/>
      <c r="M410" s="81"/>
      <c r="N410" s="81"/>
      <c r="O410" s="81"/>
      <c r="P410" s="81">
        <f>E410+J410</f>
        <v>126998500</v>
      </c>
      <c r="Q410" s="253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11" customFormat="1" ht="22.5" customHeight="1" x14ac:dyDescent="0.25">
      <c r="A411" s="142"/>
      <c r="B411" s="149"/>
      <c r="C411" s="161"/>
      <c r="D411" s="138" t="s">
        <v>399</v>
      </c>
      <c r="E411" s="79">
        <f t="shared" ref="E411:P411" si="219">E13+E65+E151+E192+E236+E245+E256+E321+E328+E358+E366+E373+E400+E324+E389+E381+E369</f>
        <v>2980497849.8299999</v>
      </c>
      <c r="F411" s="79">
        <f t="shared" si="219"/>
        <v>2815808317.27</v>
      </c>
      <c r="G411" s="79">
        <f t="shared" si="219"/>
        <v>1204051598.28</v>
      </c>
      <c r="H411" s="79">
        <f t="shared" si="219"/>
        <v>157356814.28999999</v>
      </c>
      <c r="I411" s="79">
        <f t="shared" si="219"/>
        <v>127131072</v>
      </c>
      <c r="J411" s="79">
        <f t="shared" si="219"/>
        <v>1613846131.1299999</v>
      </c>
      <c r="K411" s="79">
        <f t="shared" si="219"/>
        <v>1016752812.95</v>
      </c>
      <c r="L411" s="79">
        <f t="shared" si="219"/>
        <v>121466185.63</v>
      </c>
      <c r="M411" s="79">
        <f t="shared" si="219"/>
        <v>9145692</v>
      </c>
      <c r="N411" s="79">
        <f t="shared" si="219"/>
        <v>6561045</v>
      </c>
      <c r="O411" s="79">
        <f t="shared" si="219"/>
        <v>1492379945.5</v>
      </c>
      <c r="P411" s="79">
        <f t="shared" si="219"/>
        <v>4594343980.960001</v>
      </c>
      <c r="Q411" s="252">
        <v>23</v>
      </c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  <c r="CX411" s="110"/>
      <c r="CY411" s="110"/>
      <c r="CZ411" s="110"/>
      <c r="DA411" s="110"/>
      <c r="DB411" s="110"/>
      <c r="DC411" s="110"/>
      <c r="DD411" s="110"/>
      <c r="DE411" s="110"/>
      <c r="DF411" s="110"/>
      <c r="DG411" s="110"/>
      <c r="DH411" s="110"/>
      <c r="DI411" s="110"/>
      <c r="DJ411" s="110"/>
      <c r="DK411" s="110"/>
      <c r="DL411" s="110"/>
      <c r="DM411" s="110"/>
      <c r="DN411" s="110"/>
      <c r="DO411" s="110"/>
      <c r="DP411" s="110"/>
      <c r="DQ411" s="110"/>
      <c r="DR411" s="110"/>
      <c r="DS411" s="110"/>
      <c r="DT411" s="110"/>
      <c r="DU411" s="110"/>
      <c r="DV411" s="110"/>
      <c r="DW411" s="110"/>
      <c r="DX411" s="110"/>
      <c r="DY411" s="110"/>
      <c r="DZ411" s="110"/>
      <c r="EA411" s="110"/>
      <c r="EB411" s="110"/>
      <c r="EC411" s="110"/>
      <c r="ED411" s="110"/>
      <c r="EE411" s="110"/>
      <c r="EF411" s="110"/>
      <c r="EG411" s="110"/>
      <c r="EH411" s="110"/>
      <c r="EI411" s="110"/>
      <c r="EJ411" s="110"/>
      <c r="EK411" s="110"/>
      <c r="EL411" s="110"/>
      <c r="EM411" s="110"/>
      <c r="EN411" s="110"/>
      <c r="EO411" s="110"/>
      <c r="EP411" s="110"/>
      <c r="EQ411" s="110"/>
      <c r="ER411" s="110"/>
      <c r="ES411" s="110"/>
      <c r="ET411" s="110"/>
      <c r="EU411" s="110"/>
      <c r="EV411" s="110"/>
      <c r="EW411" s="110"/>
      <c r="EX411" s="110"/>
      <c r="EY411" s="110"/>
      <c r="EZ411" s="110"/>
      <c r="FA411" s="110"/>
      <c r="FB411" s="110"/>
      <c r="FC411" s="110"/>
      <c r="FD411" s="110"/>
      <c r="FE411" s="110"/>
      <c r="FF411" s="110"/>
      <c r="FG411" s="110"/>
      <c r="FH411" s="110"/>
      <c r="FI411" s="110"/>
      <c r="FJ411" s="110"/>
      <c r="FK411" s="110"/>
      <c r="FL411" s="110"/>
      <c r="FM411" s="110"/>
      <c r="FN411" s="110"/>
      <c r="FO411" s="110"/>
      <c r="FP411" s="110"/>
      <c r="FQ411" s="110"/>
      <c r="FR411" s="110"/>
      <c r="FS411" s="110"/>
      <c r="FT411" s="110"/>
      <c r="FU411" s="110"/>
      <c r="FV411" s="110"/>
      <c r="FW411" s="110"/>
      <c r="FX411" s="110"/>
      <c r="FY411" s="110"/>
      <c r="FZ411" s="110"/>
      <c r="GA411" s="110"/>
      <c r="GB411" s="110"/>
      <c r="GC411" s="110"/>
      <c r="GD411" s="110"/>
      <c r="GE411" s="110"/>
      <c r="GF411" s="110"/>
      <c r="GG411" s="110"/>
      <c r="GH411" s="110"/>
      <c r="GI411" s="110"/>
      <c r="GJ411" s="110"/>
      <c r="GK411" s="110"/>
      <c r="GL411" s="110"/>
      <c r="GM411" s="110"/>
      <c r="GN411" s="110"/>
      <c r="GO411" s="110"/>
      <c r="GP411" s="110"/>
      <c r="GQ411" s="110"/>
      <c r="GR411" s="110"/>
      <c r="GS411" s="110"/>
      <c r="GT411" s="110"/>
      <c r="GU411" s="110"/>
      <c r="GV411" s="110"/>
      <c r="GW411" s="110"/>
      <c r="GX411" s="110"/>
      <c r="GY411" s="110"/>
      <c r="GZ411" s="110"/>
      <c r="HA411" s="110"/>
      <c r="HB411" s="110"/>
      <c r="HC411" s="110"/>
      <c r="HD411" s="110"/>
      <c r="HE411" s="110"/>
      <c r="HF411" s="110"/>
      <c r="HG411" s="110"/>
      <c r="HH411" s="110"/>
      <c r="HI411" s="110"/>
      <c r="HJ411" s="110"/>
      <c r="HK411" s="110"/>
      <c r="HL411" s="110"/>
      <c r="HM411" s="110"/>
      <c r="HN411" s="110"/>
      <c r="HO411" s="110"/>
      <c r="HP411" s="110"/>
      <c r="HQ411" s="110"/>
      <c r="HR411" s="110"/>
      <c r="HS411" s="110"/>
      <c r="HT411" s="110"/>
      <c r="HU411" s="110"/>
      <c r="HV411" s="110"/>
      <c r="HW411" s="110"/>
      <c r="HX411" s="110"/>
      <c r="HY411" s="110"/>
      <c r="HZ411" s="110"/>
      <c r="IA411" s="110"/>
      <c r="IB411" s="110"/>
      <c r="IC411" s="110"/>
      <c r="ID411" s="110"/>
      <c r="IE411" s="110"/>
      <c r="IF411" s="110"/>
      <c r="IG411" s="110"/>
      <c r="IH411" s="110"/>
      <c r="II411" s="110"/>
      <c r="IJ411" s="110"/>
      <c r="IK411" s="110"/>
      <c r="IL411" s="110"/>
      <c r="IM411" s="110"/>
      <c r="IN411" s="110"/>
      <c r="IO411" s="110"/>
      <c r="IP411" s="110"/>
      <c r="IQ411" s="110"/>
      <c r="IR411" s="110"/>
      <c r="IS411" s="110"/>
      <c r="IT411" s="110"/>
      <c r="IU411" s="110"/>
      <c r="IV411" s="110"/>
      <c r="IW411" s="110"/>
      <c r="IX411" s="110"/>
      <c r="IY411" s="110"/>
      <c r="IZ411" s="110"/>
      <c r="JA411" s="110"/>
      <c r="JB411" s="110"/>
      <c r="JC411" s="110"/>
      <c r="JD411" s="110"/>
      <c r="JE411" s="110"/>
      <c r="JF411" s="110"/>
      <c r="JG411" s="110"/>
      <c r="JH411" s="110"/>
      <c r="JI411" s="110"/>
      <c r="JJ411" s="110"/>
      <c r="JK411" s="110"/>
      <c r="JL411" s="110"/>
      <c r="JM411" s="110"/>
      <c r="JN411" s="110"/>
      <c r="JO411" s="110"/>
      <c r="JP411" s="110"/>
      <c r="JQ411" s="110"/>
      <c r="JR411" s="110"/>
      <c r="JS411" s="110"/>
      <c r="JT411" s="110"/>
      <c r="JU411" s="110"/>
      <c r="JV411" s="110"/>
      <c r="JW411" s="110"/>
      <c r="JX411" s="110"/>
      <c r="JY411" s="110"/>
      <c r="JZ411" s="110"/>
      <c r="KA411" s="110"/>
      <c r="KB411" s="110"/>
      <c r="KC411" s="110"/>
      <c r="KD411" s="110"/>
      <c r="KE411" s="110"/>
      <c r="KF411" s="110"/>
      <c r="KG411" s="110"/>
      <c r="KH411" s="110"/>
      <c r="KI411" s="110"/>
      <c r="KJ411" s="110"/>
      <c r="KK411" s="110"/>
      <c r="KL411" s="110"/>
      <c r="KM411" s="110"/>
      <c r="KN411" s="110"/>
      <c r="KO411" s="110"/>
      <c r="KP411" s="110"/>
      <c r="KQ411" s="110"/>
      <c r="KR411" s="110"/>
      <c r="KS411" s="110"/>
      <c r="KT411" s="110"/>
      <c r="KU411" s="110"/>
      <c r="KV411" s="110"/>
      <c r="KW411" s="110"/>
      <c r="KX411" s="110"/>
      <c r="KY411" s="110"/>
      <c r="KZ411" s="110"/>
      <c r="LA411" s="110"/>
      <c r="LB411" s="110"/>
      <c r="LC411" s="110"/>
      <c r="LD411" s="110"/>
      <c r="LE411" s="110"/>
      <c r="LF411" s="110"/>
      <c r="LG411" s="110"/>
      <c r="LH411" s="110"/>
      <c r="LI411" s="110"/>
      <c r="LJ411" s="110"/>
      <c r="LK411" s="110"/>
      <c r="LL411" s="110"/>
      <c r="LM411" s="110"/>
      <c r="LN411" s="110"/>
      <c r="LO411" s="110"/>
      <c r="LP411" s="110"/>
      <c r="LQ411" s="110"/>
      <c r="LR411" s="110"/>
      <c r="LS411" s="110"/>
      <c r="LT411" s="110"/>
      <c r="LU411" s="110"/>
      <c r="LV411" s="110"/>
      <c r="LW411" s="110"/>
      <c r="LX411" s="110"/>
      <c r="LY411" s="110"/>
      <c r="LZ411" s="110"/>
      <c r="MA411" s="110"/>
      <c r="MB411" s="110"/>
      <c r="MC411" s="110"/>
      <c r="MD411" s="110"/>
      <c r="ME411" s="110"/>
      <c r="MF411" s="110"/>
      <c r="MG411" s="110"/>
      <c r="MH411" s="110"/>
      <c r="MI411" s="110"/>
      <c r="MJ411" s="110"/>
      <c r="MK411" s="110"/>
      <c r="ML411" s="110"/>
      <c r="MM411" s="110"/>
      <c r="MN411" s="110"/>
      <c r="MO411" s="110"/>
      <c r="MP411" s="110"/>
      <c r="MQ411" s="110"/>
      <c r="MR411" s="110"/>
      <c r="MS411" s="110"/>
      <c r="MT411" s="110"/>
      <c r="MU411" s="110"/>
      <c r="MV411" s="110"/>
      <c r="MW411" s="110"/>
      <c r="MX411" s="110"/>
      <c r="MY411" s="110"/>
      <c r="MZ411" s="110"/>
      <c r="NA411" s="110"/>
      <c r="NB411" s="110"/>
      <c r="NC411" s="110"/>
      <c r="ND411" s="110"/>
      <c r="NE411" s="110"/>
      <c r="NF411" s="110"/>
      <c r="NG411" s="110"/>
      <c r="NH411" s="110"/>
      <c r="NI411" s="110"/>
      <c r="NJ411" s="110"/>
      <c r="NK411" s="110"/>
      <c r="NL411" s="110"/>
      <c r="NM411" s="110"/>
      <c r="NN411" s="110"/>
      <c r="NO411" s="110"/>
      <c r="NP411" s="110"/>
      <c r="NQ411" s="110"/>
      <c r="NR411" s="110"/>
      <c r="NS411" s="110"/>
      <c r="NT411" s="110"/>
      <c r="NU411" s="110"/>
      <c r="NV411" s="110"/>
      <c r="NW411" s="110"/>
      <c r="NX411" s="110"/>
      <c r="NY411" s="110"/>
      <c r="NZ411" s="110"/>
      <c r="OA411" s="110"/>
      <c r="OB411" s="110"/>
      <c r="OC411" s="110"/>
      <c r="OD411" s="110"/>
      <c r="OE411" s="110"/>
      <c r="OF411" s="110"/>
      <c r="OG411" s="110"/>
      <c r="OH411" s="110"/>
      <c r="OI411" s="110"/>
      <c r="OJ411" s="110"/>
      <c r="OK411" s="110"/>
      <c r="OL411" s="110"/>
      <c r="OM411" s="110"/>
      <c r="ON411" s="110"/>
      <c r="OO411" s="110"/>
      <c r="OP411" s="110"/>
      <c r="OQ411" s="110"/>
      <c r="OR411" s="110"/>
      <c r="OS411" s="110"/>
      <c r="OT411" s="110"/>
      <c r="OU411" s="110"/>
      <c r="OV411" s="110"/>
      <c r="OW411" s="110"/>
      <c r="OX411" s="110"/>
      <c r="OY411" s="110"/>
      <c r="OZ411" s="110"/>
      <c r="PA411" s="110"/>
      <c r="PB411" s="110"/>
      <c r="PC411" s="110"/>
      <c r="PD411" s="110"/>
      <c r="PE411" s="110"/>
      <c r="PF411" s="110"/>
      <c r="PG411" s="110"/>
      <c r="PH411" s="110"/>
      <c r="PI411" s="110"/>
      <c r="PJ411" s="110"/>
      <c r="PK411" s="110"/>
      <c r="PL411" s="110"/>
      <c r="PM411" s="110"/>
      <c r="PN411" s="110"/>
      <c r="PO411" s="110"/>
      <c r="PP411" s="110"/>
      <c r="PQ411" s="110"/>
      <c r="PR411" s="110"/>
      <c r="PS411" s="110"/>
      <c r="PT411" s="110"/>
      <c r="PU411" s="110"/>
      <c r="PV411" s="110"/>
      <c r="PW411" s="110"/>
      <c r="PX411" s="110"/>
      <c r="PY411" s="110"/>
      <c r="PZ411" s="110"/>
      <c r="QA411" s="110"/>
      <c r="QB411" s="110"/>
      <c r="QC411" s="110"/>
      <c r="QD411" s="110"/>
      <c r="QE411" s="110"/>
      <c r="QF411" s="110"/>
      <c r="QG411" s="110"/>
      <c r="QH411" s="110"/>
      <c r="QI411" s="110"/>
      <c r="QJ411" s="110"/>
      <c r="QK411" s="110"/>
      <c r="QL411" s="110"/>
      <c r="QM411" s="110"/>
      <c r="QN411" s="110"/>
      <c r="QO411" s="110"/>
      <c r="QP411" s="110"/>
      <c r="QQ411" s="110"/>
      <c r="QR411" s="110"/>
      <c r="QS411" s="110"/>
      <c r="QT411" s="110"/>
      <c r="QU411" s="110"/>
      <c r="QV411" s="110"/>
      <c r="QW411" s="110"/>
      <c r="QX411" s="110"/>
      <c r="QY411" s="110"/>
      <c r="QZ411" s="110"/>
      <c r="RA411" s="110"/>
      <c r="RB411" s="110"/>
      <c r="RC411" s="110"/>
      <c r="RD411" s="110"/>
      <c r="RE411" s="110"/>
      <c r="RF411" s="110"/>
      <c r="RG411" s="110"/>
      <c r="RH411" s="110"/>
      <c r="RI411" s="110"/>
      <c r="RJ411" s="110"/>
      <c r="RK411" s="110"/>
      <c r="RL411" s="110"/>
      <c r="RM411" s="110"/>
      <c r="RN411" s="110"/>
      <c r="RO411" s="110"/>
      <c r="RP411" s="110"/>
      <c r="RQ411" s="110"/>
      <c r="RR411" s="110"/>
      <c r="RS411" s="110"/>
      <c r="RT411" s="110"/>
      <c r="RU411" s="110"/>
      <c r="RV411" s="110"/>
      <c r="RW411" s="110"/>
      <c r="RX411" s="110"/>
      <c r="RY411" s="110"/>
      <c r="RZ411" s="110"/>
      <c r="SA411" s="110"/>
      <c r="SB411" s="110"/>
      <c r="SC411" s="110"/>
      <c r="SD411" s="110"/>
      <c r="SE411" s="110"/>
      <c r="SF411" s="110"/>
      <c r="SG411" s="110"/>
      <c r="SH411" s="110"/>
      <c r="SI411" s="110"/>
      <c r="SJ411" s="110"/>
      <c r="SK411" s="110"/>
      <c r="SL411" s="110"/>
      <c r="SM411" s="110"/>
      <c r="SN411" s="110"/>
      <c r="SO411" s="110"/>
      <c r="SP411" s="110"/>
      <c r="SQ411" s="110"/>
      <c r="SR411" s="110"/>
      <c r="SS411" s="110"/>
      <c r="ST411" s="110"/>
      <c r="SU411" s="110"/>
      <c r="SV411" s="110"/>
      <c r="SW411" s="110"/>
      <c r="SX411" s="110"/>
      <c r="SY411" s="110"/>
      <c r="SZ411" s="110"/>
      <c r="TA411" s="110"/>
      <c r="TB411" s="110"/>
      <c r="TC411" s="110"/>
      <c r="TD411" s="110"/>
      <c r="TE411" s="110"/>
    </row>
    <row r="412" spans="1:525" s="116" customFormat="1" ht="30.75" customHeight="1" x14ac:dyDescent="0.25">
      <c r="A412" s="112"/>
      <c r="B412" s="141"/>
      <c r="C412" s="113"/>
      <c r="D412" s="114" t="s">
        <v>394</v>
      </c>
      <c r="E412" s="80">
        <f t="shared" ref="E412:P412" si="220">E67+E69+E76+E330+E265</f>
        <v>473819800</v>
      </c>
      <c r="F412" s="80">
        <f t="shared" si="220"/>
        <v>473819800</v>
      </c>
      <c r="G412" s="80">
        <f t="shared" si="220"/>
        <v>389019340</v>
      </c>
      <c r="H412" s="80">
        <f t="shared" si="220"/>
        <v>0</v>
      </c>
      <c r="I412" s="80">
        <f t="shared" si="220"/>
        <v>0</v>
      </c>
      <c r="J412" s="80">
        <f t="shared" si="220"/>
        <v>400000000</v>
      </c>
      <c r="K412" s="80">
        <f t="shared" si="220"/>
        <v>0</v>
      </c>
      <c r="L412" s="80">
        <f t="shared" si="220"/>
        <v>0</v>
      </c>
      <c r="M412" s="80">
        <f t="shared" si="220"/>
        <v>0</v>
      </c>
      <c r="N412" s="80">
        <f t="shared" si="220"/>
        <v>0</v>
      </c>
      <c r="O412" s="80">
        <f t="shared" si="220"/>
        <v>400000000</v>
      </c>
      <c r="P412" s="80">
        <f t="shared" si="220"/>
        <v>873819800</v>
      </c>
      <c r="Q412" s="252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  <c r="BS412" s="115"/>
      <c r="BT412" s="115"/>
      <c r="BU412" s="115"/>
      <c r="BV412" s="115"/>
      <c r="BW412" s="115"/>
      <c r="BX412" s="115"/>
      <c r="BY412" s="115"/>
      <c r="BZ412" s="115"/>
      <c r="CA412" s="115"/>
      <c r="CB412" s="115"/>
      <c r="CC412" s="115"/>
      <c r="CD412" s="115"/>
      <c r="CE412" s="115"/>
      <c r="CF412" s="115"/>
      <c r="CG412" s="115"/>
      <c r="CH412" s="115"/>
      <c r="CI412" s="115"/>
      <c r="CJ412" s="115"/>
      <c r="CK412" s="115"/>
      <c r="CL412" s="115"/>
      <c r="CM412" s="115"/>
      <c r="CN412" s="115"/>
      <c r="CO412" s="115"/>
      <c r="CP412" s="115"/>
      <c r="CQ412" s="115"/>
      <c r="CR412" s="115"/>
      <c r="CS412" s="115"/>
      <c r="CT412" s="115"/>
      <c r="CU412" s="115"/>
      <c r="CV412" s="115"/>
      <c r="CW412" s="115"/>
      <c r="CX412" s="115"/>
      <c r="CY412" s="115"/>
      <c r="CZ412" s="115"/>
      <c r="DA412" s="115"/>
      <c r="DB412" s="115"/>
      <c r="DC412" s="115"/>
      <c r="DD412" s="115"/>
      <c r="DE412" s="115"/>
      <c r="DF412" s="115"/>
      <c r="DG412" s="115"/>
      <c r="DH412" s="115"/>
      <c r="DI412" s="115"/>
      <c r="DJ412" s="115"/>
      <c r="DK412" s="115"/>
      <c r="DL412" s="115"/>
      <c r="DM412" s="115"/>
      <c r="DN412" s="115"/>
      <c r="DO412" s="115"/>
      <c r="DP412" s="115"/>
      <c r="DQ412" s="115"/>
      <c r="DR412" s="115"/>
      <c r="DS412" s="115"/>
      <c r="DT412" s="115"/>
      <c r="DU412" s="115"/>
      <c r="DV412" s="115"/>
      <c r="DW412" s="115"/>
      <c r="DX412" s="115"/>
      <c r="DY412" s="115"/>
      <c r="DZ412" s="115"/>
      <c r="EA412" s="115"/>
      <c r="EB412" s="115"/>
      <c r="EC412" s="115"/>
      <c r="ED412" s="115"/>
      <c r="EE412" s="115"/>
      <c r="EF412" s="115"/>
      <c r="EG412" s="115"/>
      <c r="EH412" s="115"/>
      <c r="EI412" s="115"/>
      <c r="EJ412" s="115"/>
      <c r="EK412" s="115"/>
      <c r="EL412" s="115"/>
      <c r="EM412" s="115"/>
      <c r="EN412" s="115"/>
      <c r="EO412" s="115"/>
      <c r="EP412" s="115"/>
      <c r="EQ412" s="115"/>
      <c r="ER412" s="115"/>
      <c r="ES412" s="115"/>
      <c r="ET412" s="115"/>
      <c r="EU412" s="115"/>
      <c r="EV412" s="115"/>
      <c r="EW412" s="115"/>
      <c r="EX412" s="115"/>
      <c r="EY412" s="115"/>
      <c r="EZ412" s="115"/>
      <c r="FA412" s="115"/>
      <c r="FB412" s="115"/>
      <c r="FC412" s="115"/>
      <c r="FD412" s="115"/>
      <c r="FE412" s="115"/>
      <c r="FF412" s="115"/>
      <c r="FG412" s="115"/>
      <c r="FH412" s="115"/>
      <c r="FI412" s="115"/>
      <c r="FJ412" s="115"/>
      <c r="FK412" s="115"/>
      <c r="FL412" s="115"/>
      <c r="FM412" s="115"/>
      <c r="FN412" s="115"/>
      <c r="FO412" s="115"/>
      <c r="FP412" s="115"/>
      <c r="FQ412" s="115"/>
      <c r="FR412" s="115"/>
      <c r="FS412" s="115"/>
      <c r="FT412" s="115"/>
      <c r="FU412" s="115"/>
      <c r="FV412" s="115"/>
      <c r="FW412" s="115"/>
      <c r="FX412" s="115"/>
      <c r="FY412" s="115"/>
      <c r="FZ412" s="115"/>
      <c r="GA412" s="115"/>
      <c r="GB412" s="115"/>
      <c r="GC412" s="115"/>
      <c r="GD412" s="115"/>
      <c r="GE412" s="115"/>
      <c r="GF412" s="115"/>
      <c r="GG412" s="115"/>
      <c r="GH412" s="115"/>
      <c r="GI412" s="115"/>
      <c r="GJ412" s="115"/>
      <c r="GK412" s="115"/>
      <c r="GL412" s="115"/>
      <c r="GM412" s="115"/>
      <c r="GN412" s="115"/>
      <c r="GO412" s="115"/>
      <c r="GP412" s="115"/>
      <c r="GQ412" s="115"/>
      <c r="GR412" s="115"/>
      <c r="GS412" s="115"/>
      <c r="GT412" s="115"/>
      <c r="GU412" s="115"/>
      <c r="GV412" s="115"/>
      <c r="GW412" s="115"/>
      <c r="GX412" s="115"/>
      <c r="GY412" s="115"/>
      <c r="GZ412" s="115"/>
      <c r="HA412" s="115"/>
      <c r="HB412" s="115"/>
      <c r="HC412" s="115"/>
      <c r="HD412" s="115"/>
      <c r="HE412" s="115"/>
      <c r="HF412" s="115"/>
      <c r="HG412" s="115"/>
      <c r="HH412" s="115"/>
      <c r="HI412" s="115"/>
      <c r="HJ412" s="115"/>
      <c r="HK412" s="115"/>
      <c r="HL412" s="115"/>
      <c r="HM412" s="115"/>
      <c r="HN412" s="115"/>
      <c r="HO412" s="115"/>
      <c r="HP412" s="115"/>
      <c r="HQ412" s="115"/>
      <c r="HR412" s="115"/>
      <c r="HS412" s="115"/>
      <c r="HT412" s="115"/>
      <c r="HU412" s="115"/>
      <c r="HV412" s="115"/>
      <c r="HW412" s="115"/>
      <c r="HX412" s="115"/>
      <c r="HY412" s="115"/>
      <c r="HZ412" s="115"/>
      <c r="IA412" s="115"/>
      <c r="IB412" s="115"/>
      <c r="IC412" s="115"/>
      <c r="ID412" s="115"/>
      <c r="IE412" s="115"/>
      <c r="IF412" s="115"/>
      <c r="IG412" s="115"/>
      <c r="IH412" s="115"/>
      <c r="II412" s="115"/>
      <c r="IJ412" s="115"/>
      <c r="IK412" s="115"/>
      <c r="IL412" s="115"/>
      <c r="IM412" s="115"/>
      <c r="IN412" s="115"/>
      <c r="IO412" s="115"/>
      <c r="IP412" s="115"/>
      <c r="IQ412" s="115"/>
      <c r="IR412" s="115"/>
      <c r="IS412" s="115"/>
      <c r="IT412" s="115"/>
      <c r="IU412" s="115"/>
      <c r="IV412" s="115"/>
      <c r="IW412" s="115"/>
      <c r="IX412" s="115"/>
      <c r="IY412" s="115"/>
      <c r="IZ412" s="115"/>
      <c r="JA412" s="115"/>
      <c r="JB412" s="115"/>
      <c r="JC412" s="115"/>
      <c r="JD412" s="115"/>
      <c r="JE412" s="115"/>
      <c r="JF412" s="115"/>
      <c r="JG412" s="115"/>
      <c r="JH412" s="115"/>
      <c r="JI412" s="115"/>
      <c r="JJ412" s="115"/>
      <c r="JK412" s="115"/>
      <c r="JL412" s="115"/>
      <c r="JM412" s="115"/>
      <c r="JN412" s="115"/>
      <c r="JO412" s="115"/>
      <c r="JP412" s="115"/>
      <c r="JQ412" s="115"/>
      <c r="JR412" s="115"/>
      <c r="JS412" s="115"/>
      <c r="JT412" s="115"/>
      <c r="JU412" s="115"/>
      <c r="JV412" s="115"/>
      <c r="JW412" s="115"/>
      <c r="JX412" s="115"/>
      <c r="JY412" s="115"/>
      <c r="JZ412" s="115"/>
      <c r="KA412" s="115"/>
      <c r="KB412" s="115"/>
      <c r="KC412" s="115"/>
      <c r="KD412" s="115"/>
      <c r="KE412" s="115"/>
      <c r="KF412" s="115"/>
      <c r="KG412" s="115"/>
      <c r="KH412" s="115"/>
      <c r="KI412" s="115"/>
      <c r="KJ412" s="115"/>
      <c r="KK412" s="115"/>
      <c r="KL412" s="115"/>
      <c r="KM412" s="115"/>
      <c r="KN412" s="115"/>
      <c r="KO412" s="115"/>
      <c r="KP412" s="115"/>
      <c r="KQ412" s="115"/>
      <c r="KR412" s="115"/>
      <c r="KS412" s="115"/>
      <c r="KT412" s="115"/>
      <c r="KU412" s="115"/>
      <c r="KV412" s="115"/>
      <c r="KW412" s="115"/>
      <c r="KX412" s="115"/>
      <c r="KY412" s="115"/>
      <c r="KZ412" s="115"/>
      <c r="LA412" s="115"/>
      <c r="LB412" s="115"/>
      <c r="LC412" s="115"/>
      <c r="LD412" s="115"/>
      <c r="LE412" s="115"/>
      <c r="LF412" s="115"/>
      <c r="LG412" s="115"/>
      <c r="LH412" s="115"/>
      <c r="LI412" s="115"/>
      <c r="LJ412" s="115"/>
      <c r="LK412" s="115"/>
      <c r="LL412" s="115"/>
      <c r="LM412" s="115"/>
      <c r="LN412" s="115"/>
      <c r="LO412" s="115"/>
      <c r="LP412" s="115"/>
      <c r="LQ412" s="115"/>
      <c r="LR412" s="115"/>
      <c r="LS412" s="115"/>
      <c r="LT412" s="115"/>
      <c r="LU412" s="115"/>
      <c r="LV412" s="115"/>
      <c r="LW412" s="115"/>
      <c r="LX412" s="115"/>
      <c r="LY412" s="115"/>
      <c r="LZ412" s="115"/>
      <c r="MA412" s="115"/>
      <c r="MB412" s="115"/>
      <c r="MC412" s="115"/>
      <c r="MD412" s="115"/>
      <c r="ME412" s="115"/>
      <c r="MF412" s="115"/>
      <c r="MG412" s="115"/>
      <c r="MH412" s="115"/>
      <c r="MI412" s="115"/>
      <c r="MJ412" s="115"/>
      <c r="MK412" s="115"/>
      <c r="ML412" s="115"/>
      <c r="MM412" s="115"/>
      <c r="MN412" s="115"/>
      <c r="MO412" s="115"/>
      <c r="MP412" s="115"/>
      <c r="MQ412" s="115"/>
      <c r="MR412" s="115"/>
      <c r="MS412" s="115"/>
      <c r="MT412" s="115"/>
      <c r="MU412" s="115"/>
      <c r="MV412" s="115"/>
      <c r="MW412" s="115"/>
      <c r="MX412" s="115"/>
      <c r="MY412" s="115"/>
      <c r="MZ412" s="115"/>
      <c r="NA412" s="115"/>
      <c r="NB412" s="115"/>
      <c r="NC412" s="115"/>
      <c r="ND412" s="115"/>
      <c r="NE412" s="115"/>
      <c r="NF412" s="115"/>
      <c r="NG412" s="115"/>
      <c r="NH412" s="115"/>
      <c r="NI412" s="115"/>
      <c r="NJ412" s="115"/>
      <c r="NK412" s="115"/>
      <c r="NL412" s="115"/>
      <c r="NM412" s="115"/>
      <c r="NN412" s="115"/>
      <c r="NO412" s="115"/>
      <c r="NP412" s="115"/>
      <c r="NQ412" s="115"/>
      <c r="NR412" s="115"/>
      <c r="NS412" s="115"/>
      <c r="NT412" s="115"/>
      <c r="NU412" s="115"/>
      <c r="NV412" s="115"/>
      <c r="NW412" s="115"/>
      <c r="NX412" s="115"/>
      <c r="NY412" s="115"/>
      <c r="NZ412" s="115"/>
      <c r="OA412" s="115"/>
      <c r="OB412" s="115"/>
      <c r="OC412" s="115"/>
      <c r="OD412" s="115"/>
      <c r="OE412" s="115"/>
      <c r="OF412" s="115"/>
      <c r="OG412" s="115"/>
      <c r="OH412" s="115"/>
      <c r="OI412" s="115"/>
      <c r="OJ412" s="115"/>
      <c r="OK412" s="115"/>
      <c r="OL412" s="115"/>
      <c r="OM412" s="115"/>
      <c r="ON412" s="115"/>
      <c r="OO412" s="115"/>
      <c r="OP412" s="115"/>
      <c r="OQ412" s="115"/>
      <c r="OR412" s="115"/>
      <c r="OS412" s="115"/>
      <c r="OT412" s="115"/>
      <c r="OU412" s="115"/>
      <c r="OV412" s="115"/>
      <c r="OW412" s="115"/>
      <c r="OX412" s="115"/>
      <c r="OY412" s="115"/>
      <c r="OZ412" s="115"/>
      <c r="PA412" s="115"/>
      <c r="PB412" s="115"/>
      <c r="PC412" s="115"/>
      <c r="PD412" s="115"/>
      <c r="PE412" s="115"/>
      <c r="PF412" s="115"/>
      <c r="PG412" s="115"/>
      <c r="PH412" s="115"/>
      <c r="PI412" s="115"/>
      <c r="PJ412" s="115"/>
      <c r="PK412" s="115"/>
      <c r="PL412" s="115"/>
      <c r="PM412" s="115"/>
      <c r="PN412" s="115"/>
      <c r="PO412" s="115"/>
      <c r="PP412" s="115"/>
      <c r="PQ412" s="115"/>
      <c r="PR412" s="115"/>
      <c r="PS412" s="115"/>
      <c r="PT412" s="115"/>
      <c r="PU412" s="115"/>
      <c r="PV412" s="115"/>
      <c r="PW412" s="115"/>
      <c r="PX412" s="115"/>
      <c r="PY412" s="115"/>
      <c r="PZ412" s="115"/>
      <c r="QA412" s="115"/>
      <c r="QB412" s="115"/>
      <c r="QC412" s="115"/>
      <c r="QD412" s="115"/>
      <c r="QE412" s="115"/>
      <c r="QF412" s="115"/>
      <c r="QG412" s="115"/>
      <c r="QH412" s="115"/>
      <c r="QI412" s="115"/>
      <c r="QJ412" s="115"/>
      <c r="QK412" s="115"/>
      <c r="QL412" s="115"/>
      <c r="QM412" s="115"/>
      <c r="QN412" s="115"/>
      <c r="QO412" s="115"/>
      <c r="QP412" s="115"/>
      <c r="QQ412" s="115"/>
      <c r="QR412" s="115"/>
      <c r="QS412" s="115"/>
      <c r="QT412" s="115"/>
      <c r="QU412" s="115"/>
      <c r="QV412" s="115"/>
      <c r="QW412" s="115"/>
      <c r="QX412" s="115"/>
      <c r="QY412" s="115"/>
      <c r="QZ412" s="115"/>
      <c r="RA412" s="115"/>
      <c r="RB412" s="115"/>
      <c r="RC412" s="115"/>
      <c r="RD412" s="115"/>
      <c r="RE412" s="115"/>
      <c r="RF412" s="115"/>
      <c r="RG412" s="115"/>
      <c r="RH412" s="115"/>
      <c r="RI412" s="115"/>
      <c r="RJ412" s="115"/>
      <c r="RK412" s="115"/>
      <c r="RL412" s="115"/>
      <c r="RM412" s="115"/>
      <c r="RN412" s="115"/>
      <c r="RO412" s="115"/>
      <c r="RP412" s="115"/>
      <c r="RQ412" s="115"/>
      <c r="RR412" s="115"/>
      <c r="RS412" s="115"/>
      <c r="RT412" s="115"/>
      <c r="RU412" s="115"/>
      <c r="RV412" s="115"/>
      <c r="RW412" s="115"/>
      <c r="RX412" s="115"/>
      <c r="RY412" s="115"/>
      <c r="RZ412" s="115"/>
      <c r="SA412" s="115"/>
      <c r="SB412" s="115"/>
      <c r="SC412" s="115"/>
      <c r="SD412" s="115"/>
      <c r="SE412" s="115"/>
      <c r="SF412" s="115"/>
      <c r="SG412" s="115"/>
      <c r="SH412" s="115"/>
      <c r="SI412" s="115"/>
      <c r="SJ412" s="115"/>
      <c r="SK412" s="115"/>
      <c r="SL412" s="115"/>
      <c r="SM412" s="115"/>
      <c r="SN412" s="115"/>
      <c r="SO412" s="115"/>
      <c r="SP412" s="115"/>
      <c r="SQ412" s="115"/>
      <c r="SR412" s="115"/>
      <c r="SS412" s="115"/>
      <c r="ST412" s="115"/>
      <c r="SU412" s="115"/>
      <c r="SV412" s="115"/>
      <c r="SW412" s="115"/>
      <c r="SX412" s="115"/>
      <c r="SY412" s="115"/>
      <c r="SZ412" s="115"/>
      <c r="TA412" s="115"/>
      <c r="TB412" s="115"/>
      <c r="TC412" s="115"/>
      <c r="TD412" s="115"/>
      <c r="TE412" s="115"/>
    </row>
    <row r="413" spans="1:525" s="116" customFormat="1" ht="32.25" customHeight="1" x14ac:dyDescent="0.25">
      <c r="A413" s="112"/>
      <c r="B413" s="141"/>
      <c r="C413" s="113"/>
      <c r="D413" s="114" t="s">
        <v>395</v>
      </c>
      <c r="E413" s="80">
        <f>E15+E70+E71+E72+E196+E153+E194+E197+E195+E78+E331+E258+E79+E266+E80+E81+E159</f>
        <v>9778293.8299999982</v>
      </c>
      <c r="F413" s="80">
        <f t="shared" ref="F413:P413" si="221">F15+F70+F71+F72+F196+F153+F194+F197+F195+F78+F331+F258+F79+F266+F80+F81+F159</f>
        <v>9778293.8299999982</v>
      </c>
      <c r="G413" s="80">
        <f t="shared" si="221"/>
        <v>3469886</v>
      </c>
      <c r="H413" s="80">
        <f t="shared" si="221"/>
        <v>0</v>
      </c>
      <c r="I413" s="80">
        <f t="shared" si="221"/>
        <v>0</v>
      </c>
      <c r="J413" s="80">
        <f t="shared" si="221"/>
        <v>149417432.31999999</v>
      </c>
      <c r="K413" s="80">
        <f t="shared" si="221"/>
        <v>60375264.32</v>
      </c>
      <c r="L413" s="80">
        <f t="shared" si="221"/>
        <v>19631428</v>
      </c>
      <c r="M413" s="80">
        <f t="shared" si="221"/>
        <v>0</v>
      </c>
      <c r="N413" s="80">
        <f t="shared" si="221"/>
        <v>0</v>
      </c>
      <c r="O413" s="80">
        <f t="shared" si="221"/>
        <v>129786004.31999999</v>
      </c>
      <c r="P413" s="80">
        <f t="shared" si="221"/>
        <v>159195726.15000001</v>
      </c>
      <c r="Q413" s="252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 s="115"/>
      <c r="BR413" s="115"/>
      <c r="BS413" s="115"/>
      <c r="BT413" s="115"/>
      <c r="BU413" s="115"/>
      <c r="BV413" s="115"/>
      <c r="BW413" s="115"/>
      <c r="BX413" s="115"/>
      <c r="BY413" s="115"/>
      <c r="BZ413" s="115"/>
      <c r="CA413" s="115"/>
      <c r="CB413" s="115"/>
      <c r="CC413" s="115"/>
      <c r="CD413" s="115"/>
      <c r="CE413" s="115"/>
      <c r="CF413" s="115"/>
      <c r="CG413" s="115"/>
      <c r="CH413" s="115"/>
      <c r="CI413" s="115"/>
      <c r="CJ413" s="115"/>
      <c r="CK413" s="115"/>
      <c r="CL413" s="115"/>
      <c r="CM413" s="115"/>
      <c r="CN413" s="115"/>
      <c r="CO413" s="115"/>
      <c r="CP413" s="115"/>
      <c r="CQ413" s="115"/>
      <c r="CR413" s="115"/>
      <c r="CS413" s="115"/>
      <c r="CT413" s="115"/>
      <c r="CU413" s="115"/>
      <c r="CV413" s="115"/>
      <c r="CW413" s="115"/>
      <c r="CX413" s="115"/>
      <c r="CY413" s="115"/>
      <c r="CZ413" s="115"/>
      <c r="DA413" s="115"/>
      <c r="DB413" s="115"/>
      <c r="DC413" s="115"/>
      <c r="DD413" s="115"/>
      <c r="DE413" s="115"/>
      <c r="DF413" s="115"/>
      <c r="DG413" s="115"/>
      <c r="DH413" s="115"/>
      <c r="DI413" s="115"/>
      <c r="DJ413" s="115"/>
      <c r="DK413" s="115"/>
      <c r="DL413" s="115"/>
      <c r="DM413" s="115"/>
      <c r="DN413" s="115"/>
      <c r="DO413" s="115"/>
      <c r="DP413" s="115"/>
      <c r="DQ413" s="115"/>
      <c r="DR413" s="115"/>
      <c r="DS413" s="115"/>
      <c r="DT413" s="115"/>
      <c r="DU413" s="115"/>
      <c r="DV413" s="115"/>
      <c r="DW413" s="115"/>
      <c r="DX413" s="115"/>
      <c r="DY413" s="115"/>
      <c r="DZ413" s="115"/>
      <c r="EA413" s="115"/>
      <c r="EB413" s="115"/>
      <c r="EC413" s="115"/>
      <c r="ED413" s="115"/>
      <c r="EE413" s="115"/>
      <c r="EF413" s="115"/>
      <c r="EG413" s="115"/>
      <c r="EH413" s="115"/>
      <c r="EI413" s="115"/>
      <c r="EJ413" s="115"/>
      <c r="EK413" s="115"/>
      <c r="EL413" s="115"/>
      <c r="EM413" s="115"/>
      <c r="EN413" s="115"/>
      <c r="EO413" s="115"/>
      <c r="EP413" s="115"/>
      <c r="EQ413" s="115"/>
      <c r="ER413" s="115"/>
      <c r="ES413" s="115"/>
      <c r="ET413" s="115"/>
      <c r="EU413" s="115"/>
      <c r="EV413" s="115"/>
      <c r="EW413" s="115"/>
      <c r="EX413" s="115"/>
      <c r="EY413" s="115"/>
      <c r="EZ413" s="115"/>
      <c r="FA413" s="115"/>
      <c r="FB413" s="115"/>
      <c r="FC413" s="115"/>
      <c r="FD413" s="115"/>
      <c r="FE413" s="115"/>
      <c r="FF413" s="115"/>
      <c r="FG413" s="115"/>
      <c r="FH413" s="115"/>
      <c r="FI413" s="115"/>
      <c r="FJ413" s="115"/>
      <c r="FK413" s="115"/>
      <c r="FL413" s="115"/>
      <c r="FM413" s="115"/>
      <c r="FN413" s="115"/>
      <c r="FO413" s="115"/>
      <c r="FP413" s="115"/>
      <c r="FQ413" s="115"/>
      <c r="FR413" s="115"/>
      <c r="FS413" s="115"/>
      <c r="FT413" s="115"/>
      <c r="FU413" s="115"/>
      <c r="FV413" s="115"/>
      <c r="FW413" s="115"/>
      <c r="FX413" s="115"/>
      <c r="FY413" s="115"/>
      <c r="FZ413" s="115"/>
      <c r="GA413" s="115"/>
      <c r="GB413" s="115"/>
      <c r="GC413" s="115"/>
      <c r="GD413" s="115"/>
      <c r="GE413" s="115"/>
      <c r="GF413" s="115"/>
      <c r="GG413" s="115"/>
      <c r="GH413" s="115"/>
      <c r="GI413" s="115"/>
      <c r="GJ413" s="115"/>
      <c r="GK413" s="115"/>
      <c r="GL413" s="115"/>
      <c r="GM413" s="115"/>
      <c r="GN413" s="115"/>
      <c r="GO413" s="115"/>
      <c r="GP413" s="115"/>
      <c r="GQ413" s="115"/>
      <c r="GR413" s="115"/>
      <c r="GS413" s="115"/>
      <c r="GT413" s="115"/>
      <c r="GU413" s="115"/>
      <c r="GV413" s="115"/>
      <c r="GW413" s="115"/>
      <c r="GX413" s="115"/>
      <c r="GY413" s="115"/>
      <c r="GZ413" s="115"/>
      <c r="HA413" s="115"/>
      <c r="HB413" s="115"/>
      <c r="HC413" s="115"/>
      <c r="HD413" s="115"/>
      <c r="HE413" s="115"/>
      <c r="HF413" s="115"/>
      <c r="HG413" s="115"/>
      <c r="HH413" s="115"/>
      <c r="HI413" s="115"/>
      <c r="HJ413" s="115"/>
      <c r="HK413" s="115"/>
      <c r="HL413" s="115"/>
      <c r="HM413" s="115"/>
      <c r="HN413" s="115"/>
      <c r="HO413" s="115"/>
      <c r="HP413" s="115"/>
      <c r="HQ413" s="115"/>
      <c r="HR413" s="115"/>
      <c r="HS413" s="115"/>
      <c r="HT413" s="115"/>
      <c r="HU413" s="115"/>
      <c r="HV413" s="115"/>
      <c r="HW413" s="115"/>
      <c r="HX413" s="115"/>
      <c r="HY413" s="115"/>
      <c r="HZ413" s="115"/>
      <c r="IA413" s="115"/>
      <c r="IB413" s="115"/>
      <c r="IC413" s="115"/>
      <c r="ID413" s="115"/>
      <c r="IE413" s="115"/>
      <c r="IF413" s="115"/>
      <c r="IG413" s="115"/>
      <c r="IH413" s="115"/>
      <c r="II413" s="115"/>
      <c r="IJ413" s="115"/>
      <c r="IK413" s="115"/>
      <c r="IL413" s="115"/>
      <c r="IM413" s="115"/>
      <c r="IN413" s="115"/>
      <c r="IO413" s="115"/>
      <c r="IP413" s="115"/>
      <c r="IQ413" s="115"/>
      <c r="IR413" s="115"/>
      <c r="IS413" s="115"/>
      <c r="IT413" s="115"/>
      <c r="IU413" s="115"/>
      <c r="IV413" s="115"/>
      <c r="IW413" s="115"/>
      <c r="IX413" s="115"/>
      <c r="IY413" s="115"/>
      <c r="IZ413" s="115"/>
      <c r="JA413" s="115"/>
      <c r="JB413" s="115"/>
      <c r="JC413" s="115"/>
      <c r="JD413" s="115"/>
      <c r="JE413" s="115"/>
      <c r="JF413" s="115"/>
      <c r="JG413" s="115"/>
      <c r="JH413" s="115"/>
      <c r="JI413" s="115"/>
      <c r="JJ413" s="115"/>
      <c r="JK413" s="115"/>
      <c r="JL413" s="115"/>
      <c r="JM413" s="115"/>
      <c r="JN413" s="115"/>
      <c r="JO413" s="115"/>
      <c r="JP413" s="115"/>
      <c r="JQ413" s="115"/>
      <c r="JR413" s="115"/>
      <c r="JS413" s="115"/>
      <c r="JT413" s="115"/>
      <c r="JU413" s="115"/>
      <c r="JV413" s="115"/>
      <c r="JW413" s="115"/>
      <c r="JX413" s="115"/>
      <c r="JY413" s="115"/>
      <c r="JZ413" s="115"/>
      <c r="KA413" s="115"/>
      <c r="KB413" s="115"/>
      <c r="KC413" s="115"/>
      <c r="KD413" s="115"/>
      <c r="KE413" s="115"/>
      <c r="KF413" s="115"/>
      <c r="KG413" s="115"/>
      <c r="KH413" s="115"/>
      <c r="KI413" s="115"/>
      <c r="KJ413" s="115"/>
      <c r="KK413" s="115"/>
      <c r="KL413" s="115"/>
      <c r="KM413" s="115"/>
      <c r="KN413" s="115"/>
      <c r="KO413" s="115"/>
      <c r="KP413" s="115"/>
      <c r="KQ413" s="115"/>
      <c r="KR413" s="115"/>
      <c r="KS413" s="115"/>
      <c r="KT413" s="115"/>
      <c r="KU413" s="115"/>
      <c r="KV413" s="115"/>
      <c r="KW413" s="115"/>
      <c r="KX413" s="115"/>
      <c r="KY413" s="115"/>
      <c r="KZ413" s="115"/>
      <c r="LA413" s="115"/>
      <c r="LB413" s="115"/>
      <c r="LC413" s="115"/>
      <c r="LD413" s="115"/>
      <c r="LE413" s="115"/>
      <c r="LF413" s="115"/>
      <c r="LG413" s="115"/>
      <c r="LH413" s="115"/>
      <c r="LI413" s="115"/>
      <c r="LJ413" s="115"/>
      <c r="LK413" s="115"/>
      <c r="LL413" s="115"/>
      <c r="LM413" s="115"/>
      <c r="LN413" s="115"/>
      <c r="LO413" s="115"/>
      <c r="LP413" s="115"/>
      <c r="LQ413" s="115"/>
      <c r="LR413" s="115"/>
      <c r="LS413" s="115"/>
      <c r="LT413" s="115"/>
      <c r="LU413" s="115"/>
      <c r="LV413" s="115"/>
      <c r="LW413" s="115"/>
      <c r="LX413" s="115"/>
      <c r="LY413" s="115"/>
      <c r="LZ413" s="115"/>
      <c r="MA413" s="115"/>
      <c r="MB413" s="115"/>
      <c r="MC413" s="115"/>
      <c r="MD413" s="115"/>
      <c r="ME413" s="115"/>
      <c r="MF413" s="115"/>
      <c r="MG413" s="115"/>
      <c r="MH413" s="115"/>
      <c r="MI413" s="115"/>
      <c r="MJ413" s="115"/>
      <c r="MK413" s="115"/>
      <c r="ML413" s="115"/>
      <c r="MM413" s="115"/>
      <c r="MN413" s="115"/>
      <c r="MO413" s="115"/>
      <c r="MP413" s="115"/>
      <c r="MQ413" s="115"/>
      <c r="MR413" s="115"/>
      <c r="MS413" s="115"/>
      <c r="MT413" s="115"/>
      <c r="MU413" s="115"/>
      <c r="MV413" s="115"/>
      <c r="MW413" s="115"/>
      <c r="MX413" s="115"/>
      <c r="MY413" s="115"/>
      <c r="MZ413" s="115"/>
      <c r="NA413" s="115"/>
      <c r="NB413" s="115"/>
      <c r="NC413" s="115"/>
      <c r="ND413" s="115"/>
      <c r="NE413" s="115"/>
      <c r="NF413" s="115"/>
      <c r="NG413" s="115"/>
      <c r="NH413" s="115"/>
      <c r="NI413" s="115"/>
      <c r="NJ413" s="115"/>
      <c r="NK413" s="115"/>
      <c r="NL413" s="115"/>
      <c r="NM413" s="115"/>
      <c r="NN413" s="115"/>
      <c r="NO413" s="115"/>
      <c r="NP413" s="115"/>
      <c r="NQ413" s="115"/>
      <c r="NR413" s="115"/>
      <c r="NS413" s="115"/>
      <c r="NT413" s="115"/>
      <c r="NU413" s="115"/>
      <c r="NV413" s="115"/>
      <c r="NW413" s="115"/>
      <c r="NX413" s="115"/>
      <c r="NY413" s="115"/>
      <c r="NZ413" s="115"/>
      <c r="OA413" s="115"/>
      <c r="OB413" s="115"/>
      <c r="OC413" s="115"/>
      <c r="OD413" s="115"/>
      <c r="OE413" s="115"/>
      <c r="OF413" s="115"/>
      <c r="OG413" s="115"/>
      <c r="OH413" s="115"/>
      <c r="OI413" s="115"/>
      <c r="OJ413" s="115"/>
      <c r="OK413" s="115"/>
      <c r="OL413" s="115"/>
      <c r="OM413" s="115"/>
      <c r="ON413" s="115"/>
      <c r="OO413" s="115"/>
      <c r="OP413" s="115"/>
      <c r="OQ413" s="115"/>
      <c r="OR413" s="115"/>
      <c r="OS413" s="115"/>
      <c r="OT413" s="115"/>
      <c r="OU413" s="115"/>
      <c r="OV413" s="115"/>
      <c r="OW413" s="115"/>
      <c r="OX413" s="115"/>
      <c r="OY413" s="115"/>
      <c r="OZ413" s="115"/>
      <c r="PA413" s="115"/>
      <c r="PB413" s="115"/>
      <c r="PC413" s="115"/>
      <c r="PD413" s="115"/>
      <c r="PE413" s="115"/>
      <c r="PF413" s="115"/>
      <c r="PG413" s="115"/>
      <c r="PH413" s="115"/>
      <c r="PI413" s="115"/>
      <c r="PJ413" s="115"/>
      <c r="PK413" s="115"/>
      <c r="PL413" s="115"/>
      <c r="PM413" s="115"/>
      <c r="PN413" s="115"/>
      <c r="PO413" s="115"/>
      <c r="PP413" s="115"/>
      <c r="PQ413" s="115"/>
      <c r="PR413" s="115"/>
      <c r="PS413" s="115"/>
      <c r="PT413" s="115"/>
      <c r="PU413" s="115"/>
      <c r="PV413" s="115"/>
      <c r="PW413" s="115"/>
      <c r="PX413" s="115"/>
      <c r="PY413" s="115"/>
      <c r="PZ413" s="115"/>
      <c r="QA413" s="115"/>
      <c r="QB413" s="115"/>
      <c r="QC413" s="115"/>
      <c r="QD413" s="115"/>
      <c r="QE413" s="115"/>
      <c r="QF413" s="115"/>
      <c r="QG413" s="115"/>
      <c r="QH413" s="115"/>
      <c r="QI413" s="115"/>
      <c r="QJ413" s="115"/>
      <c r="QK413" s="115"/>
      <c r="QL413" s="115"/>
      <c r="QM413" s="115"/>
      <c r="QN413" s="115"/>
      <c r="QO413" s="115"/>
      <c r="QP413" s="115"/>
      <c r="QQ413" s="115"/>
      <c r="QR413" s="115"/>
      <c r="QS413" s="115"/>
      <c r="QT413" s="115"/>
      <c r="QU413" s="115"/>
      <c r="QV413" s="115"/>
      <c r="QW413" s="115"/>
      <c r="QX413" s="115"/>
      <c r="QY413" s="115"/>
      <c r="QZ413" s="115"/>
      <c r="RA413" s="115"/>
      <c r="RB413" s="115"/>
      <c r="RC413" s="115"/>
      <c r="RD413" s="115"/>
      <c r="RE413" s="115"/>
      <c r="RF413" s="115"/>
      <c r="RG413" s="115"/>
      <c r="RH413" s="115"/>
      <c r="RI413" s="115"/>
      <c r="RJ413" s="115"/>
      <c r="RK413" s="115"/>
      <c r="RL413" s="115"/>
      <c r="RM413" s="115"/>
      <c r="RN413" s="115"/>
      <c r="RO413" s="115"/>
      <c r="RP413" s="115"/>
      <c r="RQ413" s="115"/>
      <c r="RR413" s="115"/>
      <c r="RS413" s="115"/>
      <c r="RT413" s="115"/>
      <c r="RU413" s="115"/>
      <c r="RV413" s="115"/>
      <c r="RW413" s="115"/>
      <c r="RX413" s="115"/>
      <c r="RY413" s="115"/>
      <c r="RZ413" s="115"/>
      <c r="SA413" s="115"/>
      <c r="SB413" s="115"/>
      <c r="SC413" s="115"/>
      <c r="SD413" s="115"/>
      <c r="SE413" s="115"/>
      <c r="SF413" s="115"/>
      <c r="SG413" s="115"/>
      <c r="SH413" s="115"/>
      <c r="SI413" s="115"/>
      <c r="SJ413" s="115"/>
      <c r="SK413" s="115"/>
      <c r="SL413" s="115"/>
      <c r="SM413" s="115"/>
      <c r="SN413" s="115"/>
      <c r="SO413" s="115"/>
      <c r="SP413" s="115"/>
      <c r="SQ413" s="115"/>
      <c r="SR413" s="115"/>
      <c r="SS413" s="115"/>
      <c r="ST413" s="115"/>
      <c r="SU413" s="115"/>
      <c r="SV413" s="115"/>
      <c r="SW413" s="115"/>
      <c r="SX413" s="115"/>
      <c r="SY413" s="115"/>
      <c r="SZ413" s="115"/>
      <c r="TA413" s="115"/>
      <c r="TB413" s="115"/>
      <c r="TC413" s="115"/>
      <c r="TD413" s="115"/>
      <c r="TE413" s="115"/>
    </row>
    <row r="414" spans="1:525" s="116" customFormat="1" ht="42" customHeight="1" x14ac:dyDescent="0.25">
      <c r="A414" s="112"/>
      <c r="B414" s="141"/>
      <c r="C414" s="113"/>
      <c r="D414" s="114" t="s">
        <v>715</v>
      </c>
      <c r="E414" s="80">
        <f t="shared" ref="E414:P414" si="222">E264</f>
        <v>0</v>
      </c>
      <c r="F414" s="80">
        <f t="shared" si="222"/>
        <v>0</v>
      </c>
      <c r="G414" s="80">
        <f t="shared" si="222"/>
        <v>0</v>
      </c>
      <c r="H414" s="80">
        <f t="shared" si="222"/>
        <v>0</v>
      </c>
      <c r="I414" s="80">
        <f t="shared" si="222"/>
        <v>0</v>
      </c>
      <c r="J414" s="80">
        <f t="shared" si="222"/>
        <v>7344000</v>
      </c>
      <c r="K414" s="80">
        <f t="shared" si="222"/>
        <v>7344000</v>
      </c>
      <c r="L414" s="80">
        <f t="shared" si="222"/>
        <v>0</v>
      </c>
      <c r="M414" s="80">
        <f t="shared" si="222"/>
        <v>0</v>
      </c>
      <c r="N414" s="80">
        <f t="shared" si="222"/>
        <v>0</v>
      </c>
      <c r="O414" s="80">
        <f t="shared" si="222"/>
        <v>7344000</v>
      </c>
      <c r="P414" s="80">
        <f t="shared" si="222"/>
        <v>7344000</v>
      </c>
      <c r="Q414" s="252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 s="115"/>
      <c r="BR414" s="115"/>
      <c r="BS414" s="115"/>
      <c r="BT414" s="115"/>
      <c r="BU414" s="115"/>
      <c r="BV414" s="115"/>
      <c r="BW414" s="115"/>
      <c r="BX414" s="115"/>
      <c r="BY414" s="115"/>
      <c r="BZ414" s="115"/>
      <c r="CA414" s="115"/>
      <c r="CB414" s="115"/>
      <c r="CC414" s="115"/>
      <c r="CD414" s="115"/>
      <c r="CE414" s="115"/>
      <c r="CF414" s="115"/>
      <c r="CG414" s="115"/>
      <c r="CH414" s="115"/>
      <c r="CI414" s="115"/>
      <c r="CJ414" s="115"/>
      <c r="CK414" s="115"/>
      <c r="CL414" s="115"/>
      <c r="CM414" s="115"/>
      <c r="CN414" s="115"/>
      <c r="CO414" s="115"/>
      <c r="CP414" s="115"/>
      <c r="CQ414" s="115"/>
      <c r="CR414" s="115"/>
      <c r="CS414" s="115"/>
      <c r="CT414" s="115"/>
      <c r="CU414" s="115"/>
      <c r="CV414" s="115"/>
      <c r="CW414" s="115"/>
      <c r="CX414" s="115"/>
      <c r="CY414" s="115"/>
      <c r="CZ414" s="115"/>
      <c r="DA414" s="115"/>
      <c r="DB414" s="115"/>
      <c r="DC414" s="115"/>
      <c r="DD414" s="115"/>
      <c r="DE414" s="115"/>
      <c r="DF414" s="115"/>
      <c r="DG414" s="115"/>
      <c r="DH414" s="115"/>
      <c r="DI414" s="115"/>
      <c r="DJ414" s="115"/>
      <c r="DK414" s="115"/>
      <c r="DL414" s="115"/>
      <c r="DM414" s="115"/>
      <c r="DN414" s="115"/>
      <c r="DO414" s="115"/>
      <c r="DP414" s="115"/>
      <c r="DQ414" s="115"/>
      <c r="DR414" s="115"/>
      <c r="DS414" s="115"/>
      <c r="DT414" s="115"/>
      <c r="DU414" s="115"/>
      <c r="DV414" s="115"/>
      <c r="DW414" s="115"/>
      <c r="DX414" s="115"/>
      <c r="DY414" s="115"/>
      <c r="DZ414" s="115"/>
      <c r="EA414" s="115"/>
      <c r="EB414" s="115"/>
      <c r="EC414" s="115"/>
      <c r="ED414" s="115"/>
      <c r="EE414" s="115"/>
      <c r="EF414" s="115"/>
      <c r="EG414" s="115"/>
      <c r="EH414" s="115"/>
      <c r="EI414" s="115"/>
      <c r="EJ414" s="115"/>
      <c r="EK414" s="115"/>
      <c r="EL414" s="115"/>
      <c r="EM414" s="115"/>
      <c r="EN414" s="115"/>
      <c r="EO414" s="115"/>
      <c r="EP414" s="115"/>
      <c r="EQ414" s="115"/>
      <c r="ER414" s="115"/>
      <c r="ES414" s="115"/>
      <c r="ET414" s="115"/>
      <c r="EU414" s="115"/>
      <c r="EV414" s="115"/>
      <c r="EW414" s="115"/>
      <c r="EX414" s="115"/>
      <c r="EY414" s="115"/>
      <c r="EZ414" s="115"/>
      <c r="FA414" s="115"/>
      <c r="FB414" s="115"/>
      <c r="FC414" s="115"/>
      <c r="FD414" s="115"/>
      <c r="FE414" s="115"/>
      <c r="FF414" s="115"/>
      <c r="FG414" s="115"/>
      <c r="FH414" s="115"/>
      <c r="FI414" s="115"/>
      <c r="FJ414" s="115"/>
      <c r="FK414" s="115"/>
      <c r="FL414" s="115"/>
      <c r="FM414" s="115"/>
      <c r="FN414" s="115"/>
      <c r="FO414" s="115"/>
      <c r="FP414" s="115"/>
      <c r="FQ414" s="115"/>
      <c r="FR414" s="115"/>
      <c r="FS414" s="115"/>
      <c r="FT414" s="115"/>
      <c r="FU414" s="115"/>
      <c r="FV414" s="115"/>
      <c r="FW414" s="115"/>
      <c r="FX414" s="115"/>
      <c r="FY414" s="115"/>
      <c r="FZ414" s="115"/>
      <c r="GA414" s="115"/>
      <c r="GB414" s="115"/>
      <c r="GC414" s="115"/>
      <c r="GD414" s="115"/>
      <c r="GE414" s="115"/>
      <c r="GF414" s="115"/>
      <c r="GG414" s="115"/>
      <c r="GH414" s="115"/>
      <c r="GI414" s="115"/>
      <c r="GJ414" s="115"/>
      <c r="GK414" s="115"/>
      <c r="GL414" s="115"/>
      <c r="GM414" s="115"/>
      <c r="GN414" s="115"/>
      <c r="GO414" s="115"/>
      <c r="GP414" s="115"/>
      <c r="GQ414" s="115"/>
      <c r="GR414" s="115"/>
      <c r="GS414" s="115"/>
      <c r="GT414" s="115"/>
      <c r="GU414" s="115"/>
      <c r="GV414" s="115"/>
      <c r="GW414" s="115"/>
      <c r="GX414" s="115"/>
      <c r="GY414" s="115"/>
      <c r="GZ414" s="115"/>
      <c r="HA414" s="115"/>
      <c r="HB414" s="115"/>
      <c r="HC414" s="115"/>
      <c r="HD414" s="115"/>
      <c r="HE414" s="115"/>
      <c r="HF414" s="115"/>
      <c r="HG414" s="115"/>
      <c r="HH414" s="115"/>
      <c r="HI414" s="115"/>
      <c r="HJ414" s="115"/>
      <c r="HK414" s="115"/>
      <c r="HL414" s="115"/>
      <c r="HM414" s="115"/>
      <c r="HN414" s="115"/>
      <c r="HO414" s="115"/>
      <c r="HP414" s="115"/>
      <c r="HQ414" s="115"/>
      <c r="HR414" s="115"/>
      <c r="HS414" s="115"/>
      <c r="HT414" s="115"/>
      <c r="HU414" s="115"/>
      <c r="HV414" s="115"/>
      <c r="HW414" s="115"/>
      <c r="HX414" s="115"/>
      <c r="HY414" s="115"/>
      <c r="HZ414" s="115"/>
      <c r="IA414" s="115"/>
      <c r="IB414" s="115"/>
      <c r="IC414" s="115"/>
      <c r="ID414" s="115"/>
      <c r="IE414" s="115"/>
      <c r="IF414" s="115"/>
      <c r="IG414" s="115"/>
      <c r="IH414" s="115"/>
      <c r="II414" s="115"/>
      <c r="IJ414" s="115"/>
      <c r="IK414" s="115"/>
      <c r="IL414" s="115"/>
      <c r="IM414" s="115"/>
      <c r="IN414" s="115"/>
      <c r="IO414" s="115"/>
      <c r="IP414" s="115"/>
      <c r="IQ414" s="115"/>
      <c r="IR414" s="115"/>
      <c r="IS414" s="115"/>
      <c r="IT414" s="115"/>
      <c r="IU414" s="115"/>
      <c r="IV414" s="115"/>
      <c r="IW414" s="115"/>
      <c r="IX414" s="115"/>
      <c r="IY414" s="115"/>
      <c r="IZ414" s="115"/>
      <c r="JA414" s="115"/>
      <c r="JB414" s="115"/>
      <c r="JC414" s="115"/>
      <c r="JD414" s="115"/>
      <c r="JE414" s="115"/>
      <c r="JF414" s="115"/>
      <c r="JG414" s="115"/>
      <c r="JH414" s="115"/>
      <c r="JI414" s="115"/>
      <c r="JJ414" s="115"/>
      <c r="JK414" s="115"/>
      <c r="JL414" s="115"/>
      <c r="JM414" s="115"/>
      <c r="JN414" s="115"/>
      <c r="JO414" s="115"/>
      <c r="JP414" s="115"/>
      <c r="JQ414" s="115"/>
      <c r="JR414" s="115"/>
      <c r="JS414" s="115"/>
      <c r="JT414" s="115"/>
      <c r="JU414" s="115"/>
      <c r="JV414" s="115"/>
      <c r="JW414" s="115"/>
      <c r="JX414" s="115"/>
      <c r="JY414" s="115"/>
      <c r="JZ414" s="115"/>
      <c r="KA414" s="115"/>
      <c r="KB414" s="115"/>
      <c r="KC414" s="115"/>
      <c r="KD414" s="115"/>
      <c r="KE414" s="115"/>
      <c r="KF414" s="115"/>
      <c r="KG414" s="115"/>
      <c r="KH414" s="115"/>
      <c r="KI414" s="115"/>
      <c r="KJ414" s="115"/>
      <c r="KK414" s="115"/>
      <c r="KL414" s="115"/>
      <c r="KM414" s="115"/>
      <c r="KN414" s="115"/>
      <c r="KO414" s="115"/>
      <c r="KP414" s="115"/>
      <c r="KQ414" s="115"/>
      <c r="KR414" s="115"/>
      <c r="KS414" s="115"/>
      <c r="KT414" s="115"/>
      <c r="KU414" s="115"/>
      <c r="KV414" s="115"/>
      <c r="KW414" s="115"/>
      <c r="KX414" s="115"/>
      <c r="KY414" s="115"/>
      <c r="KZ414" s="115"/>
      <c r="LA414" s="115"/>
      <c r="LB414" s="115"/>
      <c r="LC414" s="115"/>
      <c r="LD414" s="115"/>
      <c r="LE414" s="115"/>
      <c r="LF414" s="115"/>
      <c r="LG414" s="115"/>
      <c r="LH414" s="115"/>
      <c r="LI414" s="115"/>
      <c r="LJ414" s="115"/>
      <c r="LK414" s="115"/>
      <c r="LL414" s="115"/>
      <c r="LM414" s="115"/>
      <c r="LN414" s="115"/>
      <c r="LO414" s="115"/>
      <c r="LP414" s="115"/>
      <c r="LQ414" s="115"/>
      <c r="LR414" s="115"/>
      <c r="LS414" s="115"/>
      <c r="LT414" s="115"/>
      <c r="LU414" s="115"/>
      <c r="LV414" s="115"/>
      <c r="LW414" s="115"/>
      <c r="LX414" s="115"/>
      <c r="LY414" s="115"/>
      <c r="LZ414" s="115"/>
      <c r="MA414" s="115"/>
      <c r="MB414" s="115"/>
      <c r="MC414" s="115"/>
      <c r="MD414" s="115"/>
      <c r="ME414" s="115"/>
      <c r="MF414" s="115"/>
      <c r="MG414" s="115"/>
      <c r="MH414" s="115"/>
      <c r="MI414" s="115"/>
      <c r="MJ414" s="115"/>
      <c r="MK414" s="115"/>
      <c r="ML414" s="115"/>
      <c r="MM414" s="115"/>
      <c r="MN414" s="115"/>
      <c r="MO414" s="115"/>
      <c r="MP414" s="115"/>
      <c r="MQ414" s="115"/>
      <c r="MR414" s="115"/>
      <c r="MS414" s="115"/>
      <c r="MT414" s="115"/>
      <c r="MU414" s="115"/>
      <c r="MV414" s="115"/>
      <c r="MW414" s="115"/>
      <c r="MX414" s="115"/>
      <c r="MY414" s="115"/>
      <c r="MZ414" s="115"/>
      <c r="NA414" s="115"/>
      <c r="NB414" s="115"/>
      <c r="NC414" s="115"/>
      <c r="ND414" s="115"/>
      <c r="NE414" s="115"/>
      <c r="NF414" s="115"/>
      <c r="NG414" s="115"/>
      <c r="NH414" s="115"/>
      <c r="NI414" s="115"/>
      <c r="NJ414" s="115"/>
      <c r="NK414" s="115"/>
      <c r="NL414" s="115"/>
      <c r="NM414" s="115"/>
      <c r="NN414" s="115"/>
      <c r="NO414" s="115"/>
      <c r="NP414" s="115"/>
      <c r="NQ414" s="115"/>
      <c r="NR414" s="115"/>
      <c r="NS414" s="115"/>
      <c r="NT414" s="115"/>
      <c r="NU414" s="115"/>
      <c r="NV414" s="115"/>
      <c r="NW414" s="115"/>
      <c r="NX414" s="115"/>
      <c r="NY414" s="115"/>
      <c r="NZ414" s="115"/>
      <c r="OA414" s="115"/>
      <c r="OB414" s="115"/>
      <c r="OC414" s="115"/>
      <c r="OD414" s="115"/>
      <c r="OE414" s="115"/>
      <c r="OF414" s="115"/>
      <c r="OG414" s="115"/>
      <c r="OH414" s="115"/>
      <c r="OI414" s="115"/>
      <c r="OJ414" s="115"/>
      <c r="OK414" s="115"/>
      <c r="OL414" s="115"/>
      <c r="OM414" s="115"/>
      <c r="ON414" s="115"/>
      <c r="OO414" s="115"/>
      <c r="OP414" s="115"/>
      <c r="OQ414" s="115"/>
      <c r="OR414" s="115"/>
      <c r="OS414" s="115"/>
      <c r="OT414" s="115"/>
      <c r="OU414" s="115"/>
      <c r="OV414" s="115"/>
      <c r="OW414" s="115"/>
      <c r="OX414" s="115"/>
      <c r="OY414" s="115"/>
      <c r="OZ414" s="115"/>
      <c r="PA414" s="115"/>
      <c r="PB414" s="115"/>
      <c r="PC414" s="115"/>
      <c r="PD414" s="115"/>
      <c r="PE414" s="115"/>
      <c r="PF414" s="115"/>
      <c r="PG414" s="115"/>
      <c r="PH414" s="115"/>
      <c r="PI414" s="115"/>
      <c r="PJ414" s="115"/>
      <c r="PK414" s="115"/>
      <c r="PL414" s="115"/>
      <c r="PM414" s="115"/>
      <c r="PN414" s="115"/>
      <c r="PO414" s="115"/>
      <c r="PP414" s="115"/>
      <c r="PQ414" s="115"/>
      <c r="PR414" s="115"/>
      <c r="PS414" s="115"/>
      <c r="PT414" s="115"/>
      <c r="PU414" s="115"/>
      <c r="PV414" s="115"/>
      <c r="PW414" s="115"/>
      <c r="PX414" s="115"/>
      <c r="PY414" s="115"/>
      <c r="PZ414" s="115"/>
      <c r="QA414" s="115"/>
      <c r="QB414" s="115"/>
      <c r="QC414" s="115"/>
      <c r="QD414" s="115"/>
      <c r="QE414" s="115"/>
      <c r="QF414" s="115"/>
      <c r="QG414" s="115"/>
      <c r="QH414" s="115"/>
      <c r="QI414" s="115"/>
      <c r="QJ414" s="115"/>
      <c r="QK414" s="115"/>
      <c r="QL414" s="115"/>
      <c r="QM414" s="115"/>
      <c r="QN414" s="115"/>
      <c r="QO414" s="115"/>
      <c r="QP414" s="115"/>
      <c r="QQ414" s="115"/>
      <c r="QR414" s="115"/>
      <c r="QS414" s="115"/>
      <c r="QT414" s="115"/>
      <c r="QU414" s="115"/>
      <c r="QV414" s="115"/>
      <c r="QW414" s="115"/>
      <c r="QX414" s="115"/>
      <c r="QY414" s="115"/>
      <c r="QZ414" s="115"/>
      <c r="RA414" s="115"/>
      <c r="RB414" s="115"/>
      <c r="RC414" s="115"/>
      <c r="RD414" s="115"/>
      <c r="RE414" s="115"/>
      <c r="RF414" s="115"/>
      <c r="RG414" s="115"/>
      <c r="RH414" s="115"/>
      <c r="RI414" s="115"/>
      <c r="RJ414" s="115"/>
      <c r="RK414" s="115"/>
      <c r="RL414" s="115"/>
      <c r="RM414" s="115"/>
      <c r="RN414" s="115"/>
      <c r="RO414" s="115"/>
      <c r="RP414" s="115"/>
      <c r="RQ414" s="115"/>
      <c r="RR414" s="115"/>
      <c r="RS414" s="115"/>
      <c r="RT414" s="115"/>
      <c r="RU414" s="115"/>
      <c r="RV414" s="115"/>
      <c r="RW414" s="115"/>
      <c r="RX414" s="115"/>
      <c r="RY414" s="115"/>
      <c r="RZ414" s="115"/>
      <c r="SA414" s="115"/>
      <c r="SB414" s="115"/>
      <c r="SC414" s="115"/>
      <c r="SD414" s="115"/>
      <c r="SE414" s="115"/>
      <c r="SF414" s="115"/>
      <c r="SG414" s="115"/>
      <c r="SH414" s="115"/>
      <c r="SI414" s="115"/>
      <c r="SJ414" s="115"/>
      <c r="SK414" s="115"/>
      <c r="SL414" s="115"/>
      <c r="SM414" s="115"/>
      <c r="SN414" s="115"/>
      <c r="SO414" s="115"/>
      <c r="SP414" s="115"/>
      <c r="SQ414" s="115"/>
      <c r="SR414" s="115"/>
      <c r="SS414" s="115"/>
      <c r="ST414" s="115"/>
      <c r="SU414" s="115"/>
      <c r="SV414" s="115"/>
      <c r="SW414" s="115"/>
      <c r="SX414" s="115"/>
      <c r="SY414" s="115"/>
      <c r="SZ414" s="115"/>
      <c r="TA414" s="115"/>
      <c r="TB414" s="115"/>
      <c r="TC414" s="115"/>
      <c r="TD414" s="115"/>
      <c r="TE414" s="115"/>
    </row>
    <row r="415" spans="1:525" s="116" customFormat="1" ht="20.25" customHeight="1" x14ac:dyDescent="0.25">
      <c r="A415" s="112"/>
      <c r="B415" s="141"/>
      <c r="C415" s="141"/>
      <c r="D415" s="150" t="s">
        <v>410</v>
      </c>
      <c r="E415" s="80">
        <f t="shared" ref="E415:P415" si="223">E160+E332+E263</f>
        <v>0</v>
      </c>
      <c r="F415" s="80">
        <f t="shared" si="223"/>
        <v>0</v>
      </c>
      <c r="G415" s="80">
        <f t="shared" si="223"/>
        <v>0</v>
      </c>
      <c r="H415" s="80">
        <f t="shared" si="223"/>
        <v>0</v>
      </c>
      <c r="I415" s="80">
        <f t="shared" si="223"/>
        <v>0</v>
      </c>
      <c r="J415" s="80">
        <f t="shared" si="223"/>
        <v>92214546</v>
      </c>
      <c r="K415" s="80">
        <f t="shared" si="223"/>
        <v>92214546</v>
      </c>
      <c r="L415" s="80">
        <f t="shared" si="223"/>
        <v>0</v>
      </c>
      <c r="M415" s="80">
        <f t="shared" si="223"/>
        <v>0</v>
      </c>
      <c r="N415" s="80">
        <f t="shared" si="223"/>
        <v>0</v>
      </c>
      <c r="O415" s="80">
        <f t="shared" si="223"/>
        <v>92214546</v>
      </c>
      <c r="P415" s="80">
        <f t="shared" si="223"/>
        <v>92214546</v>
      </c>
      <c r="Q415" s="252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 s="115"/>
      <c r="BR415" s="115"/>
      <c r="BS415" s="115"/>
      <c r="BT415" s="115"/>
      <c r="BU415" s="115"/>
      <c r="BV415" s="115"/>
      <c r="BW415" s="115"/>
      <c r="BX415" s="115"/>
      <c r="BY415" s="115"/>
      <c r="BZ415" s="115"/>
      <c r="CA415" s="115"/>
      <c r="CB415" s="115"/>
      <c r="CC415" s="115"/>
      <c r="CD415" s="115"/>
      <c r="CE415" s="115"/>
      <c r="CF415" s="115"/>
      <c r="CG415" s="115"/>
      <c r="CH415" s="115"/>
      <c r="CI415" s="115"/>
      <c r="CJ415" s="115"/>
      <c r="CK415" s="115"/>
      <c r="CL415" s="115"/>
      <c r="CM415" s="115"/>
      <c r="CN415" s="115"/>
      <c r="CO415" s="115"/>
      <c r="CP415" s="115"/>
      <c r="CQ415" s="115"/>
      <c r="CR415" s="115"/>
      <c r="CS415" s="115"/>
      <c r="CT415" s="115"/>
      <c r="CU415" s="115"/>
      <c r="CV415" s="115"/>
      <c r="CW415" s="115"/>
      <c r="CX415" s="115"/>
      <c r="CY415" s="115"/>
      <c r="CZ415" s="115"/>
      <c r="DA415" s="115"/>
      <c r="DB415" s="115"/>
      <c r="DC415" s="115"/>
      <c r="DD415" s="115"/>
      <c r="DE415" s="115"/>
      <c r="DF415" s="115"/>
      <c r="DG415" s="115"/>
      <c r="DH415" s="115"/>
      <c r="DI415" s="115"/>
      <c r="DJ415" s="115"/>
      <c r="DK415" s="115"/>
      <c r="DL415" s="115"/>
      <c r="DM415" s="115"/>
      <c r="DN415" s="115"/>
      <c r="DO415" s="115"/>
      <c r="DP415" s="115"/>
      <c r="DQ415" s="115"/>
      <c r="DR415" s="115"/>
      <c r="DS415" s="115"/>
      <c r="DT415" s="115"/>
      <c r="DU415" s="115"/>
      <c r="DV415" s="115"/>
      <c r="DW415" s="115"/>
      <c r="DX415" s="115"/>
      <c r="DY415" s="115"/>
      <c r="DZ415" s="115"/>
      <c r="EA415" s="115"/>
      <c r="EB415" s="115"/>
      <c r="EC415" s="115"/>
      <c r="ED415" s="115"/>
      <c r="EE415" s="115"/>
      <c r="EF415" s="115"/>
      <c r="EG415" s="115"/>
      <c r="EH415" s="115"/>
      <c r="EI415" s="115"/>
      <c r="EJ415" s="115"/>
      <c r="EK415" s="115"/>
      <c r="EL415" s="115"/>
      <c r="EM415" s="115"/>
      <c r="EN415" s="115"/>
      <c r="EO415" s="115"/>
      <c r="EP415" s="115"/>
      <c r="EQ415" s="115"/>
      <c r="ER415" s="115"/>
      <c r="ES415" s="115"/>
      <c r="ET415" s="115"/>
      <c r="EU415" s="115"/>
      <c r="EV415" s="115"/>
      <c r="EW415" s="115"/>
      <c r="EX415" s="115"/>
      <c r="EY415" s="115"/>
      <c r="EZ415" s="115"/>
      <c r="FA415" s="115"/>
      <c r="FB415" s="115"/>
      <c r="FC415" s="115"/>
      <c r="FD415" s="115"/>
      <c r="FE415" s="115"/>
      <c r="FF415" s="115"/>
      <c r="FG415" s="115"/>
      <c r="FH415" s="115"/>
      <c r="FI415" s="115"/>
      <c r="FJ415" s="115"/>
      <c r="FK415" s="115"/>
      <c r="FL415" s="115"/>
      <c r="FM415" s="115"/>
      <c r="FN415" s="115"/>
      <c r="FO415" s="115"/>
      <c r="FP415" s="115"/>
      <c r="FQ415" s="115"/>
      <c r="FR415" s="115"/>
      <c r="FS415" s="115"/>
      <c r="FT415" s="115"/>
      <c r="FU415" s="115"/>
      <c r="FV415" s="115"/>
      <c r="FW415" s="115"/>
      <c r="FX415" s="115"/>
      <c r="FY415" s="115"/>
      <c r="FZ415" s="115"/>
      <c r="GA415" s="115"/>
      <c r="GB415" s="115"/>
      <c r="GC415" s="115"/>
      <c r="GD415" s="115"/>
      <c r="GE415" s="115"/>
      <c r="GF415" s="115"/>
      <c r="GG415" s="115"/>
      <c r="GH415" s="115"/>
      <c r="GI415" s="115"/>
      <c r="GJ415" s="115"/>
      <c r="GK415" s="115"/>
      <c r="GL415" s="115"/>
      <c r="GM415" s="115"/>
      <c r="GN415" s="115"/>
      <c r="GO415" s="115"/>
      <c r="GP415" s="115"/>
      <c r="GQ415" s="115"/>
      <c r="GR415" s="115"/>
      <c r="GS415" s="115"/>
      <c r="GT415" s="115"/>
      <c r="GU415" s="115"/>
      <c r="GV415" s="115"/>
      <c r="GW415" s="115"/>
      <c r="GX415" s="115"/>
      <c r="GY415" s="115"/>
      <c r="GZ415" s="115"/>
      <c r="HA415" s="115"/>
      <c r="HB415" s="115"/>
      <c r="HC415" s="115"/>
      <c r="HD415" s="115"/>
      <c r="HE415" s="115"/>
      <c r="HF415" s="115"/>
      <c r="HG415" s="115"/>
      <c r="HH415" s="115"/>
      <c r="HI415" s="115"/>
      <c r="HJ415" s="115"/>
      <c r="HK415" s="115"/>
      <c r="HL415" s="115"/>
      <c r="HM415" s="115"/>
      <c r="HN415" s="115"/>
      <c r="HO415" s="115"/>
      <c r="HP415" s="115"/>
      <c r="HQ415" s="115"/>
      <c r="HR415" s="115"/>
      <c r="HS415" s="115"/>
      <c r="HT415" s="115"/>
      <c r="HU415" s="115"/>
      <c r="HV415" s="115"/>
      <c r="HW415" s="115"/>
      <c r="HX415" s="115"/>
      <c r="HY415" s="115"/>
      <c r="HZ415" s="115"/>
      <c r="IA415" s="115"/>
      <c r="IB415" s="115"/>
      <c r="IC415" s="115"/>
      <c r="ID415" s="115"/>
      <c r="IE415" s="115"/>
      <c r="IF415" s="115"/>
      <c r="IG415" s="115"/>
      <c r="IH415" s="115"/>
      <c r="II415" s="115"/>
      <c r="IJ415" s="115"/>
      <c r="IK415" s="115"/>
      <c r="IL415" s="115"/>
      <c r="IM415" s="115"/>
      <c r="IN415" s="115"/>
      <c r="IO415" s="115"/>
      <c r="IP415" s="115"/>
      <c r="IQ415" s="115"/>
      <c r="IR415" s="115"/>
      <c r="IS415" s="115"/>
      <c r="IT415" s="115"/>
      <c r="IU415" s="115"/>
      <c r="IV415" s="115"/>
      <c r="IW415" s="115"/>
      <c r="IX415" s="115"/>
      <c r="IY415" s="115"/>
      <c r="IZ415" s="115"/>
      <c r="JA415" s="115"/>
      <c r="JB415" s="115"/>
      <c r="JC415" s="115"/>
      <c r="JD415" s="115"/>
      <c r="JE415" s="115"/>
      <c r="JF415" s="115"/>
      <c r="JG415" s="115"/>
      <c r="JH415" s="115"/>
      <c r="JI415" s="115"/>
      <c r="JJ415" s="115"/>
      <c r="JK415" s="115"/>
      <c r="JL415" s="115"/>
      <c r="JM415" s="115"/>
      <c r="JN415" s="115"/>
      <c r="JO415" s="115"/>
      <c r="JP415" s="115"/>
      <c r="JQ415" s="115"/>
      <c r="JR415" s="115"/>
      <c r="JS415" s="115"/>
      <c r="JT415" s="115"/>
      <c r="JU415" s="115"/>
      <c r="JV415" s="115"/>
      <c r="JW415" s="115"/>
      <c r="JX415" s="115"/>
      <c r="JY415" s="115"/>
      <c r="JZ415" s="115"/>
      <c r="KA415" s="115"/>
      <c r="KB415" s="115"/>
      <c r="KC415" s="115"/>
      <c r="KD415" s="115"/>
      <c r="KE415" s="115"/>
      <c r="KF415" s="115"/>
      <c r="KG415" s="115"/>
      <c r="KH415" s="115"/>
      <c r="KI415" s="115"/>
      <c r="KJ415" s="115"/>
      <c r="KK415" s="115"/>
      <c r="KL415" s="115"/>
      <c r="KM415" s="115"/>
      <c r="KN415" s="115"/>
      <c r="KO415" s="115"/>
      <c r="KP415" s="115"/>
      <c r="KQ415" s="115"/>
      <c r="KR415" s="115"/>
      <c r="KS415" s="115"/>
      <c r="KT415" s="115"/>
      <c r="KU415" s="115"/>
      <c r="KV415" s="115"/>
      <c r="KW415" s="115"/>
      <c r="KX415" s="115"/>
      <c r="KY415" s="115"/>
      <c r="KZ415" s="115"/>
      <c r="LA415" s="115"/>
      <c r="LB415" s="115"/>
      <c r="LC415" s="115"/>
      <c r="LD415" s="115"/>
      <c r="LE415" s="115"/>
      <c r="LF415" s="115"/>
      <c r="LG415" s="115"/>
      <c r="LH415" s="115"/>
      <c r="LI415" s="115"/>
      <c r="LJ415" s="115"/>
      <c r="LK415" s="115"/>
      <c r="LL415" s="115"/>
      <c r="LM415" s="115"/>
      <c r="LN415" s="115"/>
      <c r="LO415" s="115"/>
      <c r="LP415" s="115"/>
      <c r="LQ415" s="115"/>
      <c r="LR415" s="115"/>
      <c r="LS415" s="115"/>
      <c r="LT415" s="115"/>
      <c r="LU415" s="115"/>
      <c r="LV415" s="115"/>
      <c r="LW415" s="115"/>
      <c r="LX415" s="115"/>
      <c r="LY415" s="115"/>
      <c r="LZ415" s="115"/>
      <c r="MA415" s="115"/>
      <c r="MB415" s="115"/>
      <c r="MC415" s="115"/>
      <c r="MD415" s="115"/>
      <c r="ME415" s="115"/>
      <c r="MF415" s="115"/>
      <c r="MG415" s="115"/>
      <c r="MH415" s="115"/>
      <c r="MI415" s="115"/>
      <c r="MJ415" s="115"/>
      <c r="MK415" s="115"/>
      <c r="ML415" s="115"/>
      <c r="MM415" s="115"/>
      <c r="MN415" s="115"/>
      <c r="MO415" s="115"/>
      <c r="MP415" s="115"/>
      <c r="MQ415" s="115"/>
      <c r="MR415" s="115"/>
      <c r="MS415" s="115"/>
      <c r="MT415" s="115"/>
      <c r="MU415" s="115"/>
      <c r="MV415" s="115"/>
      <c r="MW415" s="115"/>
      <c r="MX415" s="115"/>
      <c r="MY415" s="115"/>
      <c r="MZ415" s="115"/>
      <c r="NA415" s="115"/>
      <c r="NB415" s="115"/>
      <c r="NC415" s="115"/>
      <c r="ND415" s="115"/>
      <c r="NE415" s="115"/>
      <c r="NF415" s="115"/>
      <c r="NG415" s="115"/>
      <c r="NH415" s="115"/>
      <c r="NI415" s="115"/>
      <c r="NJ415" s="115"/>
      <c r="NK415" s="115"/>
      <c r="NL415" s="115"/>
      <c r="NM415" s="115"/>
      <c r="NN415" s="115"/>
      <c r="NO415" s="115"/>
      <c r="NP415" s="115"/>
      <c r="NQ415" s="115"/>
      <c r="NR415" s="115"/>
      <c r="NS415" s="115"/>
      <c r="NT415" s="115"/>
      <c r="NU415" s="115"/>
      <c r="NV415" s="115"/>
      <c r="NW415" s="115"/>
      <c r="NX415" s="115"/>
      <c r="NY415" s="115"/>
      <c r="NZ415" s="115"/>
      <c r="OA415" s="115"/>
      <c r="OB415" s="115"/>
      <c r="OC415" s="115"/>
      <c r="OD415" s="115"/>
      <c r="OE415" s="115"/>
      <c r="OF415" s="115"/>
      <c r="OG415" s="115"/>
      <c r="OH415" s="115"/>
      <c r="OI415" s="115"/>
      <c r="OJ415" s="115"/>
      <c r="OK415" s="115"/>
      <c r="OL415" s="115"/>
      <c r="OM415" s="115"/>
      <c r="ON415" s="115"/>
      <c r="OO415" s="115"/>
      <c r="OP415" s="115"/>
      <c r="OQ415" s="115"/>
      <c r="OR415" s="115"/>
      <c r="OS415" s="115"/>
      <c r="OT415" s="115"/>
      <c r="OU415" s="115"/>
      <c r="OV415" s="115"/>
      <c r="OW415" s="115"/>
      <c r="OX415" s="115"/>
      <c r="OY415" s="115"/>
      <c r="OZ415" s="115"/>
      <c r="PA415" s="115"/>
      <c r="PB415" s="115"/>
      <c r="PC415" s="115"/>
      <c r="PD415" s="115"/>
      <c r="PE415" s="115"/>
      <c r="PF415" s="115"/>
      <c r="PG415" s="115"/>
      <c r="PH415" s="115"/>
      <c r="PI415" s="115"/>
      <c r="PJ415" s="115"/>
      <c r="PK415" s="115"/>
      <c r="PL415" s="115"/>
      <c r="PM415" s="115"/>
      <c r="PN415" s="115"/>
      <c r="PO415" s="115"/>
      <c r="PP415" s="115"/>
      <c r="PQ415" s="115"/>
      <c r="PR415" s="115"/>
      <c r="PS415" s="115"/>
      <c r="PT415" s="115"/>
      <c r="PU415" s="115"/>
      <c r="PV415" s="115"/>
      <c r="PW415" s="115"/>
      <c r="PX415" s="115"/>
      <c r="PY415" s="115"/>
      <c r="PZ415" s="115"/>
      <c r="QA415" s="115"/>
      <c r="QB415" s="115"/>
      <c r="QC415" s="115"/>
      <c r="QD415" s="115"/>
      <c r="QE415" s="115"/>
      <c r="QF415" s="115"/>
      <c r="QG415" s="115"/>
      <c r="QH415" s="115"/>
      <c r="QI415" s="115"/>
      <c r="QJ415" s="115"/>
      <c r="QK415" s="115"/>
      <c r="QL415" s="115"/>
      <c r="QM415" s="115"/>
      <c r="QN415" s="115"/>
      <c r="QO415" s="115"/>
      <c r="QP415" s="115"/>
      <c r="QQ415" s="115"/>
      <c r="QR415" s="115"/>
      <c r="QS415" s="115"/>
      <c r="QT415" s="115"/>
      <c r="QU415" s="115"/>
      <c r="QV415" s="115"/>
      <c r="QW415" s="115"/>
      <c r="QX415" s="115"/>
      <c r="QY415" s="115"/>
      <c r="QZ415" s="115"/>
      <c r="RA415" s="115"/>
      <c r="RB415" s="115"/>
      <c r="RC415" s="115"/>
      <c r="RD415" s="115"/>
      <c r="RE415" s="115"/>
      <c r="RF415" s="115"/>
      <c r="RG415" s="115"/>
      <c r="RH415" s="115"/>
      <c r="RI415" s="115"/>
      <c r="RJ415" s="115"/>
      <c r="RK415" s="115"/>
      <c r="RL415" s="115"/>
      <c r="RM415" s="115"/>
      <c r="RN415" s="115"/>
      <c r="RO415" s="115"/>
      <c r="RP415" s="115"/>
      <c r="RQ415" s="115"/>
      <c r="RR415" s="115"/>
      <c r="RS415" s="115"/>
      <c r="RT415" s="115"/>
      <c r="RU415" s="115"/>
      <c r="RV415" s="115"/>
      <c r="RW415" s="115"/>
      <c r="RX415" s="115"/>
      <c r="RY415" s="115"/>
      <c r="RZ415" s="115"/>
      <c r="SA415" s="115"/>
      <c r="SB415" s="115"/>
      <c r="SC415" s="115"/>
      <c r="SD415" s="115"/>
      <c r="SE415" s="115"/>
      <c r="SF415" s="115"/>
      <c r="SG415" s="115"/>
      <c r="SH415" s="115"/>
      <c r="SI415" s="115"/>
      <c r="SJ415" s="115"/>
      <c r="SK415" s="115"/>
      <c r="SL415" s="115"/>
      <c r="SM415" s="115"/>
      <c r="SN415" s="115"/>
      <c r="SO415" s="115"/>
      <c r="SP415" s="115"/>
      <c r="SQ415" s="115"/>
      <c r="SR415" s="115"/>
      <c r="SS415" s="115"/>
      <c r="ST415" s="115"/>
      <c r="SU415" s="115"/>
      <c r="SV415" s="115"/>
      <c r="SW415" s="115"/>
      <c r="SX415" s="115"/>
      <c r="SY415" s="115"/>
      <c r="SZ415" s="115"/>
      <c r="TA415" s="115"/>
      <c r="TB415" s="115"/>
      <c r="TC415" s="115"/>
      <c r="TD415" s="115"/>
      <c r="TE415" s="115"/>
    </row>
    <row r="416" spans="1:525" s="116" customFormat="1" ht="20.25" customHeight="1" x14ac:dyDescent="0.25">
      <c r="A416" s="112"/>
      <c r="B416" s="141"/>
      <c r="C416" s="141"/>
      <c r="D416" s="150" t="s">
        <v>662</v>
      </c>
      <c r="E416" s="80">
        <f t="shared" ref="E416:P416" si="224">E161+E82</f>
        <v>0</v>
      </c>
      <c r="F416" s="80">
        <f t="shared" si="224"/>
        <v>0</v>
      </c>
      <c r="G416" s="80">
        <f t="shared" si="224"/>
        <v>0</v>
      </c>
      <c r="H416" s="80">
        <f t="shared" si="224"/>
        <v>0</v>
      </c>
      <c r="I416" s="80">
        <f t="shared" si="224"/>
        <v>0</v>
      </c>
      <c r="J416" s="80">
        <f t="shared" si="224"/>
        <v>4590000</v>
      </c>
      <c r="K416" s="80">
        <f t="shared" si="224"/>
        <v>0</v>
      </c>
      <c r="L416" s="80">
        <f t="shared" si="224"/>
        <v>50000</v>
      </c>
      <c r="M416" s="80">
        <f t="shared" si="224"/>
        <v>0</v>
      </c>
      <c r="N416" s="80">
        <f t="shared" si="224"/>
        <v>0</v>
      </c>
      <c r="O416" s="80">
        <f t="shared" si="224"/>
        <v>4540000</v>
      </c>
      <c r="P416" s="80">
        <f t="shared" si="224"/>
        <v>4590000</v>
      </c>
      <c r="Q416" s="252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24" hidden="1" customHeight="1" x14ac:dyDescent="0.25">
      <c r="A417" s="112"/>
      <c r="B417" s="141"/>
      <c r="C417" s="141"/>
      <c r="D417" s="150" t="s">
        <v>637</v>
      </c>
      <c r="E417" s="80">
        <f>E411-E412-E413-E415</f>
        <v>2496899756</v>
      </c>
      <c r="F417" s="80"/>
      <c r="G417" s="80"/>
      <c r="H417" s="80"/>
      <c r="I417" s="80"/>
      <c r="J417" s="80">
        <f>J411-J412-J413-J415-J430-J431-J432-J433-J435</f>
        <v>864777995.80999994</v>
      </c>
      <c r="K417" s="80">
        <f>K411-K412-K413-K415-K430-K431-K432-K433-K435</f>
        <v>864163002.63</v>
      </c>
      <c r="L417" s="80"/>
      <c r="M417" s="80"/>
      <c r="N417" s="80"/>
      <c r="O417" s="80"/>
      <c r="P417" s="80">
        <f t="shared" ref="P417" si="225">P411-P412-P413-P415</f>
        <v>3469113908.8100009</v>
      </c>
      <c r="Q417" s="252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26.25" hidden="1" customHeight="1" x14ac:dyDescent="0.25">
      <c r="A418" s="162"/>
      <c r="B418" s="163"/>
      <c r="C418" s="163"/>
      <c r="D418" s="164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252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18.75" hidden="1" customHeight="1" x14ac:dyDescent="0.25">
      <c r="A419" s="162"/>
      <c r="B419" s="163"/>
      <c r="C419" s="163"/>
      <c r="D419" s="164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252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1" customFormat="1" ht="30" hidden="1" customHeight="1" x14ac:dyDescent="0.25">
      <c r="A420" s="217"/>
      <c r="B420" s="165"/>
      <c r="C420" s="166"/>
      <c r="D420" s="167"/>
      <c r="E420" s="88"/>
      <c r="F420" s="87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252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  <c r="CX420" s="110"/>
      <c r="CY420" s="110"/>
      <c r="CZ420" s="110"/>
      <c r="DA420" s="110"/>
      <c r="DB420" s="110"/>
      <c r="DC420" s="110"/>
      <c r="DD420" s="110"/>
      <c r="DE420" s="110"/>
      <c r="DF420" s="110"/>
      <c r="DG420" s="110"/>
      <c r="DH420" s="110"/>
      <c r="DI420" s="110"/>
      <c r="DJ420" s="110"/>
      <c r="DK420" s="110"/>
      <c r="DL420" s="110"/>
      <c r="DM420" s="110"/>
      <c r="DN420" s="110"/>
      <c r="DO420" s="110"/>
      <c r="DP420" s="110"/>
      <c r="DQ420" s="110"/>
      <c r="DR420" s="110"/>
      <c r="DS420" s="110"/>
      <c r="DT420" s="110"/>
      <c r="DU420" s="110"/>
      <c r="DV420" s="110"/>
      <c r="DW420" s="110"/>
      <c r="DX420" s="110"/>
      <c r="DY420" s="110"/>
      <c r="DZ420" s="110"/>
      <c r="EA420" s="110"/>
      <c r="EB420" s="110"/>
      <c r="EC420" s="110"/>
      <c r="ED420" s="110"/>
      <c r="EE420" s="110"/>
      <c r="EF420" s="110"/>
      <c r="EG420" s="110"/>
      <c r="EH420" s="110"/>
      <c r="EI420" s="110"/>
      <c r="EJ420" s="110"/>
      <c r="EK420" s="110"/>
      <c r="EL420" s="110"/>
      <c r="EM420" s="110"/>
      <c r="EN420" s="110"/>
      <c r="EO420" s="110"/>
      <c r="EP420" s="110"/>
      <c r="EQ420" s="110"/>
      <c r="ER420" s="110"/>
      <c r="ES420" s="110"/>
      <c r="ET420" s="110"/>
      <c r="EU420" s="110"/>
      <c r="EV420" s="110"/>
      <c r="EW420" s="110"/>
      <c r="EX420" s="110"/>
      <c r="EY420" s="110"/>
      <c r="EZ420" s="110"/>
      <c r="FA420" s="110"/>
      <c r="FB420" s="110"/>
      <c r="FC420" s="110"/>
      <c r="FD420" s="110"/>
      <c r="FE420" s="110"/>
      <c r="FF420" s="110"/>
      <c r="FG420" s="110"/>
      <c r="FH420" s="110"/>
      <c r="FI420" s="110"/>
      <c r="FJ420" s="110"/>
      <c r="FK420" s="110"/>
      <c r="FL420" s="110"/>
      <c r="FM420" s="110"/>
      <c r="FN420" s="110"/>
      <c r="FO420" s="110"/>
      <c r="FP420" s="110"/>
      <c r="FQ420" s="110"/>
      <c r="FR420" s="110"/>
      <c r="FS420" s="110"/>
      <c r="FT420" s="110"/>
      <c r="FU420" s="110"/>
      <c r="FV420" s="110"/>
      <c r="FW420" s="110"/>
      <c r="FX420" s="110"/>
      <c r="FY420" s="110"/>
      <c r="FZ420" s="110"/>
      <c r="GA420" s="110"/>
      <c r="GB420" s="110"/>
      <c r="GC420" s="110"/>
      <c r="GD420" s="110"/>
      <c r="GE420" s="110"/>
      <c r="GF420" s="110"/>
      <c r="GG420" s="110"/>
      <c r="GH420" s="110"/>
      <c r="GI420" s="110"/>
      <c r="GJ420" s="110"/>
      <c r="GK420" s="110"/>
      <c r="GL420" s="110"/>
      <c r="GM420" s="110"/>
      <c r="GN420" s="110"/>
      <c r="GO420" s="110"/>
      <c r="GP420" s="110"/>
      <c r="GQ420" s="110"/>
      <c r="GR420" s="110"/>
      <c r="GS420" s="110"/>
      <c r="GT420" s="110"/>
      <c r="GU420" s="110"/>
      <c r="GV420" s="110"/>
      <c r="GW420" s="110"/>
      <c r="GX420" s="110"/>
      <c r="GY420" s="110"/>
      <c r="GZ420" s="110"/>
      <c r="HA420" s="110"/>
      <c r="HB420" s="110"/>
      <c r="HC420" s="110"/>
      <c r="HD420" s="110"/>
      <c r="HE420" s="110"/>
      <c r="HF420" s="110"/>
      <c r="HG420" s="110"/>
      <c r="HH420" s="110"/>
      <c r="HI420" s="110"/>
      <c r="HJ420" s="110"/>
      <c r="HK420" s="110"/>
      <c r="HL420" s="110"/>
      <c r="HM420" s="110"/>
      <c r="HN420" s="110"/>
      <c r="HO420" s="110"/>
      <c r="HP420" s="110"/>
      <c r="HQ420" s="110"/>
      <c r="HR420" s="110"/>
      <c r="HS420" s="110"/>
      <c r="HT420" s="110"/>
      <c r="HU420" s="110"/>
      <c r="HV420" s="110"/>
      <c r="HW420" s="110"/>
      <c r="HX420" s="110"/>
      <c r="HY420" s="110"/>
      <c r="HZ420" s="110"/>
      <c r="IA420" s="110"/>
      <c r="IB420" s="110"/>
      <c r="IC420" s="110"/>
      <c r="ID420" s="110"/>
      <c r="IE420" s="110"/>
      <c r="IF420" s="110"/>
      <c r="IG420" s="110"/>
      <c r="IH420" s="110"/>
      <c r="II420" s="110"/>
      <c r="IJ420" s="110"/>
      <c r="IK420" s="110"/>
      <c r="IL420" s="110"/>
      <c r="IM420" s="110"/>
      <c r="IN420" s="110"/>
      <c r="IO420" s="110"/>
      <c r="IP420" s="110"/>
      <c r="IQ420" s="110"/>
      <c r="IR420" s="110"/>
      <c r="IS420" s="110"/>
      <c r="IT420" s="110"/>
      <c r="IU420" s="110"/>
      <c r="IV420" s="110"/>
      <c r="IW420" s="110"/>
      <c r="IX420" s="110"/>
      <c r="IY420" s="110"/>
      <c r="IZ420" s="110"/>
      <c r="JA420" s="110"/>
      <c r="JB420" s="110"/>
      <c r="JC420" s="110"/>
      <c r="JD420" s="110"/>
      <c r="JE420" s="110"/>
      <c r="JF420" s="110"/>
      <c r="JG420" s="110"/>
      <c r="JH420" s="110"/>
      <c r="JI420" s="110"/>
      <c r="JJ420" s="110"/>
      <c r="JK420" s="110"/>
      <c r="JL420" s="110"/>
      <c r="JM420" s="110"/>
      <c r="JN420" s="110"/>
      <c r="JO420" s="110"/>
      <c r="JP420" s="110"/>
      <c r="JQ420" s="110"/>
      <c r="JR420" s="110"/>
      <c r="JS420" s="110"/>
      <c r="JT420" s="110"/>
      <c r="JU420" s="110"/>
      <c r="JV420" s="110"/>
      <c r="JW420" s="110"/>
      <c r="JX420" s="110"/>
      <c r="JY420" s="110"/>
      <c r="JZ420" s="110"/>
      <c r="KA420" s="110"/>
      <c r="KB420" s="110"/>
      <c r="KC420" s="110"/>
      <c r="KD420" s="110"/>
      <c r="KE420" s="110"/>
      <c r="KF420" s="110"/>
      <c r="KG420" s="110"/>
      <c r="KH420" s="110"/>
      <c r="KI420" s="110"/>
      <c r="KJ420" s="110"/>
      <c r="KK420" s="110"/>
      <c r="KL420" s="110"/>
      <c r="KM420" s="110"/>
      <c r="KN420" s="110"/>
      <c r="KO420" s="110"/>
      <c r="KP420" s="110"/>
      <c r="KQ420" s="110"/>
      <c r="KR420" s="110"/>
      <c r="KS420" s="110"/>
      <c r="KT420" s="110"/>
      <c r="KU420" s="110"/>
      <c r="KV420" s="110"/>
      <c r="KW420" s="110"/>
      <c r="KX420" s="110"/>
      <c r="KY420" s="110"/>
      <c r="KZ420" s="110"/>
      <c r="LA420" s="110"/>
      <c r="LB420" s="110"/>
      <c r="LC420" s="110"/>
      <c r="LD420" s="110"/>
      <c r="LE420" s="110"/>
      <c r="LF420" s="110"/>
      <c r="LG420" s="110"/>
      <c r="LH420" s="110"/>
      <c r="LI420" s="110"/>
      <c r="LJ420" s="110"/>
      <c r="LK420" s="110"/>
      <c r="LL420" s="110"/>
      <c r="LM420" s="110"/>
      <c r="LN420" s="110"/>
      <c r="LO420" s="110"/>
      <c r="LP420" s="110"/>
      <c r="LQ420" s="110"/>
      <c r="LR420" s="110"/>
      <c r="LS420" s="110"/>
      <c r="LT420" s="110"/>
      <c r="LU420" s="110"/>
      <c r="LV420" s="110"/>
      <c r="LW420" s="110"/>
      <c r="LX420" s="110"/>
      <c r="LY420" s="110"/>
      <c r="LZ420" s="110"/>
      <c r="MA420" s="110"/>
      <c r="MB420" s="110"/>
      <c r="MC420" s="110"/>
      <c r="MD420" s="110"/>
      <c r="ME420" s="110"/>
      <c r="MF420" s="110"/>
      <c r="MG420" s="110"/>
      <c r="MH420" s="110"/>
      <c r="MI420" s="110"/>
      <c r="MJ420" s="110"/>
      <c r="MK420" s="110"/>
      <c r="ML420" s="110"/>
      <c r="MM420" s="110"/>
      <c r="MN420" s="110"/>
      <c r="MO420" s="110"/>
      <c r="MP420" s="110"/>
      <c r="MQ420" s="110"/>
      <c r="MR420" s="110"/>
      <c r="MS420" s="110"/>
      <c r="MT420" s="110"/>
      <c r="MU420" s="110"/>
      <c r="MV420" s="110"/>
      <c r="MW420" s="110"/>
      <c r="MX420" s="110"/>
      <c r="MY420" s="110"/>
      <c r="MZ420" s="110"/>
      <c r="NA420" s="110"/>
      <c r="NB420" s="110"/>
      <c r="NC420" s="110"/>
      <c r="ND420" s="110"/>
      <c r="NE420" s="110"/>
      <c r="NF420" s="110"/>
      <c r="NG420" s="110"/>
      <c r="NH420" s="110"/>
      <c r="NI420" s="110"/>
      <c r="NJ420" s="110"/>
      <c r="NK420" s="110"/>
      <c r="NL420" s="110"/>
      <c r="NM420" s="110"/>
      <c r="NN420" s="110"/>
      <c r="NO420" s="110"/>
      <c r="NP420" s="110"/>
      <c r="NQ420" s="110"/>
      <c r="NR420" s="110"/>
      <c r="NS420" s="110"/>
      <c r="NT420" s="110"/>
      <c r="NU420" s="110"/>
      <c r="NV420" s="110"/>
      <c r="NW420" s="110"/>
      <c r="NX420" s="110"/>
      <c r="NY420" s="110"/>
      <c r="NZ420" s="110"/>
      <c r="OA420" s="110"/>
      <c r="OB420" s="110"/>
      <c r="OC420" s="110"/>
      <c r="OD420" s="110"/>
      <c r="OE420" s="110"/>
      <c r="OF420" s="110"/>
      <c r="OG420" s="110"/>
      <c r="OH420" s="110"/>
      <c r="OI420" s="110"/>
      <c r="OJ420" s="110"/>
      <c r="OK420" s="110"/>
      <c r="OL420" s="110"/>
      <c r="OM420" s="110"/>
      <c r="ON420" s="110"/>
      <c r="OO420" s="110"/>
      <c r="OP420" s="110"/>
      <c r="OQ420" s="110"/>
      <c r="OR420" s="110"/>
      <c r="OS420" s="110"/>
      <c r="OT420" s="110"/>
      <c r="OU420" s="110"/>
      <c r="OV420" s="110"/>
      <c r="OW420" s="110"/>
      <c r="OX420" s="110"/>
      <c r="OY420" s="110"/>
      <c r="OZ420" s="110"/>
      <c r="PA420" s="110"/>
      <c r="PB420" s="110"/>
      <c r="PC420" s="110"/>
      <c r="PD420" s="110"/>
      <c r="PE420" s="110"/>
      <c r="PF420" s="110"/>
      <c r="PG420" s="110"/>
      <c r="PH420" s="110"/>
      <c r="PI420" s="110"/>
      <c r="PJ420" s="110"/>
      <c r="PK420" s="110"/>
      <c r="PL420" s="110"/>
      <c r="PM420" s="110"/>
      <c r="PN420" s="110"/>
      <c r="PO420" s="110"/>
      <c r="PP420" s="110"/>
      <c r="PQ420" s="110"/>
      <c r="PR420" s="110"/>
      <c r="PS420" s="110"/>
      <c r="PT420" s="110"/>
      <c r="PU420" s="110"/>
      <c r="PV420" s="110"/>
      <c r="PW420" s="110"/>
      <c r="PX420" s="110"/>
      <c r="PY420" s="110"/>
      <c r="PZ420" s="110"/>
      <c r="QA420" s="110"/>
      <c r="QB420" s="110"/>
      <c r="QC420" s="110"/>
      <c r="QD420" s="110"/>
      <c r="QE420" s="110"/>
      <c r="QF420" s="110"/>
      <c r="QG420" s="110"/>
      <c r="QH420" s="110"/>
      <c r="QI420" s="110"/>
      <c r="QJ420" s="110"/>
      <c r="QK420" s="110"/>
      <c r="QL420" s="110"/>
      <c r="QM420" s="110"/>
      <c r="QN420" s="110"/>
      <c r="QO420" s="110"/>
      <c r="QP420" s="110"/>
      <c r="QQ420" s="110"/>
      <c r="QR420" s="110"/>
      <c r="QS420" s="110"/>
      <c r="QT420" s="110"/>
      <c r="QU420" s="110"/>
      <c r="QV420" s="110"/>
      <c r="QW420" s="110"/>
      <c r="QX420" s="110"/>
      <c r="QY420" s="110"/>
      <c r="QZ420" s="110"/>
      <c r="RA420" s="110"/>
      <c r="RB420" s="110"/>
      <c r="RC420" s="110"/>
      <c r="RD420" s="110"/>
      <c r="RE420" s="110"/>
      <c r="RF420" s="110"/>
      <c r="RG420" s="110"/>
      <c r="RH420" s="110"/>
      <c r="RI420" s="110"/>
      <c r="RJ420" s="110"/>
      <c r="RK420" s="110"/>
      <c r="RL420" s="110"/>
      <c r="RM420" s="110"/>
      <c r="RN420" s="110"/>
      <c r="RO420" s="110"/>
      <c r="RP420" s="110"/>
      <c r="RQ420" s="110"/>
      <c r="RR420" s="110"/>
      <c r="RS420" s="110"/>
      <c r="RT420" s="110"/>
      <c r="RU420" s="110"/>
      <c r="RV420" s="110"/>
      <c r="RW420" s="110"/>
      <c r="RX420" s="110"/>
      <c r="RY420" s="110"/>
      <c r="RZ420" s="110"/>
      <c r="SA420" s="110"/>
      <c r="SB420" s="110"/>
      <c r="SC420" s="110"/>
      <c r="SD420" s="110"/>
      <c r="SE420" s="110"/>
      <c r="SF420" s="110"/>
      <c r="SG420" s="110"/>
      <c r="SH420" s="110"/>
      <c r="SI420" s="110"/>
      <c r="SJ420" s="110"/>
      <c r="SK420" s="110"/>
      <c r="SL420" s="110"/>
      <c r="SM420" s="110"/>
      <c r="SN420" s="110"/>
      <c r="SO420" s="110"/>
      <c r="SP420" s="110"/>
      <c r="SQ420" s="110"/>
      <c r="SR420" s="110"/>
      <c r="SS420" s="110"/>
      <c r="ST420" s="110"/>
      <c r="SU420" s="110"/>
      <c r="SV420" s="110"/>
      <c r="SW420" s="110"/>
      <c r="SX420" s="110"/>
      <c r="SY420" s="110"/>
      <c r="SZ420" s="110"/>
      <c r="TA420" s="110"/>
      <c r="TB420" s="110"/>
      <c r="TC420" s="110"/>
      <c r="TD420" s="110"/>
      <c r="TE420" s="110"/>
    </row>
    <row r="421" spans="1:525" s="111" customFormat="1" ht="32.25" hidden="1" customHeight="1" x14ac:dyDescent="0.25">
      <c r="A421" s="217"/>
      <c r="B421" s="165"/>
      <c r="C421" s="166"/>
      <c r="D421" s="167"/>
      <c r="E421" s="88">
        <f>E415-'дод 7'!D292</f>
        <v>0</v>
      </c>
      <c r="F421" s="88">
        <f>F415-'дод 7'!E292</f>
        <v>0</v>
      </c>
      <c r="G421" s="88">
        <f>G415-'дод 7'!F292</f>
        <v>0</v>
      </c>
      <c r="H421" s="88">
        <f>H415-'дод 7'!G292</f>
        <v>0</v>
      </c>
      <c r="I421" s="88">
        <f>I415-'дод 7'!H292</f>
        <v>0</v>
      </c>
      <c r="J421" s="88">
        <f>J415-'дод 7'!I292</f>
        <v>0</v>
      </c>
      <c r="K421" s="88">
        <f>K415-'дод 7'!J292</f>
        <v>0</v>
      </c>
      <c r="L421" s="88">
        <f>L415-'дод 7'!K292</f>
        <v>0</v>
      </c>
      <c r="M421" s="88">
        <f>M415-'дод 7'!L292</f>
        <v>0</v>
      </c>
      <c r="N421" s="88">
        <f>N415-'дод 7'!M292</f>
        <v>0</v>
      </c>
      <c r="O421" s="88">
        <f>O415-'дод 7'!N292</f>
        <v>0</v>
      </c>
      <c r="P421" s="88">
        <f>P415-'дод 7'!O292</f>
        <v>0</v>
      </c>
      <c r="Q421" s="252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  <c r="CX421" s="110"/>
      <c r="CY421" s="110"/>
      <c r="CZ421" s="110"/>
      <c r="DA421" s="110"/>
      <c r="DB421" s="110"/>
      <c r="DC421" s="110"/>
      <c r="DD421" s="110"/>
      <c r="DE421" s="110"/>
      <c r="DF421" s="110"/>
      <c r="DG421" s="110"/>
      <c r="DH421" s="110"/>
      <c r="DI421" s="110"/>
      <c r="DJ421" s="110"/>
      <c r="DK421" s="110"/>
      <c r="DL421" s="110"/>
      <c r="DM421" s="110"/>
      <c r="DN421" s="110"/>
      <c r="DO421" s="110"/>
      <c r="DP421" s="110"/>
      <c r="DQ421" s="110"/>
      <c r="DR421" s="110"/>
      <c r="DS421" s="110"/>
      <c r="DT421" s="110"/>
      <c r="DU421" s="110"/>
      <c r="DV421" s="110"/>
      <c r="DW421" s="110"/>
      <c r="DX421" s="110"/>
      <c r="DY421" s="110"/>
      <c r="DZ421" s="110"/>
      <c r="EA421" s="110"/>
      <c r="EB421" s="110"/>
      <c r="EC421" s="110"/>
      <c r="ED421" s="110"/>
      <c r="EE421" s="110"/>
      <c r="EF421" s="110"/>
      <c r="EG421" s="110"/>
      <c r="EH421" s="110"/>
      <c r="EI421" s="110"/>
      <c r="EJ421" s="110"/>
      <c r="EK421" s="110"/>
      <c r="EL421" s="110"/>
      <c r="EM421" s="110"/>
      <c r="EN421" s="110"/>
      <c r="EO421" s="110"/>
      <c r="EP421" s="110"/>
      <c r="EQ421" s="110"/>
      <c r="ER421" s="110"/>
      <c r="ES421" s="110"/>
      <c r="ET421" s="110"/>
      <c r="EU421" s="110"/>
      <c r="EV421" s="110"/>
      <c r="EW421" s="110"/>
      <c r="EX421" s="110"/>
      <c r="EY421" s="110"/>
      <c r="EZ421" s="110"/>
      <c r="FA421" s="110"/>
      <c r="FB421" s="110"/>
      <c r="FC421" s="110"/>
      <c r="FD421" s="110"/>
      <c r="FE421" s="110"/>
      <c r="FF421" s="110"/>
      <c r="FG421" s="110"/>
      <c r="FH421" s="110"/>
      <c r="FI421" s="110"/>
      <c r="FJ421" s="110"/>
      <c r="FK421" s="110"/>
      <c r="FL421" s="110"/>
      <c r="FM421" s="110"/>
      <c r="FN421" s="110"/>
      <c r="FO421" s="110"/>
      <c r="FP421" s="110"/>
      <c r="FQ421" s="110"/>
      <c r="FR421" s="110"/>
      <c r="FS421" s="110"/>
      <c r="FT421" s="110"/>
      <c r="FU421" s="110"/>
      <c r="FV421" s="110"/>
      <c r="FW421" s="110"/>
      <c r="FX421" s="110"/>
      <c r="FY421" s="110"/>
      <c r="FZ421" s="110"/>
      <c r="GA421" s="110"/>
      <c r="GB421" s="110"/>
      <c r="GC421" s="110"/>
      <c r="GD421" s="110"/>
      <c r="GE421" s="110"/>
      <c r="GF421" s="110"/>
      <c r="GG421" s="110"/>
      <c r="GH421" s="110"/>
      <c r="GI421" s="110"/>
      <c r="GJ421" s="110"/>
      <c r="GK421" s="110"/>
      <c r="GL421" s="110"/>
      <c r="GM421" s="110"/>
      <c r="GN421" s="110"/>
      <c r="GO421" s="110"/>
      <c r="GP421" s="110"/>
      <c r="GQ421" s="110"/>
      <c r="GR421" s="110"/>
      <c r="GS421" s="110"/>
      <c r="GT421" s="110"/>
      <c r="GU421" s="110"/>
      <c r="GV421" s="110"/>
      <c r="GW421" s="110"/>
      <c r="GX421" s="110"/>
      <c r="GY421" s="110"/>
      <c r="GZ421" s="110"/>
      <c r="HA421" s="110"/>
      <c r="HB421" s="110"/>
      <c r="HC421" s="110"/>
      <c r="HD421" s="110"/>
      <c r="HE421" s="110"/>
      <c r="HF421" s="110"/>
      <c r="HG421" s="110"/>
      <c r="HH421" s="110"/>
      <c r="HI421" s="110"/>
      <c r="HJ421" s="110"/>
      <c r="HK421" s="110"/>
      <c r="HL421" s="110"/>
      <c r="HM421" s="110"/>
      <c r="HN421" s="110"/>
      <c r="HO421" s="110"/>
      <c r="HP421" s="110"/>
      <c r="HQ421" s="110"/>
      <c r="HR421" s="110"/>
      <c r="HS421" s="110"/>
      <c r="HT421" s="110"/>
      <c r="HU421" s="110"/>
      <c r="HV421" s="110"/>
      <c r="HW421" s="110"/>
      <c r="HX421" s="110"/>
      <c r="HY421" s="110"/>
      <c r="HZ421" s="110"/>
      <c r="IA421" s="110"/>
      <c r="IB421" s="110"/>
      <c r="IC421" s="110"/>
      <c r="ID421" s="110"/>
      <c r="IE421" s="110"/>
      <c r="IF421" s="110"/>
      <c r="IG421" s="110"/>
      <c r="IH421" s="110"/>
      <c r="II421" s="110"/>
      <c r="IJ421" s="110"/>
      <c r="IK421" s="110"/>
      <c r="IL421" s="110"/>
      <c r="IM421" s="110"/>
      <c r="IN421" s="110"/>
      <c r="IO421" s="110"/>
      <c r="IP421" s="110"/>
      <c r="IQ421" s="110"/>
      <c r="IR421" s="110"/>
      <c r="IS421" s="110"/>
      <c r="IT421" s="110"/>
      <c r="IU421" s="110"/>
      <c r="IV421" s="110"/>
      <c r="IW421" s="110"/>
      <c r="IX421" s="110"/>
      <c r="IY421" s="110"/>
      <c r="IZ421" s="110"/>
      <c r="JA421" s="110"/>
      <c r="JB421" s="110"/>
      <c r="JC421" s="110"/>
      <c r="JD421" s="110"/>
      <c r="JE421" s="110"/>
      <c r="JF421" s="110"/>
      <c r="JG421" s="110"/>
      <c r="JH421" s="110"/>
      <c r="JI421" s="110"/>
      <c r="JJ421" s="110"/>
      <c r="JK421" s="110"/>
      <c r="JL421" s="110"/>
      <c r="JM421" s="110"/>
      <c r="JN421" s="110"/>
      <c r="JO421" s="110"/>
      <c r="JP421" s="110"/>
      <c r="JQ421" s="110"/>
      <c r="JR421" s="110"/>
      <c r="JS421" s="110"/>
      <c r="JT421" s="110"/>
      <c r="JU421" s="110"/>
      <c r="JV421" s="110"/>
      <c r="JW421" s="110"/>
      <c r="JX421" s="110"/>
      <c r="JY421" s="110"/>
      <c r="JZ421" s="110"/>
      <c r="KA421" s="110"/>
      <c r="KB421" s="110"/>
      <c r="KC421" s="110"/>
      <c r="KD421" s="110"/>
      <c r="KE421" s="110"/>
      <c r="KF421" s="110"/>
      <c r="KG421" s="110"/>
      <c r="KH421" s="110"/>
      <c r="KI421" s="110"/>
      <c r="KJ421" s="110"/>
      <c r="KK421" s="110"/>
      <c r="KL421" s="110"/>
      <c r="KM421" s="110"/>
      <c r="KN421" s="110"/>
      <c r="KO421" s="110"/>
      <c r="KP421" s="110"/>
      <c r="KQ421" s="110"/>
      <c r="KR421" s="110"/>
      <c r="KS421" s="110"/>
      <c r="KT421" s="110"/>
      <c r="KU421" s="110"/>
      <c r="KV421" s="110"/>
      <c r="KW421" s="110"/>
      <c r="KX421" s="110"/>
      <c r="KY421" s="110"/>
      <c r="KZ421" s="110"/>
      <c r="LA421" s="110"/>
      <c r="LB421" s="110"/>
      <c r="LC421" s="110"/>
      <c r="LD421" s="110"/>
      <c r="LE421" s="110"/>
      <c r="LF421" s="110"/>
      <c r="LG421" s="110"/>
      <c r="LH421" s="110"/>
      <c r="LI421" s="110"/>
      <c r="LJ421" s="110"/>
      <c r="LK421" s="110"/>
      <c r="LL421" s="110"/>
      <c r="LM421" s="110"/>
      <c r="LN421" s="110"/>
      <c r="LO421" s="110"/>
      <c r="LP421" s="110"/>
      <c r="LQ421" s="110"/>
      <c r="LR421" s="110"/>
      <c r="LS421" s="110"/>
      <c r="LT421" s="110"/>
      <c r="LU421" s="110"/>
      <c r="LV421" s="110"/>
      <c r="LW421" s="110"/>
      <c r="LX421" s="110"/>
      <c r="LY421" s="110"/>
      <c r="LZ421" s="110"/>
      <c r="MA421" s="110"/>
      <c r="MB421" s="110"/>
      <c r="MC421" s="110"/>
      <c r="MD421" s="110"/>
      <c r="ME421" s="110"/>
      <c r="MF421" s="110"/>
      <c r="MG421" s="110"/>
      <c r="MH421" s="110"/>
      <c r="MI421" s="110"/>
      <c r="MJ421" s="110"/>
      <c r="MK421" s="110"/>
      <c r="ML421" s="110"/>
      <c r="MM421" s="110"/>
      <c r="MN421" s="110"/>
      <c r="MO421" s="110"/>
      <c r="MP421" s="110"/>
      <c r="MQ421" s="110"/>
      <c r="MR421" s="110"/>
      <c r="MS421" s="110"/>
      <c r="MT421" s="110"/>
      <c r="MU421" s="110"/>
      <c r="MV421" s="110"/>
      <c r="MW421" s="110"/>
      <c r="MX421" s="110"/>
      <c r="MY421" s="110"/>
      <c r="MZ421" s="110"/>
      <c r="NA421" s="110"/>
      <c r="NB421" s="110"/>
      <c r="NC421" s="110"/>
      <c r="ND421" s="110"/>
      <c r="NE421" s="110"/>
      <c r="NF421" s="110"/>
      <c r="NG421" s="110"/>
      <c r="NH421" s="110"/>
      <c r="NI421" s="110"/>
      <c r="NJ421" s="110"/>
      <c r="NK421" s="110"/>
      <c r="NL421" s="110"/>
      <c r="NM421" s="110"/>
      <c r="NN421" s="110"/>
      <c r="NO421" s="110"/>
      <c r="NP421" s="110"/>
      <c r="NQ421" s="110"/>
      <c r="NR421" s="110"/>
      <c r="NS421" s="110"/>
      <c r="NT421" s="110"/>
      <c r="NU421" s="110"/>
      <c r="NV421" s="110"/>
      <c r="NW421" s="110"/>
      <c r="NX421" s="110"/>
      <c r="NY421" s="110"/>
      <c r="NZ421" s="110"/>
      <c r="OA421" s="110"/>
      <c r="OB421" s="110"/>
      <c r="OC421" s="110"/>
      <c r="OD421" s="110"/>
      <c r="OE421" s="110"/>
      <c r="OF421" s="110"/>
      <c r="OG421" s="110"/>
      <c r="OH421" s="110"/>
      <c r="OI421" s="110"/>
      <c r="OJ421" s="110"/>
      <c r="OK421" s="110"/>
      <c r="OL421" s="110"/>
      <c r="OM421" s="110"/>
      <c r="ON421" s="110"/>
      <c r="OO421" s="110"/>
      <c r="OP421" s="110"/>
      <c r="OQ421" s="110"/>
      <c r="OR421" s="110"/>
      <c r="OS421" s="110"/>
      <c r="OT421" s="110"/>
      <c r="OU421" s="110"/>
      <c r="OV421" s="110"/>
      <c r="OW421" s="110"/>
      <c r="OX421" s="110"/>
      <c r="OY421" s="110"/>
      <c r="OZ421" s="110"/>
      <c r="PA421" s="110"/>
      <c r="PB421" s="110"/>
      <c r="PC421" s="110"/>
      <c r="PD421" s="110"/>
      <c r="PE421" s="110"/>
      <c r="PF421" s="110"/>
      <c r="PG421" s="110"/>
      <c r="PH421" s="110"/>
      <c r="PI421" s="110"/>
      <c r="PJ421" s="110"/>
      <c r="PK421" s="110"/>
      <c r="PL421" s="110"/>
      <c r="PM421" s="110"/>
      <c r="PN421" s="110"/>
      <c r="PO421" s="110"/>
      <c r="PP421" s="110"/>
      <c r="PQ421" s="110"/>
      <c r="PR421" s="110"/>
      <c r="PS421" s="110"/>
      <c r="PT421" s="110"/>
      <c r="PU421" s="110"/>
      <c r="PV421" s="110"/>
      <c r="PW421" s="110"/>
      <c r="PX421" s="110"/>
      <c r="PY421" s="110"/>
      <c r="PZ421" s="110"/>
      <c r="QA421" s="110"/>
      <c r="QB421" s="110"/>
      <c r="QC421" s="110"/>
      <c r="QD421" s="110"/>
      <c r="QE421" s="110"/>
      <c r="QF421" s="110"/>
      <c r="QG421" s="110"/>
      <c r="QH421" s="110"/>
      <c r="QI421" s="110"/>
      <c r="QJ421" s="110"/>
      <c r="QK421" s="110"/>
      <c r="QL421" s="110"/>
      <c r="QM421" s="110"/>
      <c r="QN421" s="110"/>
      <c r="QO421" s="110"/>
      <c r="QP421" s="110"/>
      <c r="QQ421" s="110"/>
      <c r="QR421" s="110"/>
      <c r="QS421" s="110"/>
      <c r="QT421" s="110"/>
      <c r="QU421" s="110"/>
      <c r="QV421" s="110"/>
      <c r="QW421" s="110"/>
      <c r="QX421" s="110"/>
      <c r="QY421" s="110"/>
      <c r="QZ421" s="110"/>
      <c r="RA421" s="110"/>
      <c r="RB421" s="110"/>
      <c r="RC421" s="110"/>
      <c r="RD421" s="110"/>
      <c r="RE421" s="110"/>
      <c r="RF421" s="110"/>
      <c r="RG421" s="110"/>
      <c r="RH421" s="110"/>
      <c r="RI421" s="110"/>
      <c r="RJ421" s="110"/>
      <c r="RK421" s="110"/>
      <c r="RL421" s="110"/>
      <c r="RM421" s="110"/>
      <c r="RN421" s="110"/>
      <c r="RO421" s="110"/>
      <c r="RP421" s="110"/>
      <c r="RQ421" s="110"/>
      <c r="RR421" s="110"/>
      <c r="RS421" s="110"/>
      <c r="RT421" s="110"/>
      <c r="RU421" s="110"/>
      <c r="RV421" s="110"/>
      <c r="RW421" s="110"/>
      <c r="RX421" s="110"/>
      <c r="RY421" s="110"/>
      <c r="RZ421" s="110"/>
      <c r="SA421" s="110"/>
      <c r="SB421" s="110"/>
      <c r="SC421" s="110"/>
      <c r="SD421" s="110"/>
      <c r="SE421" s="110"/>
      <c r="SF421" s="110"/>
      <c r="SG421" s="110"/>
      <c r="SH421" s="110"/>
      <c r="SI421" s="110"/>
      <c r="SJ421" s="110"/>
      <c r="SK421" s="110"/>
      <c r="SL421" s="110"/>
      <c r="SM421" s="110"/>
      <c r="SN421" s="110"/>
      <c r="SO421" s="110"/>
      <c r="SP421" s="110"/>
      <c r="SQ421" s="110"/>
      <c r="SR421" s="110"/>
      <c r="SS421" s="110"/>
      <c r="ST421" s="110"/>
      <c r="SU421" s="110"/>
      <c r="SV421" s="110"/>
      <c r="SW421" s="110"/>
      <c r="SX421" s="110"/>
      <c r="SY421" s="110"/>
      <c r="SZ421" s="110"/>
      <c r="TA421" s="110"/>
      <c r="TB421" s="110"/>
      <c r="TC421" s="110"/>
      <c r="TD421" s="110"/>
      <c r="TE421" s="110"/>
    </row>
    <row r="422" spans="1:525" s="111" customFormat="1" ht="30" hidden="1" customHeight="1" x14ac:dyDescent="0.25">
      <c r="A422" s="217"/>
      <c r="B422" s="165"/>
      <c r="C422" s="166"/>
      <c r="D422" s="167"/>
      <c r="E422" s="88"/>
      <c r="F422" s="87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252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  <c r="BH422" s="110"/>
      <c r="BI422" s="110"/>
      <c r="BJ422" s="110"/>
      <c r="BK422" s="110"/>
      <c r="BL422" s="110"/>
      <c r="BM422" s="110"/>
      <c r="BN422" s="110"/>
      <c r="BO422" s="110"/>
      <c r="BP422" s="110"/>
      <c r="BQ422" s="110"/>
      <c r="BR422" s="110"/>
      <c r="BS422" s="110"/>
      <c r="BT422" s="110"/>
      <c r="BU422" s="110"/>
      <c r="BV422" s="110"/>
      <c r="BW422" s="110"/>
      <c r="BX422" s="110"/>
      <c r="BY422" s="110"/>
      <c r="BZ422" s="110"/>
      <c r="CA422" s="110"/>
      <c r="CB422" s="110"/>
      <c r="CC422" s="110"/>
      <c r="CD422" s="110"/>
      <c r="CE422" s="110"/>
      <c r="CF422" s="110"/>
      <c r="CG422" s="110"/>
      <c r="CH422" s="110"/>
      <c r="CI422" s="110"/>
      <c r="CJ422" s="110"/>
      <c r="CK422" s="110"/>
      <c r="CL422" s="110"/>
      <c r="CM422" s="110"/>
      <c r="CN422" s="110"/>
      <c r="CO422" s="110"/>
      <c r="CP422" s="110"/>
      <c r="CQ422" s="110"/>
      <c r="CR422" s="110"/>
      <c r="CS422" s="110"/>
      <c r="CT422" s="110"/>
      <c r="CU422" s="110"/>
      <c r="CV422" s="110"/>
      <c r="CW422" s="110"/>
      <c r="CX422" s="110"/>
      <c r="CY422" s="110"/>
      <c r="CZ422" s="110"/>
      <c r="DA422" s="110"/>
      <c r="DB422" s="110"/>
      <c r="DC422" s="110"/>
      <c r="DD422" s="110"/>
      <c r="DE422" s="110"/>
      <c r="DF422" s="110"/>
      <c r="DG422" s="110"/>
      <c r="DH422" s="110"/>
      <c r="DI422" s="110"/>
      <c r="DJ422" s="110"/>
      <c r="DK422" s="110"/>
      <c r="DL422" s="110"/>
      <c r="DM422" s="110"/>
      <c r="DN422" s="110"/>
      <c r="DO422" s="110"/>
      <c r="DP422" s="110"/>
      <c r="DQ422" s="110"/>
      <c r="DR422" s="110"/>
      <c r="DS422" s="110"/>
      <c r="DT422" s="110"/>
      <c r="DU422" s="110"/>
      <c r="DV422" s="110"/>
      <c r="DW422" s="110"/>
      <c r="DX422" s="110"/>
      <c r="DY422" s="110"/>
      <c r="DZ422" s="110"/>
      <c r="EA422" s="110"/>
      <c r="EB422" s="110"/>
      <c r="EC422" s="110"/>
      <c r="ED422" s="110"/>
      <c r="EE422" s="110"/>
      <c r="EF422" s="110"/>
      <c r="EG422" s="110"/>
      <c r="EH422" s="110"/>
      <c r="EI422" s="110"/>
      <c r="EJ422" s="110"/>
      <c r="EK422" s="110"/>
      <c r="EL422" s="110"/>
      <c r="EM422" s="110"/>
      <c r="EN422" s="110"/>
      <c r="EO422" s="110"/>
      <c r="EP422" s="110"/>
      <c r="EQ422" s="110"/>
      <c r="ER422" s="110"/>
      <c r="ES422" s="110"/>
      <c r="ET422" s="110"/>
      <c r="EU422" s="110"/>
      <c r="EV422" s="110"/>
      <c r="EW422" s="110"/>
      <c r="EX422" s="110"/>
      <c r="EY422" s="110"/>
      <c r="EZ422" s="110"/>
      <c r="FA422" s="110"/>
      <c r="FB422" s="110"/>
      <c r="FC422" s="110"/>
      <c r="FD422" s="110"/>
      <c r="FE422" s="110"/>
      <c r="FF422" s="110"/>
      <c r="FG422" s="110"/>
      <c r="FH422" s="110"/>
      <c r="FI422" s="110"/>
      <c r="FJ422" s="110"/>
      <c r="FK422" s="110"/>
      <c r="FL422" s="110"/>
      <c r="FM422" s="110"/>
      <c r="FN422" s="110"/>
      <c r="FO422" s="110"/>
      <c r="FP422" s="110"/>
      <c r="FQ422" s="110"/>
      <c r="FR422" s="110"/>
      <c r="FS422" s="110"/>
      <c r="FT422" s="110"/>
      <c r="FU422" s="110"/>
      <c r="FV422" s="110"/>
      <c r="FW422" s="110"/>
      <c r="FX422" s="110"/>
      <c r="FY422" s="110"/>
      <c r="FZ422" s="110"/>
      <c r="GA422" s="110"/>
      <c r="GB422" s="110"/>
      <c r="GC422" s="110"/>
      <c r="GD422" s="110"/>
      <c r="GE422" s="110"/>
      <c r="GF422" s="110"/>
      <c r="GG422" s="110"/>
      <c r="GH422" s="110"/>
      <c r="GI422" s="110"/>
      <c r="GJ422" s="110"/>
      <c r="GK422" s="110"/>
      <c r="GL422" s="110"/>
      <c r="GM422" s="110"/>
      <c r="GN422" s="110"/>
      <c r="GO422" s="110"/>
      <c r="GP422" s="110"/>
      <c r="GQ422" s="110"/>
      <c r="GR422" s="110"/>
      <c r="GS422" s="110"/>
      <c r="GT422" s="110"/>
      <c r="GU422" s="110"/>
      <c r="GV422" s="110"/>
      <c r="GW422" s="110"/>
      <c r="GX422" s="110"/>
      <c r="GY422" s="110"/>
      <c r="GZ422" s="110"/>
      <c r="HA422" s="110"/>
      <c r="HB422" s="110"/>
      <c r="HC422" s="110"/>
      <c r="HD422" s="110"/>
      <c r="HE422" s="110"/>
      <c r="HF422" s="110"/>
      <c r="HG422" s="110"/>
      <c r="HH422" s="110"/>
      <c r="HI422" s="110"/>
      <c r="HJ422" s="110"/>
      <c r="HK422" s="110"/>
      <c r="HL422" s="110"/>
      <c r="HM422" s="110"/>
      <c r="HN422" s="110"/>
      <c r="HO422" s="110"/>
      <c r="HP422" s="110"/>
      <c r="HQ422" s="110"/>
      <c r="HR422" s="110"/>
      <c r="HS422" s="110"/>
      <c r="HT422" s="110"/>
      <c r="HU422" s="110"/>
      <c r="HV422" s="110"/>
      <c r="HW422" s="110"/>
      <c r="HX422" s="110"/>
      <c r="HY422" s="110"/>
      <c r="HZ422" s="110"/>
      <c r="IA422" s="110"/>
      <c r="IB422" s="110"/>
      <c r="IC422" s="110"/>
      <c r="ID422" s="110"/>
      <c r="IE422" s="110"/>
      <c r="IF422" s="110"/>
      <c r="IG422" s="110"/>
      <c r="IH422" s="110"/>
      <c r="II422" s="110"/>
      <c r="IJ422" s="110"/>
      <c r="IK422" s="110"/>
      <c r="IL422" s="110"/>
      <c r="IM422" s="110"/>
      <c r="IN422" s="110"/>
      <c r="IO422" s="110"/>
      <c r="IP422" s="110"/>
      <c r="IQ422" s="110"/>
      <c r="IR422" s="110"/>
      <c r="IS422" s="110"/>
      <c r="IT422" s="110"/>
      <c r="IU422" s="110"/>
      <c r="IV422" s="110"/>
      <c r="IW422" s="110"/>
      <c r="IX422" s="110"/>
      <c r="IY422" s="110"/>
      <c r="IZ422" s="110"/>
      <c r="JA422" s="110"/>
      <c r="JB422" s="110"/>
      <c r="JC422" s="110"/>
      <c r="JD422" s="110"/>
      <c r="JE422" s="110"/>
      <c r="JF422" s="110"/>
      <c r="JG422" s="110"/>
      <c r="JH422" s="110"/>
      <c r="JI422" s="110"/>
      <c r="JJ422" s="110"/>
      <c r="JK422" s="110"/>
      <c r="JL422" s="110"/>
      <c r="JM422" s="110"/>
      <c r="JN422" s="110"/>
      <c r="JO422" s="110"/>
      <c r="JP422" s="110"/>
      <c r="JQ422" s="110"/>
      <c r="JR422" s="110"/>
      <c r="JS422" s="110"/>
      <c r="JT422" s="110"/>
      <c r="JU422" s="110"/>
      <c r="JV422" s="110"/>
      <c r="JW422" s="110"/>
      <c r="JX422" s="110"/>
      <c r="JY422" s="110"/>
      <c r="JZ422" s="110"/>
      <c r="KA422" s="110"/>
      <c r="KB422" s="110"/>
      <c r="KC422" s="110"/>
      <c r="KD422" s="110"/>
      <c r="KE422" s="110"/>
      <c r="KF422" s="110"/>
      <c r="KG422" s="110"/>
      <c r="KH422" s="110"/>
      <c r="KI422" s="110"/>
      <c r="KJ422" s="110"/>
      <c r="KK422" s="110"/>
      <c r="KL422" s="110"/>
      <c r="KM422" s="110"/>
      <c r="KN422" s="110"/>
      <c r="KO422" s="110"/>
      <c r="KP422" s="110"/>
      <c r="KQ422" s="110"/>
      <c r="KR422" s="110"/>
      <c r="KS422" s="110"/>
      <c r="KT422" s="110"/>
      <c r="KU422" s="110"/>
      <c r="KV422" s="110"/>
      <c r="KW422" s="110"/>
      <c r="KX422" s="110"/>
      <c r="KY422" s="110"/>
      <c r="KZ422" s="110"/>
      <c r="LA422" s="110"/>
      <c r="LB422" s="110"/>
      <c r="LC422" s="110"/>
      <c r="LD422" s="110"/>
      <c r="LE422" s="110"/>
      <c r="LF422" s="110"/>
      <c r="LG422" s="110"/>
      <c r="LH422" s="110"/>
      <c r="LI422" s="110"/>
      <c r="LJ422" s="110"/>
      <c r="LK422" s="110"/>
      <c r="LL422" s="110"/>
      <c r="LM422" s="110"/>
      <c r="LN422" s="110"/>
      <c r="LO422" s="110"/>
      <c r="LP422" s="110"/>
      <c r="LQ422" s="110"/>
      <c r="LR422" s="110"/>
      <c r="LS422" s="110"/>
      <c r="LT422" s="110"/>
      <c r="LU422" s="110"/>
      <c r="LV422" s="110"/>
      <c r="LW422" s="110"/>
      <c r="LX422" s="110"/>
      <c r="LY422" s="110"/>
      <c r="LZ422" s="110"/>
      <c r="MA422" s="110"/>
      <c r="MB422" s="110"/>
      <c r="MC422" s="110"/>
      <c r="MD422" s="110"/>
      <c r="ME422" s="110"/>
      <c r="MF422" s="110"/>
      <c r="MG422" s="110"/>
      <c r="MH422" s="110"/>
      <c r="MI422" s="110"/>
      <c r="MJ422" s="110"/>
      <c r="MK422" s="110"/>
      <c r="ML422" s="110"/>
      <c r="MM422" s="110"/>
      <c r="MN422" s="110"/>
      <c r="MO422" s="110"/>
      <c r="MP422" s="110"/>
      <c r="MQ422" s="110"/>
      <c r="MR422" s="110"/>
      <c r="MS422" s="110"/>
      <c r="MT422" s="110"/>
      <c r="MU422" s="110"/>
      <c r="MV422" s="110"/>
      <c r="MW422" s="110"/>
      <c r="MX422" s="110"/>
      <c r="MY422" s="110"/>
      <c r="MZ422" s="110"/>
      <c r="NA422" s="110"/>
      <c r="NB422" s="110"/>
      <c r="NC422" s="110"/>
      <c r="ND422" s="110"/>
      <c r="NE422" s="110"/>
      <c r="NF422" s="110"/>
      <c r="NG422" s="110"/>
      <c r="NH422" s="110"/>
      <c r="NI422" s="110"/>
      <c r="NJ422" s="110"/>
      <c r="NK422" s="110"/>
      <c r="NL422" s="110"/>
      <c r="NM422" s="110"/>
      <c r="NN422" s="110"/>
      <c r="NO422" s="110"/>
      <c r="NP422" s="110"/>
      <c r="NQ422" s="110"/>
      <c r="NR422" s="110"/>
      <c r="NS422" s="110"/>
      <c r="NT422" s="110"/>
      <c r="NU422" s="110"/>
      <c r="NV422" s="110"/>
      <c r="NW422" s="110"/>
      <c r="NX422" s="110"/>
      <c r="NY422" s="110"/>
      <c r="NZ422" s="110"/>
      <c r="OA422" s="110"/>
      <c r="OB422" s="110"/>
      <c r="OC422" s="110"/>
      <c r="OD422" s="110"/>
      <c r="OE422" s="110"/>
      <c r="OF422" s="110"/>
      <c r="OG422" s="110"/>
      <c r="OH422" s="110"/>
      <c r="OI422" s="110"/>
      <c r="OJ422" s="110"/>
      <c r="OK422" s="110"/>
      <c r="OL422" s="110"/>
      <c r="OM422" s="110"/>
      <c r="ON422" s="110"/>
      <c r="OO422" s="110"/>
      <c r="OP422" s="110"/>
      <c r="OQ422" s="110"/>
      <c r="OR422" s="110"/>
      <c r="OS422" s="110"/>
      <c r="OT422" s="110"/>
      <c r="OU422" s="110"/>
      <c r="OV422" s="110"/>
      <c r="OW422" s="110"/>
      <c r="OX422" s="110"/>
      <c r="OY422" s="110"/>
      <c r="OZ422" s="110"/>
      <c r="PA422" s="110"/>
      <c r="PB422" s="110"/>
      <c r="PC422" s="110"/>
      <c r="PD422" s="110"/>
      <c r="PE422" s="110"/>
      <c r="PF422" s="110"/>
      <c r="PG422" s="110"/>
      <c r="PH422" s="110"/>
      <c r="PI422" s="110"/>
      <c r="PJ422" s="110"/>
      <c r="PK422" s="110"/>
      <c r="PL422" s="110"/>
      <c r="PM422" s="110"/>
      <c r="PN422" s="110"/>
      <c r="PO422" s="110"/>
      <c r="PP422" s="110"/>
      <c r="PQ422" s="110"/>
      <c r="PR422" s="110"/>
      <c r="PS422" s="110"/>
      <c r="PT422" s="110"/>
      <c r="PU422" s="110"/>
      <c r="PV422" s="110"/>
      <c r="PW422" s="110"/>
      <c r="PX422" s="110"/>
      <c r="PY422" s="110"/>
      <c r="PZ422" s="110"/>
      <c r="QA422" s="110"/>
      <c r="QB422" s="110"/>
      <c r="QC422" s="110"/>
      <c r="QD422" s="110"/>
      <c r="QE422" s="110"/>
      <c r="QF422" s="110"/>
      <c r="QG422" s="110"/>
      <c r="QH422" s="110"/>
      <c r="QI422" s="110"/>
      <c r="QJ422" s="110"/>
      <c r="QK422" s="110"/>
      <c r="QL422" s="110"/>
      <c r="QM422" s="110"/>
      <c r="QN422" s="110"/>
      <c r="QO422" s="110"/>
      <c r="QP422" s="110"/>
      <c r="QQ422" s="110"/>
      <c r="QR422" s="110"/>
      <c r="QS422" s="110"/>
      <c r="QT422" s="110"/>
      <c r="QU422" s="110"/>
      <c r="QV422" s="110"/>
      <c r="QW422" s="110"/>
      <c r="QX422" s="110"/>
      <c r="QY422" s="110"/>
      <c r="QZ422" s="110"/>
      <c r="RA422" s="110"/>
      <c r="RB422" s="110"/>
      <c r="RC422" s="110"/>
      <c r="RD422" s="110"/>
      <c r="RE422" s="110"/>
      <c r="RF422" s="110"/>
      <c r="RG422" s="110"/>
      <c r="RH422" s="110"/>
      <c r="RI422" s="110"/>
      <c r="RJ422" s="110"/>
      <c r="RK422" s="110"/>
      <c r="RL422" s="110"/>
      <c r="RM422" s="110"/>
      <c r="RN422" s="110"/>
      <c r="RO422" s="110"/>
      <c r="RP422" s="110"/>
      <c r="RQ422" s="110"/>
      <c r="RR422" s="110"/>
      <c r="RS422" s="110"/>
      <c r="RT422" s="110"/>
      <c r="RU422" s="110"/>
      <c r="RV422" s="110"/>
      <c r="RW422" s="110"/>
      <c r="RX422" s="110"/>
      <c r="RY422" s="110"/>
      <c r="RZ422" s="110"/>
      <c r="SA422" s="110"/>
      <c r="SB422" s="110"/>
      <c r="SC422" s="110"/>
      <c r="SD422" s="110"/>
      <c r="SE422" s="110"/>
      <c r="SF422" s="110"/>
      <c r="SG422" s="110"/>
      <c r="SH422" s="110"/>
      <c r="SI422" s="110"/>
      <c r="SJ422" s="110"/>
      <c r="SK422" s="110"/>
      <c r="SL422" s="110"/>
      <c r="SM422" s="110"/>
      <c r="SN422" s="110"/>
      <c r="SO422" s="110"/>
      <c r="SP422" s="110"/>
      <c r="SQ422" s="110"/>
      <c r="SR422" s="110"/>
      <c r="SS422" s="110"/>
      <c r="ST422" s="110"/>
      <c r="SU422" s="110"/>
      <c r="SV422" s="110"/>
      <c r="SW422" s="110"/>
      <c r="SX422" s="110"/>
      <c r="SY422" s="110"/>
      <c r="SZ422" s="110"/>
      <c r="TA422" s="110"/>
      <c r="TB422" s="110"/>
      <c r="TC422" s="110"/>
      <c r="TD422" s="110"/>
      <c r="TE422" s="110"/>
    </row>
    <row r="423" spans="1:525" s="175" customFormat="1" ht="40.5" hidden="1" customHeight="1" x14ac:dyDescent="0.55000000000000004">
      <c r="A423" s="168" t="s">
        <v>609</v>
      </c>
      <c r="B423" s="169"/>
      <c r="C423" s="170"/>
      <c r="D423" s="171"/>
      <c r="E423" s="88"/>
      <c r="F423" s="87"/>
      <c r="G423" s="171"/>
      <c r="H423" s="171"/>
      <c r="I423" s="171"/>
      <c r="J423" s="171"/>
      <c r="K423" s="172"/>
      <c r="L423" s="172"/>
      <c r="M423" s="171"/>
      <c r="N423" s="171" t="s">
        <v>610</v>
      </c>
      <c r="O423" s="173"/>
      <c r="P423" s="173"/>
      <c r="Q423" s="252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  <c r="AJ423" s="174"/>
      <c r="AK423" s="174"/>
      <c r="AL423" s="174"/>
      <c r="AM423" s="174"/>
      <c r="AN423" s="174"/>
      <c r="AO423" s="174"/>
      <c r="AP423" s="174"/>
      <c r="AQ423" s="174"/>
      <c r="AR423" s="174"/>
      <c r="AS423" s="174"/>
      <c r="AT423" s="174"/>
      <c r="AU423" s="174"/>
      <c r="AV423" s="174"/>
      <c r="AW423" s="174"/>
      <c r="AX423" s="174"/>
      <c r="AY423" s="174"/>
      <c r="AZ423" s="174"/>
      <c r="BA423" s="174"/>
      <c r="BB423" s="174"/>
      <c r="BC423" s="174"/>
      <c r="BD423" s="174"/>
      <c r="BE423" s="174"/>
      <c r="BF423" s="174"/>
      <c r="BG423" s="174"/>
      <c r="BH423" s="174"/>
      <c r="BI423" s="174"/>
      <c r="BJ423" s="174"/>
      <c r="BK423" s="174"/>
      <c r="BL423" s="174"/>
      <c r="BM423" s="174"/>
      <c r="BN423" s="174"/>
      <c r="BO423" s="174"/>
      <c r="BP423" s="174"/>
      <c r="BQ423" s="174"/>
      <c r="BR423" s="174"/>
      <c r="BS423" s="174"/>
      <c r="BT423" s="174"/>
      <c r="BU423" s="174"/>
      <c r="BV423" s="174"/>
      <c r="BW423" s="174"/>
      <c r="BX423" s="174"/>
      <c r="BY423" s="174"/>
      <c r="BZ423" s="174"/>
      <c r="CA423" s="174"/>
      <c r="CB423" s="174"/>
      <c r="CC423" s="174"/>
      <c r="CD423" s="174"/>
      <c r="CE423" s="174"/>
      <c r="CF423" s="174"/>
      <c r="CG423" s="174"/>
      <c r="CH423" s="174"/>
      <c r="CI423" s="174"/>
      <c r="CJ423" s="174"/>
      <c r="CK423" s="174"/>
      <c r="CL423" s="174"/>
      <c r="CM423" s="174"/>
      <c r="CN423" s="174"/>
      <c r="CO423" s="174"/>
      <c r="CP423" s="174"/>
      <c r="CQ423" s="174"/>
      <c r="CR423" s="174"/>
      <c r="CS423" s="174"/>
      <c r="CT423" s="174"/>
      <c r="CU423" s="174"/>
      <c r="CV423" s="174"/>
      <c r="CW423" s="174"/>
      <c r="CX423" s="174"/>
      <c r="CY423" s="174"/>
      <c r="CZ423" s="174"/>
      <c r="DA423" s="174"/>
      <c r="DB423" s="174"/>
      <c r="DC423" s="174"/>
      <c r="DD423" s="174"/>
      <c r="DE423" s="174"/>
      <c r="DF423" s="174"/>
      <c r="DG423" s="174"/>
      <c r="DH423" s="174"/>
      <c r="DI423" s="174"/>
      <c r="DJ423" s="174"/>
      <c r="DK423" s="174"/>
      <c r="DL423" s="174"/>
      <c r="DM423" s="174"/>
      <c r="DN423" s="174"/>
      <c r="DO423" s="174"/>
      <c r="DP423" s="174"/>
      <c r="DQ423" s="174"/>
      <c r="DR423" s="174"/>
      <c r="DS423" s="174"/>
      <c r="DT423" s="174"/>
      <c r="DU423" s="174"/>
      <c r="DV423" s="174"/>
      <c r="DW423" s="174"/>
      <c r="DX423" s="174"/>
      <c r="DY423" s="174"/>
      <c r="DZ423" s="174"/>
      <c r="EA423" s="174"/>
      <c r="EB423" s="174"/>
      <c r="EC423" s="174"/>
      <c r="ED423" s="174"/>
      <c r="EE423" s="174"/>
      <c r="EF423" s="174"/>
      <c r="EG423" s="174"/>
      <c r="EH423" s="174"/>
      <c r="EI423" s="174"/>
      <c r="EJ423" s="174"/>
      <c r="EK423" s="174"/>
      <c r="EL423" s="174"/>
      <c r="EM423" s="174"/>
      <c r="EN423" s="174"/>
      <c r="EO423" s="174"/>
      <c r="EP423" s="174"/>
      <c r="EQ423" s="174"/>
      <c r="ER423" s="174"/>
      <c r="ES423" s="174"/>
      <c r="ET423" s="174"/>
      <c r="EU423" s="174"/>
      <c r="EV423" s="174"/>
      <c r="EW423" s="174"/>
      <c r="EX423" s="174"/>
      <c r="EY423" s="174"/>
      <c r="EZ423" s="174"/>
      <c r="FA423" s="174"/>
      <c r="FB423" s="174"/>
      <c r="FC423" s="174"/>
      <c r="FD423" s="174"/>
      <c r="FE423" s="174"/>
      <c r="FF423" s="174"/>
      <c r="FG423" s="174"/>
      <c r="FH423" s="174"/>
      <c r="FI423" s="174"/>
      <c r="FJ423" s="174"/>
      <c r="FK423" s="174"/>
      <c r="FL423" s="174"/>
      <c r="FM423" s="174"/>
      <c r="FN423" s="174"/>
      <c r="FO423" s="174"/>
      <c r="FP423" s="174"/>
      <c r="FQ423" s="174"/>
      <c r="FR423" s="174"/>
      <c r="FS423" s="174"/>
      <c r="FT423" s="174"/>
      <c r="FU423" s="174"/>
      <c r="FV423" s="174"/>
      <c r="FW423" s="174"/>
      <c r="FX423" s="174"/>
      <c r="FY423" s="174"/>
      <c r="FZ423" s="174"/>
      <c r="GA423" s="174"/>
      <c r="GB423" s="174"/>
      <c r="GC423" s="174"/>
      <c r="GD423" s="174"/>
      <c r="GE423" s="174"/>
      <c r="GF423" s="174"/>
      <c r="GG423" s="174"/>
      <c r="GH423" s="174"/>
      <c r="GI423" s="174"/>
      <c r="GJ423" s="174"/>
      <c r="GK423" s="174"/>
      <c r="GL423" s="174"/>
      <c r="GM423" s="174"/>
      <c r="GN423" s="174"/>
      <c r="GO423" s="174"/>
      <c r="GP423" s="174"/>
      <c r="GQ423" s="174"/>
      <c r="GR423" s="174"/>
      <c r="GS423" s="174"/>
      <c r="GT423" s="174"/>
      <c r="GU423" s="174"/>
      <c r="GV423" s="174"/>
      <c r="GW423" s="174"/>
      <c r="GX423" s="174"/>
      <c r="GY423" s="174"/>
      <c r="GZ423" s="174"/>
      <c r="HA423" s="174"/>
      <c r="HB423" s="174"/>
      <c r="HC423" s="174"/>
      <c r="HD423" s="174"/>
      <c r="HE423" s="174"/>
      <c r="HF423" s="174"/>
      <c r="HG423" s="174"/>
      <c r="HH423" s="174"/>
      <c r="HI423" s="174"/>
      <c r="HJ423" s="174"/>
      <c r="HK423" s="174"/>
      <c r="HL423" s="174"/>
      <c r="HM423" s="174"/>
      <c r="HN423" s="174"/>
      <c r="HO423" s="174"/>
      <c r="HP423" s="174"/>
      <c r="HQ423" s="174"/>
      <c r="HR423" s="174"/>
      <c r="HS423" s="174"/>
      <c r="HT423" s="174"/>
      <c r="HU423" s="174"/>
      <c r="HV423" s="174"/>
      <c r="HW423" s="174"/>
      <c r="HX423" s="174"/>
      <c r="HY423" s="174"/>
      <c r="HZ423" s="174"/>
      <c r="IA423" s="174"/>
      <c r="IB423" s="174"/>
      <c r="IC423" s="174"/>
      <c r="ID423" s="174"/>
      <c r="IE423" s="174"/>
      <c r="IF423" s="174"/>
      <c r="IG423" s="174"/>
      <c r="IH423" s="174"/>
      <c r="II423" s="174"/>
      <c r="IJ423" s="174"/>
      <c r="IK423" s="174"/>
      <c r="IL423" s="174"/>
      <c r="IM423" s="174"/>
      <c r="IN423" s="174"/>
      <c r="IO423" s="174"/>
      <c r="IP423" s="174"/>
      <c r="IQ423" s="174"/>
      <c r="IR423" s="174"/>
      <c r="IS423" s="174"/>
      <c r="IT423" s="174"/>
      <c r="IU423" s="174"/>
      <c r="IV423" s="174"/>
      <c r="IW423" s="174"/>
      <c r="IX423" s="174"/>
      <c r="IY423" s="174"/>
      <c r="IZ423" s="174"/>
      <c r="JA423" s="174"/>
      <c r="JB423" s="174"/>
      <c r="JC423" s="174"/>
      <c r="JD423" s="174"/>
      <c r="JE423" s="174"/>
      <c r="JF423" s="174"/>
      <c r="JG423" s="174"/>
      <c r="JH423" s="174"/>
      <c r="JI423" s="174"/>
      <c r="JJ423" s="174"/>
      <c r="JK423" s="174"/>
      <c r="JL423" s="174"/>
      <c r="JM423" s="174"/>
      <c r="JN423" s="174"/>
      <c r="JO423" s="174"/>
      <c r="JP423" s="174"/>
      <c r="JQ423" s="174"/>
      <c r="JR423" s="174"/>
      <c r="JS423" s="174"/>
      <c r="JT423" s="174"/>
      <c r="JU423" s="174"/>
      <c r="JV423" s="174"/>
      <c r="JW423" s="174"/>
      <c r="JX423" s="174"/>
      <c r="JY423" s="174"/>
      <c r="JZ423" s="174"/>
      <c r="KA423" s="174"/>
      <c r="KB423" s="174"/>
      <c r="KC423" s="174"/>
      <c r="KD423" s="174"/>
      <c r="KE423" s="174"/>
      <c r="KF423" s="174"/>
      <c r="KG423" s="174"/>
      <c r="KH423" s="174"/>
      <c r="KI423" s="174"/>
      <c r="KJ423" s="174"/>
      <c r="KK423" s="174"/>
      <c r="KL423" s="174"/>
      <c r="KM423" s="174"/>
      <c r="KN423" s="174"/>
      <c r="KO423" s="174"/>
      <c r="KP423" s="174"/>
      <c r="KQ423" s="174"/>
      <c r="KR423" s="174"/>
      <c r="KS423" s="174"/>
      <c r="KT423" s="174"/>
      <c r="KU423" s="174"/>
      <c r="KV423" s="174"/>
      <c r="KW423" s="174"/>
      <c r="KX423" s="174"/>
      <c r="KY423" s="174"/>
      <c r="KZ423" s="174"/>
      <c r="LA423" s="174"/>
      <c r="LB423" s="174"/>
      <c r="LC423" s="174"/>
      <c r="LD423" s="174"/>
      <c r="LE423" s="174"/>
      <c r="LF423" s="174"/>
      <c r="LG423" s="174"/>
      <c r="LH423" s="174"/>
      <c r="LI423" s="174"/>
      <c r="LJ423" s="174"/>
      <c r="LK423" s="174"/>
      <c r="LL423" s="174"/>
      <c r="LM423" s="174"/>
      <c r="LN423" s="174"/>
      <c r="LO423" s="174"/>
      <c r="LP423" s="174"/>
      <c r="LQ423" s="174"/>
      <c r="LR423" s="174"/>
      <c r="LS423" s="174"/>
      <c r="LT423" s="174"/>
      <c r="LU423" s="174"/>
      <c r="LV423" s="174"/>
      <c r="LW423" s="174"/>
      <c r="LX423" s="174"/>
      <c r="LY423" s="174"/>
      <c r="LZ423" s="174"/>
      <c r="MA423" s="174"/>
      <c r="MB423" s="174"/>
      <c r="MC423" s="174"/>
      <c r="MD423" s="174"/>
      <c r="ME423" s="174"/>
      <c r="MF423" s="174"/>
      <c r="MG423" s="174"/>
      <c r="MH423" s="174"/>
      <c r="MI423" s="174"/>
      <c r="MJ423" s="174"/>
      <c r="MK423" s="174"/>
      <c r="ML423" s="174"/>
      <c r="MM423" s="174"/>
      <c r="MN423" s="174"/>
      <c r="MO423" s="174"/>
      <c r="MP423" s="174"/>
      <c r="MQ423" s="174"/>
      <c r="MR423" s="174"/>
      <c r="MS423" s="174"/>
      <c r="MT423" s="174"/>
      <c r="MU423" s="174"/>
      <c r="MV423" s="174"/>
      <c r="MW423" s="174"/>
      <c r="MX423" s="174"/>
      <c r="MY423" s="174"/>
      <c r="MZ423" s="174"/>
      <c r="NA423" s="174"/>
      <c r="NB423" s="174"/>
      <c r="NC423" s="174"/>
      <c r="ND423" s="174"/>
      <c r="NE423" s="174"/>
      <c r="NF423" s="174"/>
      <c r="NG423" s="174"/>
      <c r="NH423" s="174"/>
      <c r="NI423" s="174"/>
      <c r="NJ423" s="174"/>
      <c r="NK423" s="174"/>
      <c r="NL423" s="174"/>
      <c r="NM423" s="174"/>
      <c r="NN423" s="174"/>
      <c r="NO423" s="174"/>
      <c r="NP423" s="174"/>
      <c r="NQ423" s="174"/>
      <c r="NR423" s="174"/>
      <c r="NS423" s="174"/>
      <c r="NT423" s="174"/>
      <c r="NU423" s="174"/>
      <c r="NV423" s="174"/>
      <c r="NW423" s="174"/>
      <c r="NX423" s="174"/>
      <c r="NY423" s="174"/>
      <c r="NZ423" s="174"/>
      <c r="OA423" s="174"/>
      <c r="OB423" s="174"/>
      <c r="OC423" s="174"/>
      <c r="OD423" s="174"/>
      <c r="OE423" s="174"/>
      <c r="OF423" s="174"/>
      <c r="OG423" s="174"/>
      <c r="OH423" s="174"/>
      <c r="OI423" s="174"/>
      <c r="OJ423" s="174"/>
      <c r="OK423" s="174"/>
      <c r="OL423" s="174"/>
      <c r="OM423" s="174"/>
      <c r="ON423" s="174"/>
      <c r="OO423" s="174"/>
      <c r="OP423" s="174"/>
      <c r="OQ423" s="174"/>
      <c r="OR423" s="174"/>
      <c r="OS423" s="174"/>
      <c r="OT423" s="174"/>
      <c r="OU423" s="174"/>
      <c r="OV423" s="174"/>
      <c r="OW423" s="174"/>
      <c r="OX423" s="174"/>
      <c r="OY423" s="174"/>
      <c r="OZ423" s="174"/>
      <c r="PA423" s="174"/>
      <c r="PB423" s="174"/>
      <c r="PC423" s="174"/>
      <c r="PD423" s="174"/>
      <c r="PE423" s="174"/>
      <c r="PF423" s="174"/>
      <c r="PG423" s="174"/>
      <c r="PH423" s="174"/>
      <c r="PI423" s="174"/>
      <c r="PJ423" s="174"/>
      <c r="PK423" s="174"/>
      <c r="PL423" s="174"/>
      <c r="PM423" s="174"/>
      <c r="PN423" s="174"/>
      <c r="PO423" s="174"/>
      <c r="PP423" s="174"/>
      <c r="PQ423" s="174"/>
      <c r="PR423" s="174"/>
      <c r="PS423" s="174"/>
      <c r="PT423" s="174"/>
      <c r="PU423" s="174"/>
      <c r="PV423" s="174"/>
      <c r="PW423" s="174"/>
      <c r="PX423" s="174"/>
      <c r="PY423" s="174"/>
      <c r="PZ423" s="174"/>
      <c r="QA423" s="174"/>
      <c r="QB423" s="174"/>
      <c r="QC423" s="174"/>
      <c r="QD423" s="174"/>
      <c r="QE423" s="174"/>
      <c r="QF423" s="174"/>
      <c r="QG423" s="174"/>
      <c r="QH423" s="174"/>
      <c r="QI423" s="174"/>
      <c r="QJ423" s="174"/>
      <c r="QK423" s="174"/>
      <c r="QL423" s="174"/>
      <c r="QM423" s="174"/>
      <c r="QN423" s="174"/>
      <c r="QO423" s="174"/>
      <c r="QP423" s="174"/>
      <c r="QQ423" s="174"/>
      <c r="QR423" s="174"/>
      <c r="QS423" s="174"/>
      <c r="QT423" s="174"/>
      <c r="QU423" s="174"/>
      <c r="QV423" s="174"/>
      <c r="QW423" s="174"/>
      <c r="QX423" s="174"/>
      <c r="QY423" s="174"/>
      <c r="QZ423" s="174"/>
      <c r="RA423" s="174"/>
      <c r="RB423" s="174"/>
      <c r="RC423" s="174"/>
      <c r="RD423" s="174"/>
      <c r="RE423" s="174"/>
      <c r="RF423" s="174"/>
      <c r="RG423" s="174"/>
      <c r="RH423" s="174"/>
      <c r="RI423" s="174"/>
      <c r="RJ423" s="174"/>
      <c r="RK423" s="174"/>
      <c r="RL423" s="174"/>
      <c r="RM423" s="174"/>
      <c r="RN423" s="174"/>
      <c r="RO423" s="174"/>
      <c r="RP423" s="174"/>
      <c r="RQ423" s="174"/>
      <c r="RR423" s="174"/>
      <c r="RS423" s="174"/>
      <c r="RT423" s="174"/>
      <c r="RU423" s="174"/>
      <c r="RV423" s="174"/>
      <c r="RW423" s="174"/>
      <c r="RX423" s="174"/>
      <c r="RY423" s="174"/>
      <c r="RZ423" s="174"/>
      <c r="SA423" s="174"/>
      <c r="SB423" s="174"/>
      <c r="SC423" s="174"/>
      <c r="SD423" s="174"/>
      <c r="SE423" s="174"/>
      <c r="SF423" s="174"/>
      <c r="SG423" s="174"/>
      <c r="SH423" s="174"/>
      <c r="SI423" s="174"/>
      <c r="SJ423" s="174"/>
      <c r="SK423" s="174"/>
      <c r="SL423" s="174"/>
      <c r="SM423" s="174"/>
      <c r="SN423" s="174"/>
      <c r="SO423" s="174"/>
      <c r="SP423" s="174"/>
      <c r="SQ423" s="174"/>
      <c r="SR423" s="174"/>
      <c r="SS423" s="174"/>
      <c r="ST423" s="174"/>
      <c r="SU423" s="174"/>
      <c r="SV423" s="174"/>
      <c r="SW423" s="174"/>
      <c r="SX423" s="174"/>
      <c r="SY423" s="174"/>
      <c r="SZ423" s="174"/>
      <c r="TA423" s="174"/>
      <c r="TB423" s="174"/>
      <c r="TC423" s="174"/>
      <c r="TD423" s="174"/>
      <c r="TE423" s="174"/>
    </row>
    <row r="424" spans="1:525" s="95" customFormat="1" ht="18.75" hidden="1" customHeight="1" thickBot="1" x14ac:dyDescent="0.3">
      <c r="A424" s="176"/>
      <c r="B424" s="177"/>
      <c r="C424" s="177"/>
      <c r="D424" s="178"/>
      <c r="E424" s="88"/>
      <c r="F424" s="8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252"/>
    </row>
    <row r="425" spans="1:525" s="220" customFormat="1" ht="15.75" hidden="1" customHeight="1" x14ac:dyDescent="0.25">
      <c r="A425" s="179"/>
      <c r="B425" s="179"/>
      <c r="C425" s="179"/>
      <c r="D425" s="279" t="s">
        <v>608</v>
      </c>
      <c r="E425" s="218">
        <f>E411-'дод 7'!D288</f>
        <v>0</v>
      </c>
      <c r="F425" s="219">
        <f>F411-'дод 7'!E288</f>
        <v>0</v>
      </c>
      <c r="G425" s="219">
        <f>G411-'дод 7'!F288</f>
        <v>0</v>
      </c>
      <c r="H425" s="219">
        <f>H411-'дод 7'!G288</f>
        <v>0</v>
      </c>
      <c r="I425" s="219">
        <f>I411-'дод 7'!H288</f>
        <v>0</v>
      </c>
      <c r="J425" s="219">
        <f>J411-'дод 7'!I288</f>
        <v>0</v>
      </c>
      <c r="K425" s="219">
        <f>K411-'дод 7'!J288</f>
        <v>0</v>
      </c>
      <c r="L425" s="219">
        <f>L411-'дод 7'!K288</f>
        <v>0</v>
      </c>
      <c r="M425" s="219">
        <f>M411-'дод 7'!L288</f>
        <v>0</v>
      </c>
      <c r="N425" s="219">
        <f>N411-'дод 7'!M288</f>
        <v>0</v>
      </c>
      <c r="O425" s="219">
        <f>O411-'дод 7'!N288</f>
        <v>0</v>
      </c>
      <c r="P425" s="219">
        <f>P411-'дод 7'!O288</f>
        <v>0</v>
      </c>
      <c r="Q425" s="252"/>
    </row>
    <row r="426" spans="1:525" s="220" customFormat="1" ht="15.75" hidden="1" customHeight="1" x14ac:dyDescent="0.25">
      <c r="A426" s="179"/>
      <c r="B426" s="179"/>
      <c r="C426" s="179"/>
      <c r="D426" s="279"/>
      <c r="E426" s="212">
        <f>E412-'дод 7'!D289</f>
        <v>0</v>
      </c>
      <c r="F426" s="213">
        <f>F412-'дод 7'!E289</f>
        <v>0</v>
      </c>
      <c r="G426" s="213">
        <f>G412-'дод 7'!F289</f>
        <v>0</v>
      </c>
      <c r="H426" s="213">
        <f>H412-'дод 7'!G289</f>
        <v>0</v>
      </c>
      <c r="I426" s="213">
        <f>I412-'дод 7'!H289</f>
        <v>0</v>
      </c>
      <c r="J426" s="213">
        <f>J412-'дод 7'!I289</f>
        <v>0</v>
      </c>
      <c r="K426" s="213">
        <f>K412-'дод 7'!J289</f>
        <v>0</v>
      </c>
      <c r="L426" s="213">
        <f>L412-'дод 7'!K289</f>
        <v>0</v>
      </c>
      <c r="M426" s="213">
        <f>M412-'дод 7'!L289</f>
        <v>0</v>
      </c>
      <c r="N426" s="213">
        <f>N412-'дод 7'!M289</f>
        <v>0</v>
      </c>
      <c r="O426" s="213">
        <f>O412-'дод 7'!N289</f>
        <v>0</v>
      </c>
      <c r="P426" s="185">
        <f>P412-'дод 7'!O289</f>
        <v>0</v>
      </c>
      <c r="Q426" s="252"/>
    </row>
    <row r="427" spans="1:525" s="220" customFormat="1" ht="15.75" hidden="1" customHeight="1" x14ac:dyDescent="0.25">
      <c r="A427" s="179"/>
      <c r="B427" s="179"/>
      <c r="C427" s="179"/>
      <c r="D427" s="279"/>
      <c r="E427" s="212">
        <f>E413-'дод 7'!D290</f>
        <v>0</v>
      </c>
      <c r="F427" s="213">
        <f>F413-'дод 7'!E290</f>
        <v>0</v>
      </c>
      <c r="G427" s="213">
        <f>G413-'дод 7'!F290</f>
        <v>0</v>
      </c>
      <c r="H427" s="213">
        <f>H413-'дод 7'!G290</f>
        <v>0</v>
      </c>
      <c r="I427" s="213">
        <f>I413-'дод 7'!H290</f>
        <v>0</v>
      </c>
      <c r="J427" s="213">
        <f>J413-'дод 7'!I290</f>
        <v>0</v>
      </c>
      <c r="K427" s="213">
        <f>K413-'дод 7'!J290</f>
        <v>0</v>
      </c>
      <c r="L427" s="213">
        <f>L413-'дод 7'!K290</f>
        <v>0</v>
      </c>
      <c r="M427" s="213">
        <f>M413-'дод 7'!L290</f>
        <v>0</v>
      </c>
      <c r="N427" s="213">
        <f>N413-'дод 7'!M290</f>
        <v>0</v>
      </c>
      <c r="O427" s="213">
        <f>O413-'дод 7'!N290</f>
        <v>0</v>
      </c>
      <c r="P427" s="185">
        <f>P413-'дод 7'!O290</f>
        <v>0</v>
      </c>
      <c r="Q427" s="252"/>
    </row>
    <row r="428" spans="1:525" s="220" customFormat="1" ht="15.75" hidden="1" customHeight="1" x14ac:dyDescent="0.25">
      <c r="A428" s="179"/>
      <c r="B428" s="179"/>
      <c r="C428" s="179"/>
      <c r="D428" s="280"/>
      <c r="E428" s="221">
        <f>E415-'дод 7'!D292</f>
        <v>0</v>
      </c>
      <c r="F428" s="222">
        <f>F415-'дод 7'!E292</f>
        <v>0</v>
      </c>
      <c r="G428" s="222">
        <f>G415-'дод 7'!F292</f>
        <v>0</v>
      </c>
      <c r="H428" s="222">
        <f>H415-'дод 7'!G292</f>
        <v>0</v>
      </c>
      <c r="I428" s="222">
        <f>I415-'дод 7'!H292</f>
        <v>0</v>
      </c>
      <c r="J428" s="222">
        <f>J415-'дод 7'!I292</f>
        <v>0</v>
      </c>
      <c r="K428" s="222">
        <f>K415-'дод 7'!J292</f>
        <v>0</v>
      </c>
      <c r="L428" s="222">
        <f>L415-'дод 7'!K292</f>
        <v>0</v>
      </c>
      <c r="M428" s="222">
        <f>M415-'дод 7'!L292</f>
        <v>0</v>
      </c>
      <c r="N428" s="222">
        <f>N415-'дод 7'!M292</f>
        <v>0</v>
      </c>
      <c r="O428" s="222">
        <f>O415-'дод 7'!N292</f>
        <v>0</v>
      </c>
      <c r="P428" s="223">
        <f>P415-'дод 7'!O292</f>
        <v>0</v>
      </c>
      <c r="Q428" s="252"/>
    </row>
    <row r="429" spans="1:525" s="220" customFormat="1" ht="15.75" hidden="1" customHeight="1" thickBot="1" x14ac:dyDescent="0.3">
      <c r="A429" s="179"/>
      <c r="B429" s="179"/>
      <c r="C429" s="179"/>
      <c r="D429" s="224"/>
      <c r="E429" s="213">
        <f>E416-'дод 7'!D293</f>
        <v>0</v>
      </c>
      <c r="F429" s="213">
        <f>F416-'дод 7'!E293</f>
        <v>0</v>
      </c>
      <c r="G429" s="213">
        <f>G416-'дод 7'!F293</f>
        <v>0</v>
      </c>
      <c r="H429" s="213">
        <f>H416-'дод 7'!G293</f>
        <v>0</v>
      </c>
      <c r="I429" s="213">
        <f>I416-'дод 7'!H293</f>
        <v>0</v>
      </c>
      <c r="J429" s="213">
        <f>J416-'дод 7'!I293</f>
        <v>0</v>
      </c>
      <c r="K429" s="213">
        <f>K416-'дод 7'!J293</f>
        <v>0</v>
      </c>
      <c r="L429" s="213">
        <f>L416-'дод 7'!K293</f>
        <v>0</v>
      </c>
      <c r="M429" s="213">
        <f>M416-'дод 7'!L293</f>
        <v>0</v>
      </c>
      <c r="N429" s="213">
        <f>N416-'дод 7'!M293</f>
        <v>0</v>
      </c>
      <c r="O429" s="213">
        <f>O416-'дод 7'!N293</f>
        <v>0</v>
      </c>
      <c r="P429" s="213">
        <f>P416-'дод 7'!O293</f>
        <v>0</v>
      </c>
      <c r="Q429" s="252"/>
    </row>
    <row r="430" spans="1:525" s="183" customFormat="1" ht="14.25" hidden="1" customHeight="1" x14ac:dyDescent="0.25">
      <c r="A430" s="179"/>
      <c r="B430" s="179"/>
      <c r="C430" s="179"/>
      <c r="D430" s="180" t="s">
        <v>612</v>
      </c>
      <c r="E430" s="181">
        <f>2640157271+2140000</f>
        <v>2642297271</v>
      </c>
      <c r="F430" s="89"/>
      <c r="G430" s="77"/>
      <c r="H430" s="281" t="s">
        <v>618</v>
      </c>
      <c r="I430" s="282"/>
      <c r="J430" s="211">
        <f>99571757+152500</f>
        <v>99724257</v>
      </c>
      <c r="K430" s="182"/>
      <c r="L430" s="225">
        <f>J430-L26-L37-L55-L84-L85-L102-L210-L248-L249-L250-O281-O248-O102-L333-L281</f>
        <v>-7376900</v>
      </c>
      <c r="M430" s="77"/>
      <c r="N430" s="77"/>
      <c r="O430" s="77"/>
      <c r="P430" s="77"/>
      <c r="Q430" s="252"/>
    </row>
    <row r="431" spans="1:525" s="95" customFormat="1" ht="14.25" hidden="1" customHeight="1" x14ac:dyDescent="0.25">
      <c r="A431" s="176"/>
      <c r="B431" s="177"/>
      <c r="C431" s="177"/>
      <c r="D431" s="184" t="s">
        <v>613</v>
      </c>
      <c r="E431" s="185"/>
      <c r="F431" s="89">
        <f>E431-E412</f>
        <v>-473819800</v>
      </c>
      <c r="G431" s="77"/>
      <c r="H431" s="254" t="s">
        <v>619</v>
      </c>
      <c r="I431" s="255"/>
      <c r="J431" s="213">
        <v>3145100</v>
      </c>
      <c r="K431" s="185"/>
      <c r="L431" s="89">
        <f>J431-L407-L313-L59-L146-O407-O313-O146</f>
        <v>-191000</v>
      </c>
      <c r="M431" s="77"/>
      <c r="N431" s="77"/>
      <c r="O431" s="77"/>
      <c r="P431" s="77"/>
      <c r="Q431" s="252"/>
    </row>
    <row r="432" spans="1:525" s="95" customFormat="1" ht="14.25" hidden="1" customHeight="1" x14ac:dyDescent="0.25">
      <c r="A432" s="176"/>
      <c r="B432" s="177"/>
      <c r="C432" s="177"/>
      <c r="D432" s="184" t="s">
        <v>614</v>
      </c>
      <c r="E432" s="185"/>
      <c r="F432" s="266">
        <f>E432+E433-E413</f>
        <v>-8271950.8299999982</v>
      </c>
      <c r="G432" s="77"/>
      <c r="H432" s="254" t="s">
        <v>620</v>
      </c>
      <c r="I432" s="255"/>
      <c r="J432" s="213">
        <v>225000</v>
      </c>
      <c r="K432" s="185"/>
      <c r="L432" s="89">
        <f>J432-L308-L52</f>
        <v>-45080.630000000005</v>
      </c>
      <c r="M432" s="77"/>
      <c r="N432" s="77"/>
      <c r="O432" s="77"/>
      <c r="P432" s="77"/>
      <c r="Q432" s="252"/>
    </row>
    <row r="433" spans="1:17" s="95" customFormat="1" ht="14.25" hidden="1" customHeight="1" x14ac:dyDescent="0.25">
      <c r="A433" s="176"/>
      <c r="B433" s="177"/>
      <c r="C433" s="177"/>
      <c r="D433" s="184" t="s">
        <v>615</v>
      </c>
      <c r="E433" s="185">
        <v>1506343</v>
      </c>
      <c r="F433" s="266"/>
      <c r="G433" s="77"/>
      <c r="H433" s="254" t="s">
        <v>621</v>
      </c>
      <c r="I433" s="255"/>
      <c r="J433" s="213">
        <v>141800</v>
      </c>
      <c r="K433" s="185"/>
      <c r="L433" s="89">
        <f>O342-J433+J447</f>
        <v>26322.550000000003</v>
      </c>
      <c r="M433" s="77"/>
      <c r="N433" s="77"/>
      <c r="O433" s="77"/>
      <c r="P433" s="77"/>
      <c r="Q433" s="252"/>
    </row>
    <row r="434" spans="1:17" s="95" customFormat="1" ht="14.25" hidden="1" customHeight="1" x14ac:dyDescent="0.25">
      <c r="A434" s="176"/>
      <c r="B434" s="177"/>
      <c r="C434" s="177"/>
      <c r="D434" s="184" t="s">
        <v>616</v>
      </c>
      <c r="E434" s="185"/>
      <c r="F434" s="89"/>
      <c r="G434" s="77"/>
      <c r="H434" s="254" t="s">
        <v>622</v>
      </c>
      <c r="I434" s="255"/>
      <c r="J434" s="213">
        <v>2659373</v>
      </c>
      <c r="K434" s="185">
        <v>2659373</v>
      </c>
      <c r="L434" s="89"/>
      <c r="M434" s="77"/>
      <c r="N434" s="77"/>
      <c r="O434" s="77"/>
      <c r="P434" s="77"/>
      <c r="Q434" s="252"/>
    </row>
    <row r="435" spans="1:17" s="95" customFormat="1" ht="14.25" hidden="1" customHeight="1" x14ac:dyDescent="0.25">
      <c r="A435" s="176"/>
      <c r="B435" s="177"/>
      <c r="C435" s="177"/>
      <c r="D435" s="184"/>
      <c r="E435" s="185"/>
      <c r="F435" s="77"/>
      <c r="G435" s="77"/>
      <c r="H435" s="258" t="s">
        <v>634</v>
      </c>
      <c r="I435" s="259"/>
      <c r="J435" s="213">
        <v>4200000</v>
      </c>
      <c r="K435" s="185"/>
      <c r="L435" s="89"/>
      <c r="M435" s="77"/>
      <c r="N435" s="77"/>
      <c r="O435" s="77"/>
      <c r="P435" s="77"/>
      <c r="Q435" s="252"/>
    </row>
    <row r="436" spans="1:17" s="191" customFormat="1" ht="14.25" hidden="1" customHeight="1" x14ac:dyDescent="0.2">
      <c r="A436" s="186"/>
      <c r="B436" s="187"/>
      <c r="C436" s="187"/>
      <c r="D436" s="188" t="s">
        <v>623</v>
      </c>
      <c r="E436" s="189">
        <f>E430+E431+E432+E433+E434+E435</f>
        <v>2643803614</v>
      </c>
      <c r="F436" s="90"/>
      <c r="G436" s="90"/>
      <c r="H436" s="256" t="s">
        <v>626</v>
      </c>
      <c r="I436" s="257"/>
      <c r="J436" s="216">
        <f>J430+J431+J432+J433+J434+J435</f>
        <v>110095530</v>
      </c>
      <c r="K436" s="189">
        <f>K430+K431+K432+K433+K434+K435</f>
        <v>2659373</v>
      </c>
      <c r="L436" s="190"/>
      <c r="M436" s="90"/>
      <c r="N436" s="90"/>
      <c r="O436" s="90"/>
      <c r="P436" s="90"/>
      <c r="Q436" s="252"/>
    </row>
    <row r="437" spans="1:17" s="95" customFormat="1" ht="18" hidden="1" customHeight="1" x14ac:dyDescent="0.25">
      <c r="A437" s="176"/>
      <c r="B437" s="177"/>
      <c r="C437" s="177"/>
      <c r="D437" s="188" t="s">
        <v>624</v>
      </c>
      <c r="E437" s="185">
        <f>E417</f>
        <v>2496899756</v>
      </c>
      <c r="F437" s="89">
        <f>E411-E412-E413-E415</f>
        <v>2496899756</v>
      </c>
      <c r="G437" s="77">
        <f>F437-E437</f>
        <v>0</v>
      </c>
      <c r="H437" s="256" t="s">
        <v>617</v>
      </c>
      <c r="I437" s="257"/>
      <c r="J437" s="216">
        <f>E441</f>
        <v>145397515</v>
      </c>
      <c r="K437" s="189">
        <f>E441</f>
        <v>145397515</v>
      </c>
      <c r="L437" s="89"/>
      <c r="M437" s="77"/>
      <c r="N437" s="77"/>
      <c r="O437" s="77"/>
      <c r="P437" s="77"/>
      <c r="Q437" s="252"/>
    </row>
    <row r="438" spans="1:17" s="95" customFormat="1" ht="18" hidden="1" customHeight="1" x14ac:dyDescent="0.25">
      <c r="A438" s="176"/>
      <c r="B438" s="177"/>
      <c r="C438" s="177"/>
      <c r="D438" s="188" t="s">
        <v>659</v>
      </c>
      <c r="E438" s="185">
        <f>E413</f>
        <v>9778293.8299999982</v>
      </c>
      <c r="F438" s="89"/>
      <c r="G438" s="77"/>
      <c r="H438" s="215"/>
      <c r="I438" s="216"/>
      <c r="J438" s="216"/>
      <c r="K438" s="226"/>
      <c r="L438" s="89"/>
      <c r="M438" s="77"/>
      <c r="N438" s="77"/>
      <c r="O438" s="77"/>
      <c r="P438" s="77"/>
      <c r="Q438" s="252"/>
    </row>
    <row r="439" spans="1:17" s="95" customFormat="1" ht="18" hidden="1" customHeight="1" x14ac:dyDescent="0.25">
      <c r="A439" s="176"/>
      <c r="B439" s="177"/>
      <c r="C439" s="177"/>
      <c r="D439" s="188" t="s">
        <v>660</v>
      </c>
      <c r="E439" s="185">
        <f>E437+E438</f>
        <v>2506678049.8299999</v>
      </c>
      <c r="F439" s="89">
        <f>E439-E411</f>
        <v>-473819800</v>
      </c>
      <c r="G439" s="77"/>
      <c r="H439" s="215"/>
      <c r="I439" s="216"/>
      <c r="J439" s="216"/>
      <c r="K439" s="226"/>
      <c r="L439" s="89"/>
      <c r="M439" s="77"/>
      <c r="N439" s="77"/>
      <c r="O439" s="77"/>
      <c r="P439" s="77"/>
      <c r="Q439" s="252"/>
    </row>
    <row r="440" spans="1:17" s="95" customFormat="1" ht="15" hidden="1" customHeight="1" x14ac:dyDescent="0.25">
      <c r="A440" s="176"/>
      <c r="B440" s="177"/>
      <c r="C440" s="177"/>
      <c r="D440" s="188" t="s">
        <v>625</v>
      </c>
      <c r="E440" s="185"/>
      <c r="F440" s="77"/>
      <c r="G440" s="77"/>
      <c r="H440" s="256" t="s">
        <v>631</v>
      </c>
      <c r="I440" s="257"/>
      <c r="J440" s="213">
        <f>5600000+2054092+300000</f>
        <v>7954092</v>
      </c>
      <c r="K440" s="213">
        <f>5600000+2054092+300000</f>
        <v>7954092</v>
      </c>
      <c r="L440" s="89">
        <f>K440</f>
        <v>7954092</v>
      </c>
      <c r="M440" s="77"/>
      <c r="N440" s="77"/>
      <c r="O440" s="77"/>
      <c r="P440" s="77"/>
      <c r="Q440" s="252"/>
    </row>
    <row r="441" spans="1:17" s="95" customFormat="1" ht="15.75" hidden="1" customHeight="1" thickBot="1" x14ac:dyDescent="0.3">
      <c r="A441" s="176"/>
      <c r="B441" s="177"/>
      <c r="C441" s="177"/>
      <c r="D441" s="227" t="s">
        <v>617</v>
      </c>
      <c r="E441" s="228">
        <f>E430-E437-E440</f>
        <v>145397515</v>
      </c>
      <c r="F441" s="77"/>
      <c r="G441" s="77"/>
      <c r="H441" s="254" t="s">
        <v>629</v>
      </c>
      <c r="I441" s="255"/>
      <c r="J441" s="213">
        <v>2322989</v>
      </c>
      <c r="K441" s="213">
        <v>2322989</v>
      </c>
      <c r="L441" s="89"/>
      <c r="M441" s="77"/>
      <c r="N441" s="77"/>
      <c r="O441" s="77"/>
      <c r="P441" s="77"/>
      <c r="Q441" s="252"/>
    </row>
    <row r="442" spans="1:17" s="95" customFormat="1" ht="15" hidden="1" customHeight="1" x14ac:dyDescent="0.25">
      <c r="A442" s="176"/>
      <c r="B442" s="177"/>
      <c r="C442" s="177"/>
      <c r="D442" s="178"/>
      <c r="E442" s="77"/>
      <c r="F442" s="77"/>
      <c r="G442" s="77"/>
      <c r="H442" s="256" t="s">
        <v>632</v>
      </c>
      <c r="I442" s="257"/>
      <c r="J442" s="213">
        <v>92214546</v>
      </c>
      <c r="K442" s="185">
        <v>92214546</v>
      </c>
      <c r="L442" s="89">
        <f>J442-J415</f>
        <v>0</v>
      </c>
      <c r="M442" s="77"/>
      <c r="N442" s="77"/>
      <c r="O442" s="77"/>
      <c r="P442" s="77"/>
      <c r="Q442" s="252"/>
    </row>
    <row r="443" spans="1:17" s="95" customFormat="1" hidden="1" x14ac:dyDescent="0.25">
      <c r="A443" s="176"/>
      <c r="B443" s="177"/>
      <c r="C443" s="177"/>
      <c r="D443" s="178"/>
      <c r="E443" s="77"/>
      <c r="F443" s="77"/>
      <c r="G443" s="77"/>
      <c r="H443" s="262" t="s">
        <v>627</v>
      </c>
      <c r="I443" s="263"/>
      <c r="J443" s="214">
        <f>J436+J437+J440+J441+J442</f>
        <v>357984672</v>
      </c>
      <c r="K443" s="192">
        <f>K436+K437+K440+K441+K442</f>
        <v>250548515</v>
      </c>
      <c r="L443" s="89">
        <f>J443-K443-J430-J431-J432-J433-J435-J441</f>
        <v>-2322989</v>
      </c>
      <c r="M443" s="77"/>
      <c r="N443" s="77"/>
      <c r="O443" s="77"/>
      <c r="P443" s="77"/>
      <c r="Q443" s="252"/>
    </row>
    <row r="444" spans="1:17" s="95" customFormat="1" hidden="1" x14ac:dyDescent="0.25">
      <c r="A444" s="176"/>
      <c r="B444" s="177"/>
      <c r="C444" s="177"/>
      <c r="D444" s="178"/>
      <c r="E444" s="77"/>
      <c r="F444" s="77"/>
      <c r="G444" s="77"/>
      <c r="H444" s="254" t="s">
        <v>628</v>
      </c>
      <c r="I444" s="255"/>
      <c r="J444" s="213">
        <v>2322989</v>
      </c>
      <c r="K444" s="213">
        <v>2322989</v>
      </c>
      <c r="L444" s="229"/>
      <c r="M444" s="77"/>
      <c r="N444" s="77"/>
      <c r="O444" s="77"/>
      <c r="P444" s="77"/>
      <c r="Q444" s="252"/>
    </row>
    <row r="445" spans="1:17" s="95" customFormat="1" hidden="1" x14ac:dyDescent="0.25">
      <c r="A445" s="176"/>
      <c r="B445" s="177"/>
      <c r="C445" s="177"/>
      <c r="D445" s="178"/>
      <c r="E445" s="77"/>
      <c r="F445" s="77"/>
      <c r="G445" s="77"/>
      <c r="H445" s="254" t="s">
        <v>630</v>
      </c>
      <c r="I445" s="255"/>
      <c r="J445" s="213">
        <v>3763568</v>
      </c>
      <c r="K445" s="185">
        <v>3763568</v>
      </c>
      <c r="L445" s="89"/>
      <c r="M445" s="77"/>
      <c r="N445" s="77"/>
      <c r="O445" s="77"/>
      <c r="P445" s="77"/>
      <c r="Q445" s="252"/>
    </row>
    <row r="446" spans="1:17" s="95" customFormat="1" hidden="1" x14ac:dyDescent="0.25">
      <c r="A446" s="176"/>
      <c r="B446" s="177"/>
      <c r="C446" s="177"/>
      <c r="D446" s="178"/>
      <c r="E446" s="77"/>
      <c r="F446" s="77"/>
      <c r="G446" s="77"/>
      <c r="H446" s="256" t="s">
        <v>633</v>
      </c>
      <c r="I446" s="257"/>
      <c r="J446" s="213">
        <f>J411</f>
        <v>1613846131.1299999</v>
      </c>
      <c r="K446" s="185">
        <f>K411</f>
        <v>1016752812.95</v>
      </c>
      <c r="L446" s="89"/>
      <c r="M446" s="77"/>
      <c r="N446" s="77"/>
      <c r="O446" s="77"/>
      <c r="P446" s="77"/>
      <c r="Q446" s="252"/>
    </row>
    <row r="447" spans="1:17" s="95" customFormat="1" hidden="1" x14ac:dyDescent="0.25">
      <c r="A447" s="176"/>
      <c r="B447" s="177"/>
      <c r="C447" s="177"/>
      <c r="D447" s="178"/>
      <c r="E447" s="77"/>
      <c r="F447" s="77"/>
      <c r="G447" s="77"/>
      <c r="H447" s="264" t="s">
        <v>654</v>
      </c>
      <c r="I447" s="265"/>
      <c r="J447" s="213">
        <v>37410</v>
      </c>
      <c r="K447" s="185"/>
      <c r="L447" s="89"/>
      <c r="M447" s="77"/>
      <c r="N447" s="77"/>
      <c r="O447" s="77"/>
      <c r="P447" s="77"/>
      <c r="Q447" s="252"/>
    </row>
    <row r="448" spans="1:17" s="95" customFormat="1" hidden="1" x14ac:dyDescent="0.25">
      <c r="A448" s="176"/>
      <c r="B448" s="177"/>
      <c r="C448" s="177"/>
      <c r="D448" s="178"/>
      <c r="E448" s="77"/>
      <c r="F448" s="77"/>
      <c r="G448" s="77"/>
      <c r="H448" s="262" t="s">
        <v>655</v>
      </c>
      <c r="I448" s="263"/>
      <c r="J448" s="193">
        <f>J444+J445+J446+J447</f>
        <v>1619970098.1299999</v>
      </c>
      <c r="K448" s="193">
        <f>K444+K445+K446+K447</f>
        <v>1022839369.95</v>
      </c>
      <c r="L448" s="89"/>
      <c r="M448" s="77"/>
      <c r="N448" s="77"/>
      <c r="O448" s="77"/>
      <c r="P448" s="77"/>
      <c r="Q448" s="252"/>
    </row>
    <row r="449" spans="1:18" s="95" customFormat="1" ht="15.75" hidden="1" thickBot="1" x14ac:dyDescent="0.3">
      <c r="A449" s="176"/>
      <c r="B449" s="177"/>
      <c r="C449" s="177"/>
      <c r="D449" s="178"/>
      <c r="E449" s="77"/>
      <c r="F449" s="77"/>
      <c r="G449" s="77"/>
      <c r="H449" s="260" t="s">
        <v>611</v>
      </c>
      <c r="I449" s="261"/>
      <c r="J449" s="230">
        <f>J443-J448</f>
        <v>-1261985426.1299999</v>
      </c>
      <c r="K449" s="230">
        <f>K443-K448</f>
        <v>-772290854.95000005</v>
      </c>
      <c r="L449" s="89">
        <f>J449-K449</f>
        <v>-489694571.17999983</v>
      </c>
      <c r="M449" s="77"/>
      <c r="N449" s="77"/>
      <c r="O449" s="77"/>
      <c r="P449" s="77"/>
      <c r="Q449" s="252"/>
    </row>
    <row r="450" spans="1:18" s="95" customFormat="1" hidden="1" x14ac:dyDescent="0.25">
      <c r="A450" s="176"/>
      <c r="B450" s="177"/>
      <c r="C450" s="177"/>
      <c r="D450" s="178"/>
      <c r="E450" s="77"/>
      <c r="F450" s="77"/>
      <c r="G450" s="77"/>
      <c r="H450" s="77"/>
      <c r="I450" s="77"/>
      <c r="J450" s="77">
        <f>J430+J431+J432+J433+J434+J435+J437+J440+J441+J442-J444-J445-J411-J449-J447</f>
        <v>0</v>
      </c>
      <c r="K450" s="77">
        <f>K434+K437+K440+K442+K441-K444-K445-K411-K449</f>
        <v>0</v>
      </c>
      <c r="L450" s="77"/>
      <c r="M450" s="77"/>
      <c r="N450" s="77"/>
      <c r="O450" s="77"/>
      <c r="P450" s="77"/>
      <c r="Q450" s="252"/>
    </row>
    <row r="451" spans="1:18" s="95" customFormat="1" ht="9.75" customHeight="1" x14ac:dyDescent="0.25">
      <c r="A451" s="176"/>
      <c r="B451" s="177"/>
      <c r="C451" s="177"/>
      <c r="D451" s="178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252"/>
    </row>
    <row r="452" spans="1:18" s="95" customFormat="1" ht="9.75" customHeight="1" x14ac:dyDescent="0.25">
      <c r="A452" s="176"/>
      <c r="B452" s="177"/>
      <c r="C452" s="177"/>
      <c r="D452" s="178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252"/>
    </row>
    <row r="453" spans="1:18" s="95" customFormat="1" ht="9.75" customHeight="1" x14ac:dyDescent="0.25">
      <c r="A453" s="176"/>
      <c r="B453" s="177"/>
      <c r="C453" s="177"/>
      <c r="D453" s="178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252"/>
    </row>
    <row r="454" spans="1:18" s="95" customFormat="1" ht="38.25" x14ac:dyDescent="0.55000000000000004">
      <c r="A454" s="168" t="s">
        <v>738</v>
      </c>
      <c r="B454" s="169"/>
      <c r="C454" s="170"/>
      <c r="D454" s="171"/>
      <c r="E454" s="88"/>
      <c r="F454" s="87"/>
      <c r="G454" s="171"/>
      <c r="H454" s="171"/>
      <c r="I454" s="171"/>
      <c r="J454" s="171"/>
      <c r="K454" s="172"/>
      <c r="L454" s="172"/>
      <c r="M454" s="171"/>
      <c r="N454" s="171" t="s">
        <v>739</v>
      </c>
      <c r="O454" s="173"/>
      <c r="P454" s="77"/>
      <c r="Q454" s="252"/>
    </row>
    <row r="455" spans="1:18" s="95" customFormat="1" ht="24.75" customHeight="1" x14ac:dyDescent="0.5">
      <c r="A455" s="176"/>
      <c r="B455" s="177"/>
      <c r="C455" s="177"/>
      <c r="D455" s="178"/>
      <c r="E455" s="88"/>
      <c r="F455" s="87"/>
      <c r="G455" s="77"/>
      <c r="H455" s="77"/>
      <c r="I455" s="77"/>
      <c r="J455" s="77"/>
      <c r="K455" s="77"/>
      <c r="L455" s="77"/>
      <c r="M455" s="77"/>
      <c r="N455" s="77"/>
      <c r="O455" s="77"/>
      <c r="P455" s="173"/>
      <c r="Q455" s="252"/>
    </row>
    <row r="456" spans="1:18" s="95" customFormat="1" ht="31.5" customHeight="1" x14ac:dyDescent="0.45">
      <c r="A456" s="246" t="s">
        <v>737</v>
      </c>
      <c r="B456" s="246"/>
      <c r="C456" s="246"/>
      <c r="D456" s="246"/>
      <c r="E456" s="88"/>
      <c r="F456" s="87"/>
      <c r="G456" s="196"/>
      <c r="H456" s="196"/>
      <c r="I456" s="196"/>
      <c r="J456" s="196"/>
      <c r="K456" s="88"/>
      <c r="L456" s="196"/>
      <c r="M456" s="196"/>
      <c r="N456" s="196"/>
      <c r="O456" s="196"/>
      <c r="P456" s="77"/>
      <c r="Q456" s="252"/>
    </row>
    <row r="457" spans="1:18" s="195" customFormat="1" ht="36.75" customHeight="1" x14ac:dyDescent="0.55000000000000004">
      <c r="A457" s="276"/>
      <c r="B457" s="276"/>
      <c r="C457" s="276"/>
      <c r="D457" s="276"/>
      <c r="E457" s="88"/>
      <c r="F457" s="87"/>
      <c r="G457" s="77"/>
      <c r="H457" s="77"/>
      <c r="I457" s="77"/>
      <c r="J457" s="77"/>
      <c r="K457" s="77"/>
      <c r="L457" s="77"/>
      <c r="M457" s="77"/>
      <c r="N457" s="77"/>
      <c r="O457" s="77"/>
      <c r="P457" s="173"/>
      <c r="Q457" s="252"/>
      <c r="R457" s="235"/>
    </row>
    <row r="458" spans="1:18" s="195" customFormat="1" ht="31.5" x14ac:dyDescent="0.45">
      <c r="P458" s="196"/>
      <c r="Q458" s="194"/>
      <c r="R458" s="235"/>
    </row>
    <row r="459" spans="1:18" s="95" customFormat="1" x14ac:dyDescent="0.25">
      <c r="A459" s="176"/>
      <c r="B459" s="177"/>
      <c r="C459" s="177"/>
      <c r="D459" s="178"/>
      <c r="E459" s="232">
        <f>E411-'дод 7'!D288</f>
        <v>0</v>
      </c>
      <c r="F459" s="250">
        <f>F411-'дод 7'!E288</f>
        <v>0</v>
      </c>
      <c r="G459" s="250">
        <f>G411-'дод 7'!F288</f>
        <v>0</v>
      </c>
      <c r="H459" s="250">
        <f>H411-'дод 7'!G288</f>
        <v>0</v>
      </c>
      <c r="I459" s="250">
        <f>I411-'дод 7'!H288</f>
        <v>0</v>
      </c>
      <c r="J459" s="250">
        <f>J411-'дод 7'!I288</f>
        <v>0</v>
      </c>
      <c r="K459" s="250">
        <f>K411-'дод 7'!J288</f>
        <v>0</v>
      </c>
      <c r="L459" s="250">
        <f>L411-'дод 7'!K288</f>
        <v>0</v>
      </c>
      <c r="M459" s="250">
        <f>M411-'дод 7'!L288</f>
        <v>0</v>
      </c>
      <c r="N459" s="250">
        <f>N411-'дод 7'!M288</f>
        <v>0</v>
      </c>
      <c r="O459" s="250">
        <f>O411-'дод 7'!N288</f>
        <v>0</v>
      </c>
      <c r="P459" s="250">
        <f>P411-'дод 7'!O288</f>
        <v>0</v>
      </c>
      <c r="Q459" s="158"/>
    </row>
    <row r="460" spans="1:18" s="95" customFormat="1" x14ac:dyDescent="0.25">
      <c r="A460" s="176"/>
      <c r="B460" s="177"/>
      <c r="C460" s="177"/>
      <c r="D460" s="178"/>
      <c r="E460" s="250">
        <f>E412-'дод 7'!D289</f>
        <v>0</v>
      </c>
      <c r="F460" s="250">
        <f>F412-'дод 7'!E289</f>
        <v>0</v>
      </c>
      <c r="G460" s="250">
        <f>G412-'дод 7'!F289</f>
        <v>0</v>
      </c>
      <c r="H460" s="250">
        <f>H412-'дод 7'!G289</f>
        <v>0</v>
      </c>
      <c r="I460" s="250">
        <f>I412-'дод 7'!H289</f>
        <v>0</v>
      </c>
      <c r="J460" s="250">
        <f>J412-'дод 7'!I289</f>
        <v>0</v>
      </c>
      <c r="K460" s="250">
        <f>K412-'дод 7'!J289</f>
        <v>0</v>
      </c>
      <c r="L460" s="250">
        <f>L412-'дод 7'!K289</f>
        <v>0</v>
      </c>
      <c r="M460" s="250">
        <f>M412-'дод 7'!L289</f>
        <v>0</v>
      </c>
      <c r="N460" s="250">
        <f>N412-'дод 7'!M289</f>
        <v>0</v>
      </c>
      <c r="O460" s="250">
        <f>O412-'дод 7'!N289</f>
        <v>0</v>
      </c>
      <c r="P460" s="250">
        <f>P412-'дод 7'!O289</f>
        <v>0</v>
      </c>
      <c r="Q460" s="158"/>
    </row>
    <row r="461" spans="1:18" s="95" customFormat="1" x14ac:dyDescent="0.25">
      <c r="A461" s="176"/>
      <c r="B461" s="177"/>
      <c r="C461" s="177"/>
      <c r="D461" s="178"/>
      <c r="E461" s="250">
        <f>E413-'дод 7'!D290</f>
        <v>0</v>
      </c>
      <c r="F461" s="250">
        <f>F413-'дод 7'!E290</f>
        <v>0</v>
      </c>
      <c r="G461" s="250">
        <f>G413-'дод 7'!F290</f>
        <v>0</v>
      </c>
      <c r="H461" s="250">
        <f>H413-'дод 7'!G290</f>
        <v>0</v>
      </c>
      <c r="I461" s="250">
        <f>I413-'дод 7'!H290</f>
        <v>0</v>
      </c>
      <c r="J461" s="250">
        <f>J413-'дод 7'!I290</f>
        <v>0</v>
      </c>
      <c r="K461" s="250">
        <f>K413-'дод 7'!J290</f>
        <v>0</v>
      </c>
      <c r="L461" s="250">
        <f>L413-'дод 7'!K290</f>
        <v>0</v>
      </c>
      <c r="M461" s="250">
        <f>M413-'дод 7'!L290</f>
        <v>0</v>
      </c>
      <c r="N461" s="250">
        <f>N413-'дод 7'!M290</f>
        <v>0</v>
      </c>
      <c r="O461" s="250">
        <f>O413-'дод 7'!N290</f>
        <v>0</v>
      </c>
      <c r="P461" s="250">
        <f>P413-'дод 7'!O290</f>
        <v>0</v>
      </c>
      <c r="Q461" s="158"/>
    </row>
    <row r="462" spans="1:18" s="95" customFormat="1" x14ac:dyDescent="0.25">
      <c r="A462" s="176"/>
      <c r="B462" s="177"/>
      <c r="C462" s="177"/>
      <c r="D462" s="178"/>
      <c r="E462" s="250">
        <f>E414-'дод 7'!D291</f>
        <v>0</v>
      </c>
      <c r="F462" s="250">
        <f>F414-'дод 7'!E291</f>
        <v>0</v>
      </c>
      <c r="G462" s="250">
        <f>G414-'дод 7'!F291</f>
        <v>0</v>
      </c>
      <c r="H462" s="250">
        <f>H414-'дод 7'!G291</f>
        <v>0</v>
      </c>
      <c r="I462" s="250">
        <f>I414-'дод 7'!H291</f>
        <v>0</v>
      </c>
      <c r="J462" s="250">
        <f>J414-'дод 7'!I291</f>
        <v>0</v>
      </c>
      <c r="K462" s="250">
        <f>K414-'дод 7'!J291</f>
        <v>0</v>
      </c>
      <c r="L462" s="250">
        <f>L414-'дод 7'!K291</f>
        <v>0</v>
      </c>
      <c r="M462" s="250">
        <f>M414-'дод 7'!L291</f>
        <v>0</v>
      </c>
      <c r="N462" s="250">
        <f>N414-'дод 7'!M291</f>
        <v>0</v>
      </c>
      <c r="O462" s="250">
        <f>O414-'дод 7'!N291</f>
        <v>0</v>
      </c>
      <c r="P462" s="250">
        <f>P414-'дод 7'!O291</f>
        <v>0</v>
      </c>
      <c r="Q462" s="158"/>
    </row>
    <row r="463" spans="1:18" s="95" customFormat="1" x14ac:dyDescent="0.25">
      <c r="A463" s="176"/>
      <c r="B463" s="177"/>
      <c r="C463" s="177"/>
      <c r="D463" s="178"/>
      <c r="E463" s="250">
        <f>E415-'дод 7'!D292</f>
        <v>0</v>
      </c>
      <c r="F463" s="250">
        <f>F415-'дод 7'!E292</f>
        <v>0</v>
      </c>
      <c r="G463" s="250">
        <f>G415-'дод 7'!F292</f>
        <v>0</v>
      </c>
      <c r="H463" s="250">
        <f>H415-'дод 7'!G292</f>
        <v>0</v>
      </c>
      <c r="I463" s="250">
        <f>I415-'дод 7'!H292</f>
        <v>0</v>
      </c>
      <c r="J463" s="250">
        <f>J415-'дод 7'!I292</f>
        <v>0</v>
      </c>
      <c r="K463" s="250">
        <f>K415-'дод 7'!J292</f>
        <v>0</v>
      </c>
      <c r="L463" s="250">
        <f>L415-'дод 7'!K292</f>
        <v>0</v>
      </c>
      <c r="M463" s="250">
        <f>M415-'дод 7'!L292</f>
        <v>0</v>
      </c>
      <c r="N463" s="250">
        <f>N415-'дод 7'!M292</f>
        <v>0</v>
      </c>
      <c r="O463" s="250">
        <f>O415-'дод 7'!N292</f>
        <v>0</v>
      </c>
      <c r="P463" s="250">
        <f>P415-'дод 7'!O292</f>
        <v>0</v>
      </c>
      <c r="Q463" s="158"/>
    </row>
    <row r="464" spans="1:18" s="95" customFormat="1" x14ac:dyDescent="0.25">
      <c r="A464" s="176"/>
      <c r="B464" s="177"/>
      <c r="C464" s="177"/>
      <c r="D464" s="178"/>
      <c r="E464" s="250">
        <f>E416-'дод 7'!D293</f>
        <v>0</v>
      </c>
      <c r="F464" s="250">
        <f>F416-'дод 7'!E293</f>
        <v>0</v>
      </c>
      <c r="G464" s="250">
        <f>G416-'дод 7'!F293</f>
        <v>0</v>
      </c>
      <c r="H464" s="250">
        <f>H416-'дод 7'!G293</f>
        <v>0</v>
      </c>
      <c r="I464" s="250">
        <f>I416-'дод 7'!H293</f>
        <v>0</v>
      </c>
      <c r="J464" s="250">
        <f>J416-'дод 7'!I293</f>
        <v>0</v>
      </c>
      <c r="K464" s="250">
        <f>K416-'дод 7'!J293</f>
        <v>0</v>
      </c>
      <c r="L464" s="250">
        <f>L416-'дод 7'!K293</f>
        <v>0</v>
      </c>
      <c r="M464" s="250">
        <f>M416-'дод 7'!L293</f>
        <v>0</v>
      </c>
      <c r="N464" s="250">
        <f>N416-'дод 7'!M293</f>
        <v>0</v>
      </c>
      <c r="O464" s="250">
        <f>O416-'дод 7'!N293</f>
        <v>0</v>
      </c>
      <c r="P464" s="250">
        <f>P416-'дод 7'!O293</f>
        <v>0</v>
      </c>
      <c r="Q464" s="158"/>
    </row>
    <row r="465" spans="1:17" s="95" customFormat="1" x14ac:dyDescent="0.25">
      <c r="A465" s="176"/>
      <c r="B465" s="177"/>
      <c r="C465" s="177"/>
      <c r="D465" s="178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158"/>
    </row>
    <row r="466" spans="1:17" s="95" customFormat="1" x14ac:dyDescent="0.25">
      <c r="A466" s="176"/>
      <c r="B466" s="177"/>
      <c r="C466" s="177"/>
      <c r="D466" s="178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158"/>
    </row>
    <row r="467" spans="1:17" s="95" customFormat="1" x14ac:dyDescent="0.25">
      <c r="A467" s="176"/>
      <c r="B467" s="177"/>
      <c r="C467" s="177"/>
      <c r="D467" s="178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158"/>
    </row>
    <row r="468" spans="1:17" s="95" customFormat="1" x14ac:dyDescent="0.25">
      <c r="A468" s="176"/>
      <c r="B468" s="177"/>
      <c r="C468" s="177"/>
      <c r="D468" s="178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158"/>
    </row>
    <row r="469" spans="1:17" s="95" customFormat="1" x14ac:dyDescent="0.25">
      <c r="A469" s="176"/>
      <c r="B469" s="177"/>
      <c r="C469" s="177"/>
      <c r="D469" s="178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8"/>
    </row>
    <row r="470" spans="1:17" s="95" customFormat="1" x14ac:dyDescent="0.25">
      <c r="A470" s="176"/>
      <c r="B470" s="177"/>
      <c r="C470" s="177"/>
      <c r="D470" s="178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8"/>
    </row>
    <row r="471" spans="1:17" s="95" customFormat="1" x14ac:dyDescent="0.25">
      <c r="A471" s="176"/>
      <c r="B471" s="177"/>
      <c r="C471" s="177"/>
      <c r="D471" s="178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8"/>
    </row>
    <row r="472" spans="1:17" s="95" customFormat="1" x14ac:dyDescent="0.25">
      <c r="A472" s="176"/>
      <c r="B472" s="177"/>
      <c r="C472" s="177"/>
      <c r="D472" s="178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8"/>
    </row>
    <row r="473" spans="1:17" s="95" customFormat="1" x14ac:dyDescent="0.25">
      <c r="A473" s="176"/>
      <c r="B473" s="177"/>
      <c r="C473" s="177"/>
      <c r="D473" s="178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8"/>
    </row>
    <row r="474" spans="1:17" s="95" customFormat="1" x14ac:dyDescent="0.25">
      <c r="A474" s="176"/>
      <c r="B474" s="177"/>
      <c r="C474" s="177"/>
      <c r="D474" s="178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8"/>
    </row>
    <row r="475" spans="1:17" s="95" customFormat="1" x14ac:dyDescent="0.25">
      <c r="A475" s="176"/>
      <c r="B475" s="177"/>
      <c r="C475" s="177"/>
      <c r="D475" s="178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8"/>
    </row>
    <row r="476" spans="1:17" s="95" customFormat="1" x14ac:dyDescent="0.25">
      <c r="A476" s="176"/>
      <c r="B476" s="177"/>
      <c r="C476" s="177"/>
      <c r="D476" s="178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8"/>
    </row>
    <row r="477" spans="1:17" s="95" customFormat="1" x14ac:dyDescent="0.25">
      <c r="A477" s="176"/>
      <c r="B477" s="177"/>
      <c r="C477" s="177"/>
      <c r="D477" s="178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8"/>
    </row>
    <row r="478" spans="1:17" s="95" customFormat="1" x14ac:dyDescent="0.25">
      <c r="A478" s="176"/>
      <c r="B478" s="177"/>
      <c r="C478" s="177"/>
      <c r="D478" s="178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8"/>
    </row>
    <row r="479" spans="1:17" s="95" customFormat="1" x14ac:dyDescent="0.25">
      <c r="A479" s="176"/>
      <c r="B479" s="177"/>
      <c r="C479" s="177"/>
      <c r="D479" s="178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8"/>
    </row>
    <row r="480" spans="1:17" s="95" customFormat="1" x14ac:dyDescent="0.25">
      <c r="A480" s="176"/>
      <c r="B480" s="177"/>
      <c r="C480" s="177"/>
      <c r="D480" s="178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8"/>
    </row>
    <row r="481" spans="1:17" s="95" customFormat="1" x14ac:dyDescent="0.25">
      <c r="A481" s="176"/>
      <c r="B481" s="177"/>
      <c r="C481" s="177"/>
      <c r="D481" s="178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8"/>
    </row>
    <row r="482" spans="1:17" s="95" customFormat="1" x14ac:dyDescent="0.25">
      <c r="A482" s="176"/>
      <c r="B482" s="177"/>
      <c r="C482" s="177"/>
      <c r="D482" s="178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8"/>
    </row>
    <row r="483" spans="1:17" s="95" customFormat="1" x14ac:dyDescent="0.25">
      <c r="A483" s="176"/>
      <c r="B483" s="177"/>
      <c r="C483" s="177"/>
      <c r="D483" s="178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8"/>
    </row>
    <row r="484" spans="1:17" s="95" customFormat="1" x14ac:dyDescent="0.25">
      <c r="A484" s="176"/>
      <c r="B484" s="177"/>
      <c r="C484" s="177"/>
      <c r="D484" s="178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8"/>
    </row>
    <row r="485" spans="1:17" s="95" customFormat="1" x14ac:dyDescent="0.25">
      <c r="A485" s="176"/>
      <c r="B485" s="177"/>
      <c r="C485" s="177"/>
      <c r="D485" s="178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8"/>
    </row>
    <row r="486" spans="1:17" s="95" customFormat="1" x14ac:dyDescent="0.25">
      <c r="A486" s="176"/>
      <c r="B486" s="177"/>
      <c r="C486" s="177"/>
      <c r="D486" s="178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8"/>
    </row>
    <row r="487" spans="1:17" s="95" customFormat="1" x14ac:dyDescent="0.25">
      <c r="A487" s="176"/>
      <c r="B487" s="177"/>
      <c r="C487" s="177"/>
      <c r="D487" s="178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8"/>
    </row>
    <row r="488" spans="1:17" s="95" customFormat="1" x14ac:dyDescent="0.25">
      <c r="A488" s="176"/>
      <c r="B488" s="177"/>
      <c r="C488" s="177"/>
      <c r="D488" s="178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8"/>
    </row>
    <row r="489" spans="1:17" s="95" customFormat="1" x14ac:dyDescent="0.25">
      <c r="A489" s="176"/>
      <c r="B489" s="177"/>
      <c r="C489" s="177"/>
      <c r="D489" s="178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8"/>
    </row>
    <row r="490" spans="1:17" s="95" customFormat="1" x14ac:dyDescent="0.25">
      <c r="A490" s="176"/>
      <c r="B490" s="177"/>
      <c r="C490" s="177"/>
      <c r="D490" s="178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8"/>
    </row>
    <row r="491" spans="1:17" s="95" customFormat="1" x14ac:dyDescent="0.25">
      <c r="A491" s="176"/>
      <c r="B491" s="177"/>
      <c r="C491" s="177"/>
      <c r="D491" s="178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8"/>
    </row>
    <row r="492" spans="1:17" s="95" customFormat="1" x14ac:dyDescent="0.25">
      <c r="A492" s="176"/>
      <c r="B492" s="177"/>
      <c r="C492" s="177"/>
      <c r="D492" s="178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8"/>
    </row>
    <row r="493" spans="1:17" s="95" customFormat="1" x14ac:dyDescent="0.25">
      <c r="A493" s="176"/>
      <c r="B493" s="177"/>
      <c r="C493" s="177"/>
      <c r="D493" s="178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8"/>
    </row>
    <row r="494" spans="1:17" s="95" customFormat="1" x14ac:dyDescent="0.25">
      <c r="A494" s="176"/>
      <c r="B494" s="177"/>
      <c r="C494" s="177"/>
      <c r="D494" s="178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8"/>
    </row>
    <row r="495" spans="1:17" s="95" customFormat="1" x14ac:dyDescent="0.25">
      <c r="A495" s="176"/>
      <c r="B495" s="177"/>
      <c r="C495" s="177"/>
      <c r="D495" s="178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8"/>
    </row>
    <row r="496" spans="1:17" s="95" customFormat="1" x14ac:dyDescent="0.25">
      <c r="A496" s="176"/>
      <c r="B496" s="177"/>
      <c r="C496" s="177"/>
      <c r="D496" s="178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8"/>
    </row>
    <row r="497" spans="1:17" s="95" customFormat="1" x14ac:dyDescent="0.25">
      <c r="A497" s="176"/>
      <c r="B497" s="177"/>
      <c r="C497" s="177"/>
      <c r="D497" s="178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8"/>
    </row>
    <row r="498" spans="1:17" s="95" customFormat="1" x14ac:dyDescent="0.25">
      <c r="A498" s="176"/>
      <c r="B498" s="177"/>
      <c r="C498" s="177"/>
      <c r="D498" s="178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8"/>
    </row>
    <row r="499" spans="1:17" s="95" customFormat="1" x14ac:dyDescent="0.25">
      <c r="A499" s="176"/>
      <c r="B499" s="177"/>
      <c r="C499" s="177"/>
      <c r="D499" s="178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8"/>
    </row>
    <row r="500" spans="1:17" s="95" customFormat="1" x14ac:dyDescent="0.25">
      <c r="A500" s="176"/>
      <c r="B500" s="177"/>
      <c r="C500" s="177"/>
      <c r="D500" s="178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8"/>
    </row>
    <row r="501" spans="1:17" s="95" customFormat="1" x14ac:dyDescent="0.25">
      <c r="A501" s="176"/>
      <c r="B501" s="177"/>
      <c r="C501" s="177"/>
      <c r="D501" s="178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8"/>
    </row>
    <row r="502" spans="1:17" s="95" customFormat="1" x14ac:dyDescent="0.25">
      <c r="A502" s="176"/>
      <c r="B502" s="177"/>
      <c r="C502" s="177"/>
      <c r="D502" s="178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8"/>
    </row>
    <row r="503" spans="1:17" s="95" customFormat="1" x14ac:dyDescent="0.25">
      <c r="A503" s="176"/>
      <c r="B503" s="177"/>
      <c r="C503" s="177"/>
      <c r="D503" s="178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8"/>
    </row>
    <row r="504" spans="1:17" s="95" customFormat="1" x14ac:dyDescent="0.25">
      <c r="A504" s="176"/>
      <c r="B504" s="177"/>
      <c r="C504" s="177"/>
      <c r="D504" s="178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8"/>
    </row>
    <row r="505" spans="1:17" s="95" customFormat="1" x14ac:dyDescent="0.25">
      <c r="A505" s="176"/>
      <c r="B505" s="177"/>
      <c r="C505" s="177"/>
      <c r="D505" s="178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8"/>
    </row>
    <row r="506" spans="1:17" s="95" customFormat="1" x14ac:dyDescent="0.25">
      <c r="A506" s="176"/>
      <c r="B506" s="177"/>
      <c r="C506" s="177"/>
      <c r="D506" s="178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8"/>
    </row>
    <row r="507" spans="1:17" s="95" customFormat="1" x14ac:dyDescent="0.25">
      <c r="A507" s="176"/>
      <c r="B507" s="177"/>
      <c r="C507" s="177"/>
      <c r="D507" s="178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8"/>
    </row>
    <row r="508" spans="1:17" s="95" customFormat="1" x14ac:dyDescent="0.25">
      <c r="A508" s="176"/>
      <c r="B508" s="177"/>
      <c r="C508" s="177"/>
      <c r="D508" s="178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8"/>
    </row>
    <row r="509" spans="1:17" s="95" customFormat="1" x14ac:dyDescent="0.25">
      <c r="A509" s="176"/>
      <c r="B509" s="177"/>
      <c r="C509" s="177"/>
      <c r="D509" s="178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8"/>
    </row>
    <row r="510" spans="1:17" s="95" customFormat="1" x14ac:dyDescent="0.25">
      <c r="A510" s="176"/>
      <c r="B510" s="177"/>
      <c r="C510" s="177"/>
      <c r="D510" s="178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8"/>
    </row>
    <row r="511" spans="1:17" s="95" customFormat="1" x14ac:dyDescent="0.25">
      <c r="A511" s="176"/>
      <c r="B511" s="177"/>
      <c r="C511" s="177"/>
      <c r="D511" s="178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8"/>
    </row>
    <row r="512" spans="1:17" s="95" customFormat="1" x14ac:dyDescent="0.25">
      <c r="A512" s="176"/>
      <c r="B512" s="177"/>
      <c r="C512" s="177"/>
      <c r="D512" s="178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8"/>
    </row>
    <row r="513" spans="1:17" s="95" customFormat="1" x14ac:dyDescent="0.25">
      <c r="A513" s="176"/>
      <c r="B513" s="177"/>
      <c r="C513" s="177"/>
      <c r="D513" s="178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8"/>
    </row>
    <row r="514" spans="1:17" s="95" customFormat="1" x14ac:dyDescent="0.25">
      <c r="A514" s="176"/>
      <c r="B514" s="177"/>
      <c r="C514" s="177"/>
      <c r="D514" s="178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8"/>
    </row>
    <row r="515" spans="1:17" s="95" customFormat="1" x14ac:dyDescent="0.25">
      <c r="A515" s="176"/>
      <c r="B515" s="177"/>
      <c r="C515" s="177"/>
      <c r="D515" s="178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8"/>
    </row>
    <row r="516" spans="1:17" s="95" customFormat="1" x14ac:dyDescent="0.25">
      <c r="A516" s="176"/>
      <c r="B516" s="177"/>
      <c r="C516" s="177"/>
      <c r="D516" s="178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8"/>
    </row>
    <row r="517" spans="1:17" s="95" customFormat="1" x14ac:dyDescent="0.25">
      <c r="A517" s="176"/>
      <c r="B517" s="177"/>
      <c r="C517" s="177"/>
      <c r="D517" s="178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8"/>
    </row>
    <row r="518" spans="1:17" s="95" customFormat="1" x14ac:dyDescent="0.25">
      <c r="A518" s="176"/>
      <c r="B518" s="177"/>
      <c r="C518" s="177"/>
      <c r="D518" s="178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8"/>
    </row>
    <row r="519" spans="1:17" s="95" customFormat="1" x14ac:dyDescent="0.25">
      <c r="A519" s="176"/>
      <c r="B519" s="177"/>
      <c r="C519" s="177"/>
      <c r="D519" s="178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8"/>
    </row>
    <row r="520" spans="1:17" s="95" customFormat="1" x14ac:dyDescent="0.25">
      <c r="A520" s="176"/>
      <c r="B520" s="177"/>
      <c r="C520" s="177"/>
      <c r="D520" s="178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8"/>
    </row>
    <row r="521" spans="1:17" s="95" customFormat="1" x14ac:dyDescent="0.25">
      <c r="A521" s="176"/>
      <c r="B521" s="177"/>
      <c r="C521" s="177"/>
      <c r="D521" s="178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8"/>
    </row>
    <row r="522" spans="1:17" s="95" customFormat="1" x14ac:dyDescent="0.25">
      <c r="A522" s="176"/>
      <c r="B522" s="177"/>
      <c r="C522" s="177"/>
      <c r="D522" s="178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8"/>
    </row>
    <row r="523" spans="1:17" s="95" customFormat="1" x14ac:dyDescent="0.25">
      <c r="A523" s="176"/>
      <c r="B523" s="177"/>
      <c r="C523" s="177"/>
      <c r="D523" s="178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8"/>
    </row>
    <row r="524" spans="1:17" s="95" customFormat="1" x14ac:dyDescent="0.25">
      <c r="A524" s="176"/>
      <c r="B524" s="177"/>
      <c r="C524" s="177"/>
      <c r="D524" s="178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8"/>
    </row>
    <row r="525" spans="1:17" s="95" customFormat="1" x14ac:dyDescent="0.25">
      <c r="A525" s="176"/>
      <c r="B525" s="177"/>
      <c r="C525" s="177"/>
      <c r="D525" s="178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8"/>
    </row>
    <row r="526" spans="1:17" s="95" customFormat="1" x14ac:dyDescent="0.25">
      <c r="A526" s="176"/>
      <c r="B526" s="177"/>
      <c r="C526" s="177"/>
      <c r="D526" s="178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8"/>
    </row>
    <row r="527" spans="1:17" s="95" customFormat="1" x14ac:dyDescent="0.25">
      <c r="A527" s="176"/>
      <c r="B527" s="177"/>
      <c r="C527" s="177"/>
      <c r="D527" s="178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8"/>
    </row>
    <row r="528" spans="1:17" s="95" customFormat="1" x14ac:dyDescent="0.25">
      <c r="A528" s="176"/>
      <c r="B528" s="177"/>
      <c r="C528" s="177"/>
      <c r="D528" s="178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8"/>
    </row>
    <row r="529" spans="1:17" s="95" customFormat="1" x14ac:dyDescent="0.25">
      <c r="A529" s="176"/>
      <c r="B529" s="177"/>
      <c r="C529" s="177"/>
      <c r="D529" s="178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8"/>
    </row>
    <row r="530" spans="1:17" s="95" customFormat="1" x14ac:dyDescent="0.25">
      <c r="A530" s="176"/>
      <c r="B530" s="177"/>
      <c r="C530" s="177"/>
      <c r="D530" s="178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8"/>
    </row>
    <row r="531" spans="1:17" s="95" customFormat="1" x14ac:dyDescent="0.25">
      <c r="A531" s="176"/>
      <c r="B531" s="177"/>
      <c r="C531" s="177"/>
      <c r="D531" s="178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8"/>
    </row>
    <row r="532" spans="1:17" s="95" customFormat="1" x14ac:dyDescent="0.25">
      <c r="A532" s="176"/>
      <c r="B532" s="177"/>
      <c r="C532" s="177"/>
      <c r="D532" s="178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8"/>
    </row>
    <row r="533" spans="1:17" s="95" customFormat="1" x14ac:dyDescent="0.25">
      <c r="A533" s="176"/>
      <c r="B533" s="177"/>
      <c r="C533" s="177"/>
      <c r="D533" s="178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8"/>
    </row>
    <row r="534" spans="1:17" s="95" customFormat="1" x14ac:dyDescent="0.25">
      <c r="A534" s="176"/>
      <c r="B534" s="177"/>
      <c r="C534" s="177"/>
      <c r="D534" s="178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8"/>
    </row>
    <row r="535" spans="1:17" s="95" customFormat="1" x14ac:dyDescent="0.25">
      <c r="A535" s="176"/>
      <c r="B535" s="177"/>
      <c r="C535" s="177"/>
      <c r="D535" s="178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8"/>
    </row>
    <row r="536" spans="1:17" s="95" customFormat="1" x14ac:dyDescent="0.25">
      <c r="A536" s="176"/>
      <c r="B536" s="177"/>
      <c r="C536" s="177"/>
      <c r="D536" s="178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8"/>
    </row>
    <row r="537" spans="1:17" s="95" customFormat="1" x14ac:dyDescent="0.25">
      <c r="A537" s="176"/>
      <c r="B537" s="177"/>
      <c r="C537" s="177"/>
      <c r="D537" s="178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8"/>
    </row>
    <row r="538" spans="1:17" s="95" customFormat="1" x14ac:dyDescent="0.25">
      <c r="A538" s="176"/>
      <c r="B538" s="177"/>
      <c r="C538" s="177"/>
      <c r="D538" s="178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8"/>
    </row>
    <row r="539" spans="1:17" s="95" customFormat="1" x14ac:dyDescent="0.25">
      <c r="A539" s="176"/>
      <c r="B539" s="177"/>
      <c r="C539" s="177"/>
      <c r="D539" s="178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8"/>
    </row>
    <row r="540" spans="1:17" s="95" customFormat="1" x14ac:dyDescent="0.25">
      <c r="A540" s="176"/>
      <c r="B540" s="177"/>
      <c r="C540" s="177"/>
      <c r="D540" s="178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8"/>
    </row>
    <row r="541" spans="1:17" s="95" customFormat="1" x14ac:dyDescent="0.25">
      <c r="A541" s="176"/>
      <c r="B541" s="177"/>
      <c r="C541" s="177"/>
      <c r="D541" s="178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8"/>
    </row>
    <row r="542" spans="1:17" s="95" customFormat="1" x14ac:dyDescent="0.25">
      <c r="A542" s="176"/>
      <c r="B542" s="177"/>
      <c r="C542" s="177"/>
      <c r="D542" s="178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8"/>
    </row>
    <row r="543" spans="1:17" s="95" customFormat="1" x14ac:dyDescent="0.25">
      <c r="A543" s="176"/>
      <c r="B543" s="177"/>
      <c r="C543" s="177"/>
      <c r="D543" s="178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8"/>
    </row>
    <row r="544" spans="1:17" s="95" customFormat="1" x14ac:dyDescent="0.25">
      <c r="A544" s="176"/>
      <c r="B544" s="177"/>
      <c r="C544" s="177"/>
      <c r="D544" s="178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8"/>
    </row>
    <row r="545" spans="1:17" s="95" customFormat="1" x14ac:dyDescent="0.25">
      <c r="A545" s="176"/>
      <c r="B545" s="177"/>
      <c r="C545" s="177"/>
      <c r="D545" s="178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8"/>
    </row>
    <row r="546" spans="1:17" s="95" customFormat="1" x14ac:dyDescent="0.25">
      <c r="A546" s="176"/>
      <c r="B546" s="177"/>
      <c r="C546" s="177"/>
      <c r="D546" s="178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8"/>
    </row>
    <row r="547" spans="1:17" s="95" customFormat="1" x14ac:dyDescent="0.25">
      <c r="A547" s="176"/>
      <c r="B547" s="177"/>
      <c r="C547" s="177"/>
      <c r="D547" s="178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8"/>
    </row>
    <row r="548" spans="1:17" s="95" customFormat="1" x14ac:dyDescent="0.25">
      <c r="A548" s="176"/>
      <c r="B548" s="177"/>
      <c r="C548" s="177"/>
      <c r="D548" s="178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8"/>
    </row>
    <row r="549" spans="1:17" s="95" customFormat="1" x14ac:dyDescent="0.25">
      <c r="A549" s="176"/>
      <c r="B549" s="177"/>
      <c r="C549" s="177"/>
      <c r="D549" s="178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8"/>
    </row>
    <row r="550" spans="1:17" s="95" customFormat="1" x14ac:dyDescent="0.25">
      <c r="A550" s="176"/>
      <c r="B550" s="177"/>
      <c r="C550" s="177"/>
      <c r="D550" s="178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8"/>
    </row>
    <row r="551" spans="1:17" s="95" customFormat="1" x14ac:dyDescent="0.25">
      <c r="A551" s="176"/>
      <c r="B551" s="177"/>
      <c r="C551" s="177"/>
      <c r="D551" s="178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8"/>
    </row>
    <row r="552" spans="1:17" s="95" customFormat="1" x14ac:dyDescent="0.25">
      <c r="A552" s="176"/>
      <c r="B552" s="177"/>
      <c r="C552" s="177"/>
      <c r="D552" s="178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8"/>
    </row>
    <row r="553" spans="1:17" s="95" customFormat="1" x14ac:dyDescent="0.25">
      <c r="A553" s="176"/>
      <c r="B553" s="177"/>
      <c r="C553" s="177"/>
      <c r="D553" s="178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8"/>
    </row>
    <row r="554" spans="1:17" s="95" customFormat="1" x14ac:dyDescent="0.25">
      <c r="A554" s="176"/>
      <c r="B554" s="177"/>
      <c r="C554" s="177"/>
      <c r="D554" s="178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8"/>
    </row>
    <row r="555" spans="1:17" s="95" customFormat="1" x14ac:dyDescent="0.25">
      <c r="A555" s="176"/>
      <c r="B555" s="177"/>
      <c r="C555" s="177"/>
      <c r="D555" s="178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8"/>
    </row>
    <row r="556" spans="1:17" s="95" customFormat="1" x14ac:dyDescent="0.25">
      <c r="A556" s="176"/>
      <c r="B556" s="177"/>
      <c r="C556" s="177"/>
      <c r="D556" s="178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8"/>
    </row>
    <row r="557" spans="1:17" s="95" customFormat="1" x14ac:dyDescent="0.25">
      <c r="A557" s="176"/>
      <c r="B557" s="177"/>
      <c r="C557" s="177"/>
      <c r="D557" s="178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8"/>
    </row>
    <row r="558" spans="1:17" s="95" customFormat="1" x14ac:dyDescent="0.25">
      <c r="A558" s="176"/>
      <c r="B558" s="177"/>
      <c r="C558" s="177"/>
      <c r="D558" s="178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8"/>
    </row>
    <row r="559" spans="1:17" s="95" customFormat="1" x14ac:dyDescent="0.25">
      <c r="A559" s="176"/>
      <c r="B559" s="177"/>
      <c r="C559" s="177"/>
      <c r="D559" s="178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8"/>
    </row>
    <row r="560" spans="1:17" s="95" customFormat="1" x14ac:dyDescent="0.25">
      <c r="A560" s="176"/>
      <c r="B560" s="177"/>
      <c r="C560" s="177"/>
      <c r="D560" s="178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8"/>
    </row>
    <row r="561" spans="1:17" s="95" customFormat="1" x14ac:dyDescent="0.25">
      <c r="A561" s="176"/>
      <c r="B561" s="177"/>
      <c r="C561" s="177"/>
      <c r="D561" s="178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8"/>
    </row>
    <row r="562" spans="1:17" s="95" customFormat="1" x14ac:dyDescent="0.25">
      <c r="A562" s="176"/>
      <c r="B562" s="177"/>
      <c r="C562" s="177"/>
      <c r="D562" s="178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8"/>
    </row>
    <row r="563" spans="1:17" s="95" customFormat="1" x14ac:dyDescent="0.25">
      <c r="A563" s="176"/>
      <c r="B563" s="177"/>
      <c r="C563" s="177"/>
      <c r="D563" s="178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8"/>
    </row>
    <row r="564" spans="1:17" s="95" customFormat="1" x14ac:dyDescent="0.25">
      <c r="A564" s="176"/>
      <c r="B564" s="177"/>
      <c r="C564" s="177"/>
      <c r="D564" s="178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8"/>
    </row>
    <row r="565" spans="1:17" s="95" customFormat="1" x14ac:dyDescent="0.25">
      <c r="A565" s="176"/>
      <c r="B565" s="177"/>
      <c r="C565" s="177"/>
      <c r="D565" s="178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8"/>
    </row>
    <row r="566" spans="1:17" s="95" customFormat="1" x14ac:dyDescent="0.25">
      <c r="A566" s="176"/>
      <c r="B566" s="177"/>
      <c r="C566" s="177"/>
      <c r="D566" s="178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8"/>
    </row>
    <row r="567" spans="1:17" s="95" customFormat="1" x14ac:dyDescent="0.25">
      <c r="A567" s="176"/>
      <c r="B567" s="177"/>
      <c r="C567" s="177"/>
      <c r="D567" s="178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8"/>
    </row>
    <row r="568" spans="1:17" s="95" customFormat="1" x14ac:dyDescent="0.25">
      <c r="A568" s="176"/>
      <c r="B568" s="177"/>
      <c r="C568" s="177"/>
      <c r="D568" s="178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8"/>
    </row>
    <row r="569" spans="1:17" s="95" customFormat="1" x14ac:dyDescent="0.25">
      <c r="A569" s="176"/>
      <c r="B569" s="177"/>
      <c r="C569" s="177"/>
      <c r="D569" s="178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8"/>
    </row>
    <row r="570" spans="1:17" s="95" customFormat="1" x14ac:dyDescent="0.25">
      <c r="A570" s="176"/>
      <c r="B570" s="177"/>
      <c r="C570" s="177"/>
      <c r="D570" s="178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8"/>
    </row>
    <row r="571" spans="1:17" s="95" customFormat="1" x14ac:dyDescent="0.25">
      <c r="A571" s="176"/>
      <c r="B571" s="177"/>
      <c r="C571" s="177"/>
      <c r="D571" s="178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8"/>
    </row>
    <row r="572" spans="1:17" s="95" customFormat="1" x14ac:dyDescent="0.25">
      <c r="A572" s="176"/>
      <c r="B572" s="177"/>
      <c r="C572" s="177"/>
      <c r="D572" s="178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8"/>
    </row>
    <row r="573" spans="1:17" s="95" customFormat="1" x14ac:dyDescent="0.25">
      <c r="A573" s="176"/>
      <c r="B573" s="177"/>
      <c r="C573" s="177"/>
      <c r="D573" s="178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8"/>
    </row>
    <row r="574" spans="1:17" s="95" customFormat="1" x14ac:dyDescent="0.25">
      <c r="A574" s="176"/>
      <c r="B574" s="177"/>
      <c r="C574" s="177"/>
      <c r="D574" s="178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8"/>
    </row>
    <row r="575" spans="1:17" s="95" customFormat="1" x14ac:dyDescent="0.25">
      <c r="A575" s="176"/>
      <c r="B575" s="177"/>
      <c r="C575" s="177"/>
      <c r="D575" s="178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8"/>
    </row>
    <row r="576" spans="1:17" s="95" customFormat="1" x14ac:dyDescent="0.25">
      <c r="A576" s="176"/>
      <c r="B576" s="177"/>
      <c r="C576" s="177"/>
      <c r="D576" s="178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8"/>
    </row>
    <row r="577" spans="1:17" s="95" customFormat="1" x14ac:dyDescent="0.25">
      <c r="A577" s="176"/>
      <c r="B577" s="177"/>
      <c r="C577" s="177"/>
      <c r="D577" s="178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8"/>
    </row>
    <row r="578" spans="1:17" s="95" customFormat="1" x14ac:dyDescent="0.25">
      <c r="A578" s="176"/>
      <c r="B578" s="177"/>
      <c r="C578" s="177"/>
      <c r="D578" s="178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8"/>
    </row>
    <row r="579" spans="1:17" s="95" customFormat="1" x14ac:dyDescent="0.25">
      <c r="A579" s="176"/>
      <c r="B579" s="177"/>
      <c r="C579" s="177"/>
      <c r="D579" s="178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8"/>
    </row>
    <row r="580" spans="1:17" s="95" customFormat="1" x14ac:dyDescent="0.25">
      <c r="A580" s="176"/>
      <c r="B580" s="177"/>
      <c r="C580" s="177"/>
      <c r="D580" s="178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8"/>
    </row>
    <row r="581" spans="1:17" s="95" customFormat="1" x14ac:dyDescent="0.25">
      <c r="A581" s="176"/>
      <c r="B581" s="177"/>
      <c r="C581" s="177"/>
      <c r="D581" s="178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8"/>
    </row>
    <row r="582" spans="1:17" s="95" customFormat="1" x14ac:dyDescent="0.25">
      <c r="A582" s="176"/>
      <c r="B582" s="177"/>
      <c r="C582" s="177"/>
      <c r="D582" s="178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8"/>
    </row>
    <row r="583" spans="1:17" s="95" customFormat="1" x14ac:dyDescent="0.25">
      <c r="A583" s="176"/>
      <c r="B583" s="177"/>
      <c r="C583" s="177"/>
      <c r="D583" s="178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8"/>
    </row>
    <row r="584" spans="1:17" s="95" customFormat="1" x14ac:dyDescent="0.25">
      <c r="A584" s="176"/>
      <c r="B584" s="177"/>
      <c r="C584" s="177"/>
      <c r="D584" s="178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8"/>
    </row>
    <row r="585" spans="1:17" s="95" customFormat="1" x14ac:dyDescent="0.25">
      <c r="A585" s="176"/>
      <c r="B585" s="177"/>
      <c r="C585" s="177"/>
      <c r="D585" s="178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8"/>
    </row>
    <row r="586" spans="1:17" s="95" customFormat="1" x14ac:dyDescent="0.25">
      <c r="A586" s="176"/>
      <c r="B586" s="177"/>
      <c r="C586" s="177"/>
      <c r="D586" s="178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8"/>
    </row>
    <row r="587" spans="1:17" s="95" customFormat="1" x14ac:dyDescent="0.25">
      <c r="A587" s="176"/>
      <c r="B587" s="177"/>
      <c r="C587" s="177"/>
      <c r="D587" s="178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8"/>
    </row>
    <row r="588" spans="1:17" s="95" customFormat="1" x14ac:dyDescent="0.25">
      <c r="A588" s="176"/>
      <c r="B588" s="177"/>
      <c r="C588" s="177"/>
      <c r="D588" s="178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8"/>
    </row>
    <row r="589" spans="1:17" s="95" customFormat="1" x14ac:dyDescent="0.25">
      <c r="A589" s="176"/>
      <c r="B589" s="177"/>
      <c r="C589" s="177"/>
      <c r="D589" s="178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8"/>
    </row>
    <row r="590" spans="1:17" s="95" customFormat="1" x14ac:dyDescent="0.25">
      <c r="A590" s="176"/>
      <c r="B590" s="177"/>
      <c r="C590" s="177"/>
      <c r="D590" s="178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8"/>
    </row>
    <row r="591" spans="1:17" s="95" customFormat="1" x14ac:dyDescent="0.25">
      <c r="A591" s="176"/>
      <c r="B591" s="177"/>
      <c r="C591" s="177"/>
      <c r="D591" s="178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8"/>
    </row>
    <row r="592" spans="1:17" s="95" customFormat="1" x14ac:dyDescent="0.25">
      <c r="A592" s="176"/>
      <c r="B592" s="177"/>
      <c r="C592" s="177"/>
      <c r="D592" s="178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8"/>
    </row>
    <row r="593" spans="1:17" s="95" customFormat="1" x14ac:dyDescent="0.25">
      <c r="A593" s="176"/>
      <c r="B593" s="177"/>
      <c r="C593" s="177"/>
      <c r="D593" s="178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8"/>
    </row>
    <row r="594" spans="1:17" s="95" customFormat="1" x14ac:dyDescent="0.25">
      <c r="A594" s="176"/>
      <c r="B594" s="177"/>
      <c r="C594" s="177"/>
      <c r="D594" s="178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8"/>
    </row>
    <row r="595" spans="1:17" s="95" customFormat="1" x14ac:dyDescent="0.25">
      <c r="A595" s="176"/>
      <c r="B595" s="177"/>
      <c r="C595" s="177"/>
      <c r="D595" s="178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8"/>
    </row>
    <row r="596" spans="1:17" s="95" customFormat="1" x14ac:dyDescent="0.25">
      <c r="A596" s="176"/>
      <c r="B596" s="177"/>
      <c r="C596" s="177"/>
      <c r="D596" s="178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8"/>
    </row>
    <row r="597" spans="1:17" s="95" customFormat="1" x14ac:dyDescent="0.25">
      <c r="A597" s="176"/>
      <c r="B597" s="177"/>
      <c r="C597" s="177"/>
      <c r="D597" s="178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8"/>
    </row>
    <row r="598" spans="1:17" s="95" customFormat="1" x14ac:dyDescent="0.25">
      <c r="A598" s="176"/>
      <c r="B598" s="177"/>
      <c r="C598" s="177"/>
      <c r="D598" s="178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8"/>
    </row>
    <row r="599" spans="1:17" s="95" customFormat="1" x14ac:dyDescent="0.25">
      <c r="A599" s="176"/>
      <c r="B599" s="177"/>
      <c r="C599" s="177"/>
      <c r="D599" s="178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8"/>
    </row>
    <row r="600" spans="1:17" s="95" customFormat="1" x14ac:dyDescent="0.25">
      <c r="A600" s="176"/>
      <c r="B600" s="177"/>
      <c r="C600" s="177"/>
      <c r="D600" s="178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8"/>
    </row>
    <row r="601" spans="1:17" s="95" customFormat="1" x14ac:dyDescent="0.25">
      <c r="A601" s="176"/>
      <c r="B601" s="177"/>
      <c r="C601" s="177"/>
      <c r="D601" s="178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8"/>
    </row>
    <row r="602" spans="1:17" s="95" customFormat="1" x14ac:dyDescent="0.25">
      <c r="A602" s="176"/>
      <c r="B602" s="177"/>
      <c r="C602" s="177"/>
      <c r="D602" s="178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8"/>
    </row>
    <row r="603" spans="1:17" s="95" customFormat="1" x14ac:dyDescent="0.25">
      <c r="A603" s="176"/>
      <c r="B603" s="177"/>
      <c r="C603" s="177"/>
      <c r="D603" s="178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8"/>
    </row>
    <row r="604" spans="1:17" s="95" customFormat="1" x14ac:dyDescent="0.25">
      <c r="A604" s="176"/>
      <c r="B604" s="177"/>
      <c r="C604" s="177"/>
      <c r="D604" s="178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8"/>
    </row>
    <row r="605" spans="1:17" s="95" customFormat="1" x14ac:dyDescent="0.25">
      <c r="A605" s="176"/>
      <c r="B605" s="177"/>
      <c r="C605" s="177"/>
      <c r="D605" s="178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8"/>
    </row>
    <row r="606" spans="1:17" s="95" customFormat="1" x14ac:dyDescent="0.25">
      <c r="A606" s="176"/>
      <c r="B606" s="177"/>
      <c r="C606" s="177"/>
      <c r="D606" s="178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8"/>
    </row>
    <row r="607" spans="1:17" s="95" customFormat="1" x14ac:dyDescent="0.25">
      <c r="A607" s="176"/>
      <c r="B607" s="177"/>
      <c r="C607" s="177"/>
      <c r="D607" s="178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8"/>
    </row>
    <row r="608" spans="1:17" s="95" customFormat="1" x14ac:dyDescent="0.25">
      <c r="A608" s="176"/>
      <c r="B608" s="177"/>
      <c r="C608" s="177"/>
      <c r="D608" s="178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8"/>
    </row>
    <row r="609" spans="1:17" s="95" customFormat="1" x14ac:dyDescent="0.25">
      <c r="A609" s="176"/>
      <c r="B609" s="177"/>
      <c r="C609" s="177"/>
      <c r="D609" s="178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8"/>
    </row>
    <row r="610" spans="1:17" s="95" customFormat="1" x14ac:dyDescent="0.25">
      <c r="A610" s="176"/>
      <c r="B610" s="177"/>
      <c r="C610" s="177"/>
      <c r="D610" s="178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8"/>
    </row>
    <row r="611" spans="1:17" s="95" customFormat="1" x14ac:dyDescent="0.25">
      <c r="A611" s="176"/>
      <c r="B611" s="177"/>
      <c r="C611" s="177"/>
      <c r="D611" s="178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8"/>
    </row>
    <row r="612" spans="1:17" s="95" customFormat="1" x14ac:dyDescent="0.25">
      <c r="A612" s="176"/>
      <c r="B612" s="177"/>
      <c r="C612" s="177"/>
      <c r="D612" s="178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8"/>
    </row>
    <row r="613" spans="1:17" s="95" customFormat="1" x14ac:dyDescent="0.25">
      <c r="A613" s="176"/>
      <c r="B613" s="177"/>
      <c r="C613" s="177"/>
      <c r="D613" s="178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8"/>
    </row>
    <row r="614" spans="1:17" s="95" customFormat="1" x14ac:dyDescent="0.25">
      <c r="A614" s="176"/>
      <c r="B614" s="177"/>
      <c r="C614" s="177"/>
      <c r="D614" s="178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8"/>
    </row>
    <row r="615" spans="1:17" s="95" customFormat="1" x14ac:dyDescent="0.25">
      <c r="A615" s="176"/>
      <c r="B615" s="177"/>
      <c r="C615" s="177"/>
      <c r="D615" s="178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8"/>
    </row>
    <row r="616" spans="1:17" s="95" customFormat="1" x14ac:dyDescent="0.25">
      <c r="A616" s="176"/>
      <c r="B616" s="177"/>
      <c r="C616" s="177"/>
      <c r="D616" s="178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8"/>
    </row>
    <row r="617" spans="1:17" s="95" customFormat="1" x14ac:dyDescent="0.25">
      <c r="A617" s="176"/>
      <c r="B617" s="177"/>
      <c r="C617" s="177"/>
      <c r="D617" s="178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8"/>
    </row>
    <row r="618" spans="1:17" s="95" customFormat="1" x14ac:dyDescent="0.25">
      <c r="A618" s="176"/>
      <c r="B618" s="177"/>
      <c r="C618" s="177"/>
      <c r="D618" s="178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8"/>
    </row>
    <row r="619" spans="1:17" s="95" customFormat="1" x14ac:dyDescent="0.25">
      <c r="A619" s="176"/>
      <c r="B619" s="177"/>
      <c r="C619" s="177"/>
      <c r="D619" s="178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8"/>
    </row>
    <row r="620" spans="1:17" s="95" customFormat="1" x14ac:dyDescent="0.25">
      <c r="A620" s="176"/>
      <c r="B620" s="177"/>
      <c r="C620" s="177"/>
      <c r="D620" s="178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8"/>
    </row>
    <row r="621" spans="1:17" s="95" customFormat="1" x14ac:dyDescent="0.25">
      <c r="A621" s="176"/>
      <c r="B621" s="177"/>
      <c r="C621" s="177"/>
      <c r="D621" s="178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8"/>
    </row>
    <row r="622" spans="1:17" s="95" customFormat="1" x14ac:dyDescent="0.25">
      <c r="A622" s="176"/>
      <c r="B622" s="177"/>
      <c r="C622" s="177"/>
      <c r="D622" s="178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8"/>
    </row>
    <row r="623" spans="1:17" s="95" customFormat="1" x14ac:dyDescent="0.25">
      <c r="A623" s="176"/>
      <c r="B623" s="177"/>
      <c r="C623" s="177"/>
      <c r="D623" s="178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8"/>
    </row>
    <row r="624" spans="1:17" s="95" customFormat="1" x14ac:dyDescent="0.25">
      <c r="A624" s="176"/>
      <c r="B624" s="177"/>
      <c r="C624" s="177"/>
      <c r="D624" s="178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8"/>
    </row>
    <row r="625" spans="1:17" s="95" customFormat="1" x14ac:dyDescent="0.25">
      <c r="A625" s="176"/>
      <c r="B625" s="177"/>
      <c r="C625" s="177"/>
      <c r="D625" s="178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8"/>
    </row>
    <row r="626" spans="1:17" s="95" customFormat="1" x14ac:dyDescent="0.25">
      <c r="A626" s="176"/>
      <c r="B626" s="177"/>
      <c r="C626" s="177"/>
      <c r="D626" s="178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8"/>
    </row>
    <row r="627" spans="1:17" s="95" customFormat="1" x14ac:dyDescent="0.25">
      <c r="A627" s="176"/>
      <c r="B627" s="177"/>
      <c r="C627" s="177"/>
      <c r="D627" s="178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8"/>
    </row>
    <row r="628" spans="1:17" s="95" customFormat="1" x14ac:dyDescent="0.25">
      <c r="A628" s="176"/>
      <c r="B628" s="177"/>
      <c r="C628" s="177"/>
      <c r="D628" s="178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8"/>
    </row>
    <row r="629" spans="1:17" s="95" customFormat="1" x14ac:dyDescent="0.25">
      <c r="A629" s="176"/>
      <c r="B629" s="177"/>
      <c r="C629" s="177"/>
      <c r="D629" s="178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8"/>
    </row>
    <row r="630" spans="1:17" s="95" customFormat="1" x14ac:dyDescent="0.25">
      <c r="A630" s="176"/>
      <c r="B630" s="177"/>
      <c r="C630" s="177"/>
      <c r="D630" s="178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8"/>
    </row>
    <row r="631" spans="1:17" s="95" customFormat="1" x14ac:dyDescent="0.25">
      <c r="A631" s="176"/>
      <c r="B631" s="177"/>
      <c r="C631" s="177"/>
      <c r="D631" s="178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8"/>
    </row>
    <row r="632" spans="1:17" s="95" customFormat="1" x14ac:dyDescent="0.25">
      <c r="A632" s="176"/>
      <c r="B632" s="177"/>
      <c r="C632" s="177"/>
      <c r="D632" s="178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8"/>
    </row>
    <row r="633" spans="1:17" s="95" customFormat="1" x14ac:dyDescent="0.25">
      <c r="A633" s="176"/>
      <c r="B633" s="177"/>
      <c r="C633" s="177"/>
      <c r="D633" s="178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8"/>
    </row>
    <row r="634" spans="1:17" s="95" customFormat="1" x14ac:dyDescent="0.25">
      <c r="A634" s="176"/>
      <c r="B634" s="177"/>
      <c r="C634" s="177"/>
      <c r="D634" s="178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8"/>
    </row>
    <row r="635" spans="1:17" s="95" customFormat="1" x14ac:dyDescent="0.25">
      <c r="A635" s="176"/>
      <c r="B635" s="177"/>
      <c r="C635" s="177"/>
      <c r="D635" s="178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8"/>
    </row>
    <row r="636" spans="1:17" s="95" customFormat="1" x14ac:dyDescent="0.25">
      <c r="A636" s="176"/>
      <c r="B636" s="177"/>
      <c r="C636" s="177"/>
      <c r="D636" s="178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8"/>
    </row>
    <row r="637" spans="1:17" s="95" customFormat="1" x14ac:dyDescent="0.25">
      <c r="A637" s="176"/>
      <c r="B637" s="177"/>
      <c r="C637" s="177"/>
      <c r="D637" s="178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8"/>
    </row>
    <row r="638" spans="1:17" s="95" customFormat="1" x14ac:dyDescent="0.25">
      <c r="A638" s="176"/>
      <c r="B638" s="177"/>
      <c r="C638" s="177"/>
      <c r="D638" s="178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8"/>
    </row>
    <row r="639" spans="1:17" s="95" customFormat="1" x14ac:dyDescent="0.25">
      <c r="A639" s="176"/>
      <c r="B639" s="177"/>
      <c r="C639" s="177"/>
      <c r="D639" s="178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8"/>
    </row>
    <row r="640" spans="1:17" s="95" customFormat="1" x14ac:dyDescent="0.25">
      <c r="A640" s="176"/>
      <c r="B640" s="177"/>
      <c r="C640" s="177"/>
      <c r="D640" s="178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8"/>
    </row>
    <row r="641" spans="1:17" s="95" customFormat="1" x14ac:dyDescent="0.25">
      <c r="A641" s="176"/>
      <c r="B641" s="177"/>
      <c r="C641" s="177"/>
      <c r="D641" s="178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8"/>
    </row>
    <row r="642" spans="1:17" s="95" customFormat="1" x14ac:dyDescent="0.25">
      <c r="A642" s="176"/>
      <c r="B642" s="177"/>
      <c r="C642" s="177"/>
      <c r="D642" s="178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8"/>
    </row>
    <row r="643" spans="1:17" s="95" customFormat="1" x14ac:dyDescent="0.25">
      <c r="A643" s="176"/>
      <c r="B643" s="177"/>
      <c r="C643" s="177"/>
      <c r="D643" s="178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8"/>
    </row>
    <row r="644" spans="1:17" s="95" customFormat="1" x14ac:dyDescent="0.25">
      <c r="A644" s="176"/>
      <c r="B644" s="177"/>
      <c r="C644" s="177"/>
      <c r="D644" s="178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8"/>
    </row>
    <row r="645" spans="1:17" s="95" customFormat="1" x14ac:dyDescent="0.25">
      <c r="A645" s="176"/>
      <c r="B645" s="177"/>
      <c r="C645" s="177"/>
      <c r="D645" s="178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8"/>
    </row>
    <row r="646" spans="1:17" s="95" customFormat="1" x14ac:dyDescent="0.25">
      <c r="A646" s="176"/>
      <c r="B646" s="177"/>
      <c r="C646" s="177"/>
      <c r="D646" s="178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8"/>
    </row>
    <row r="647" spans="1:17" s="95" customFormat="1" x14ac:dyDescent="0.25">
      <c r="A647" s="176"/>
      <c r="B647" s="177"/>
      <c r="C647" s="177"/>
      <c r="D647" s="178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8"/>
    </row>
    <row r="648" spans="1:17" s="95" customFormat="1" x14ac:dyDescent="0.25">
      <c r="A648" s="176"/>
      <c r="B648" s="177"/>
      <c r="C648" s="177"/>
      <c r="D648" s="178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8"/>
    </row>
    <row r="649" spans="1:17" s="95" customFormat="1" x14ac:dyDescent="0.25">
      <c r="A649" s="176"/>
      <c r="B649" s="177"/>
      <c r="C649" s="177"/>
      <c r="D649" s="178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8"/>
    </row>
    <row r="650" spans="1:17" s="95" customFormat="1" x14ac:dyDescent="0.25">
      <c r="A650" s="176"/>
      <c r="B650" s="177"/>
      <c r="C650" s="177"/>
      <c r="D650" s="178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8"/>
    </row>
    <row r="651" spans="1:17" s="95" customFormat="1" x14ac:dyDescent="0.25">
      <c r="A651" s="176"/>
      <c r="B651" s="177"/>
      <c r="C651" s="177"/>
      <c r="D651" s="178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8"/>
    </row>
    <row r="652" spans="1:17" s="95" customFormat="1" x14ac:dyDescent="0.25">
      <c r="A652" s="176"/>
      <c r="B652" s="177"/>
      <c r="C652" s="177"/>
      <c r="D652" s="178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8"/>
    </row>
    <row r="653" spans="1:17" s="95" customFormat="1" x14ac:dyDescent="0.25">
      <c r="A653" s="176"/>
      <c r="B653" s="177"/>
      <c r="C653" s="177"/>
      <c r="D653" s="178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8"/>
    </row>
    <row r="654" spans="1:17" s="95" customFormat="1" x14ac:dyDescent="0.25">
      <c r="A654" s="176"/>
      <c r="B654" s="177"/>
      <c r="C654" s="177"/>
      <c r="D654" s="178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8"/>
    </row>
    <row r="655" spans="1:17" s="95" customFormat="1" x14ac:dyDescent="0.25">
      <c r="A655" s="176"/>
      <c r="B655" s="177"/>
      <c r="C655" s="177"/>
      <c r="D655" s="178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8"/>
    </row>
    <row r="656" spans="1:17" s="95" customFormat="1" x14ac:dyDescent="0.25">
      <c r="A656" s="176"/>
      <c r="B656" s="177"/>
      <c r="C656" s="177"/>
      <c r="D656" s="178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8"/>
    </row>
    <row r="657" spans="1:17" s="95" customFormat="1" x14ac:dyDescent="0.25">
      <c r="A657" s="176"/>
      <c r="B657" s="177"/>
      <c r="C657" s="177"/>
      <c r="D657" s="178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8"/>
    </row>
    <row r="658" spans="1:17" s="95" customFormat="1" x14ac:dyDescent="0.25">
      <c r="A658" s="176"/>
      <c r="B658" s="177"/>
      <c r="C658" s="177"/>
      <c r="D658" s="178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8"/>
    </row>
    <row r="659" spans="1:17" s="95" customFormat="1" x14ac:dyDescent="0.25">
      <c r="A659" s="176"/>
      <c r="B659" s="177"/>
      <c r="C659" s="177"/>
      <c r="D659" s="178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8"/>
    </row>
    <row r="660" spans="1:17" s="95" customFormat="1" x14ac:dyDescent="0.25">
      <c r="A660" s="176"/>
      <c r="B660" s="177"/>
      <c r="C660" s="177"/>
      <c r="D660" s="178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8"/>
    </row>
    <row r="661" spans="1:17" s="95" customFormat="1" x14ac:dyDescent="0.25">
      <c r="A661" s="176"/>
      <c r="B661" s="177"/>
      <c r="C661" s="177"/>
      <c r="D661" s="178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8"/>
    </row>
    <row r="662" spans="1:17" s="95" customFormat="1" x14ac:dyDescent="0.25">
      <c r="A662" s="176"/>
      <c r="B662" s="177"/>
      <c r="C662" s="177"/>
      <c r="D662" s="178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8"/>
    </row>
    <row r="663" spans="1:17" s="95" customFormat="1" x14ac:dyDescent="0.25">
      <c r="A663" s="176"/>
      <c r="B663" s="177"/>
      <c r="C663" s="177"/>
      <c r="D663" s="178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8"/>
    </row>
    <row r="664" spans="1:17" s="95" customFormat="1" x14ac:dyDescent="0.25">
      <c r="A664" s="176"/>
      <c r="B664" s="177"/>
      <c r="C664" s="177"/>
      <c r="D664" s="178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8"/>
    </row>
    <row r="665" spans="1:17" s="95" customFormat="1" x14ac:dyDescent="0.25">
      <c r="A665" s="176"/>
      <c r="B665" s="177"/>
      <c r="C665" s="177"/>
      <c r="D665" s="178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8"/>
    </row>
    <row r="666" spans="1:17" s="95" customFormat="1" x14ac:dyDescent="0.25">
      <c r="A666" s="176"/>
      <c r="B666" s="177"/>
      <c r="C666" s="177"/>
      <c r="D666" s="178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8"/>
    </row>
    <row r="667" spans="1:17" s="95" customFormat="1" x14ac:dyDescent="0.25">
      <c r="A667" s="176"/>
      <c r="B667" s="177"/>
      <c r="C667" s="177"/>
      <c r="D667" s="178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8"/>
    </row>
    <row r="668" spans="1:17" s="95" customFormat="1" x14ac:dyDescent="0.25">
      <c r="A668" s="176"/>
      <c r="B668" s="177"/>
      <c r="C668" s="177"/>
      <c r="D668" s="178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8"/>
    </row>
    <row r="669" spans="1:17" s="95" customFormat="1" x14ac:dyDescent="0.25">
      <c r="A669" s="176"/>
      <c r="B669" s="177"/>
      <c r="C669" s="177"/>
      <c r="D669" s="178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8"/>
    </row>
    <row r="670" spans="1:17" s="95" customFormat="1" x14ac:dyDescent="0.25">
      <c r="A670" s="176"/>
      <c r="B670" s="177"/>
      <c r="C670" s="177"/>
      <c r="D670" s="178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8"/>
    </row>
    <row r="671" spans="1:17" s="95" customFormat="1" x14ac:dyDescent="0.25">
      <c r="A671" s="176"/>
      <c r="B671" s="177"/>
      <c r="C671" s="177"/>
      <c r="D671" s="178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8"/>
    </row>
    <row r="672" spans="1:17" s="95" customFormat="1" x14ac:dyDescent="0.25">
      <c r="A672" s="176"/>
      <c r="B672" s="177"/>
      <c r="C672" s="177"/>
      <c r="D672" s="178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8"/>
    </row>
    <row r="673" spans="1:17" s="95" customFormat="1" x14ac:dyDescent="0.25">
      <c r="A673" s="176"/>
      <c r="B673" s="177"/>
      <c r="C673" s="177"/>
      <c r="D673" s="178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8"/>
    </row>
    <row r="674" spans="1:17" s="95" customFormat="1" x14ac:dyDescent="0.25">
      <c r="A674" s="176"/>
      <c r="B674" s="177"/>
      <c r="C674" s="177"/>
      <c r="D674" s="178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8"/>
    </row>
    <row r="675" spans="1:17" s="95" customFormat="1" x14ac:dyDescent="0.25">
      <c r="A675" s="176"/>
      <c r="B675" s="177"/>
      <c r="C675" s="177"/>
      <c r="D675" s="178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8"/>
    </row>
    <row r="676" spans="1:17" s="95" customFormat="1" x14ac:dyDescent="0.25">
      <c r="A676" s="176"/>
      <c r="B676" s="177"/>
      <c r="C676" s="177"/>
      <c r="D676" s="178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8"/>
    </row>
    <row r="677" spans="1:17" s="95" customFormat="1" x14ac:dyDescent="0.25">
      <c r="A677" s="176"/>
      <c r="B677" s="177"/>
      <c r="C677" s="177"/>
      <c r="D677" s="178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8"/>
    </row>
    <row r="678" spans="1:17" s="95" customFormat="1" x14ac:dyDescent="0.25">
      <c r="A678" s="176"/>
      <c r="B678" s="177"/>
      <c r="C678" s="177"/>
      <c r="D678" s="178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8"/>
    </row>
    <row r="679" spans="1:17" s="95" customFormat="1" x14ac:dyDescent="0.25">
      <c r="A679" s="176"/>
      <c r="B679" s="177"/>
      <c r="C679" s="177"/>
      <c r="D679" s="178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8"/>
    </row>
    <row r="680" spans="1:17" s="95" customFormat="1" x14ac:dyDescent="0.25">
      <c r="A680" s="176"/>
      <c r="B680" s="177"/>
      <c r="C680" s="177"/>
      <c r="D680" s="178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8"/>
    </row>
    <row r="681" spans="1:17" s="95" customFormat="1" x14ac:dyDescent="0.25">
      <c r="A681" s="176"/>
      <c r="B681" s="177"/>
      <c r="C681" s="177"/>
      <c r="D681" s="178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8"/>
    </row>
    <row r="682" spans="1:17" s="95" customFormat="1" x14ac:dyDescent="0.25">
      <c r="A682" s="176"/>
      <c r="B682" s="177"/>
      <c r="C682" s="177"/>
      <c r="D682" s="178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8"/>
    </row>
    <row r="683" spans="1:17" s="95" customFormat="1" x14ac:dyDescent="0.25">
      <c r="A683" s="176"/>
      <c r="B683" s="177"/>
      <c r="C683" s="177"/>
      <c r="D683" s="178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8"/>
    </row>
    <row r="684" spans="1:17" s="95" customFormat="1" x14ac:dyDescent="0.25">
      <c r="A684" s="176"/>
      <c r="B684" s="177"/>
      <c r="C684" s="177"/>
      <c r="D684" s="178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8"/>
    </row>
    <row r="685" spans="1:17" s="95" customFormat="1" x14ac:dyDescent="0.25">
      <c r="A685" s="176"/>
      <c r="B685" s="177"/>
      <c r="C685" s="177"/>
      <c r="D685" s="178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8"/>
    </row>
    <row r="686" spans="1:17" s="95" customFormat="1" x14ac:dyDescent="0.25">
      <c r="A686" s="176"/>
      <c r="B686" s="177"/>
      <c r="C686" s="177"/>
      <c r="D686" s="178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8"/>
    </row>
    <row r="687" spans="1:17" s="95" customFormat="1" x14ac:dyDescent="0.25">
      <c r="A687" s="176"/>
      <c r="B687" s="177"/>
      <c r="C687" s="177"/>
      <c r="D687" s="178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8"/>
    </row>
    <row r="688" spans="1:17" s="95" customFormat="1" x14ac:dyDescent="0.25">
      <c r="A688" s="176"/>
      <c r="B688" s="177"/>
      <c r="C688" s="177"/>
      <c r="D688" s="178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8"/>
    </row>
    <row r="689" spans="1:17" s="95" customFormat="1" x14ac:dyDescent="0.25">
      <c r="A689" s="176"/>
      <c r="B689" s="177"/>
      <c r="C689" s="177"/>
      <c r="D689" s="178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8"/>
    </row>
    <row r="690" spans="1:17" s="95" customFormat="1" x14ac:dyDescent="0.25">
      <c r="A690" s="176"/>
      <c r="B690" s="177"/>
      <c r="C690" s="177"/>
      <c r="D690" s="178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8"/>
    </row>
    <row r="691" spans="1:17" s="95" customFormat="1" x14ac:dyDescent="0.25">
      <c r="A691" s="176"/>
      <c r="B691" s="177"/>
      <c r="C691" s="177"/>
      <c r="D691" s="178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8"/>
    </row>
    <row r="692" spans="1:17" s="95" customFormat="1" x14ac:dyDescent="0.25">
      <c r="A692" s="176"/>
      <c r="B692" s="177"/>
      <c r="C692" s="177"/>
      <c r="D692" s="178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8"/>
    </row>
    <row r="693" spans="1:17" s="95" customFormat="1" x14ac:dyDescent="0.25">
      <c r="A693" s="176"/>
      <c r="B693" s="177"/>
      <c r="C693" s="177"/>
      <c r="D693" s="178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8"/>
    </row>
    <row r="694" spans="1:17" s="95" customFormat="1" x14ac:dyDescent="0.25">
      <c r="A694" s="176"/>
      <c r="B694" s="177"/>
      <c r="C694" s="177"/>
      <c r="D694" s="178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8"/>
    </row>
    <row r="695" spans="1:17" s="95" customFormat="1" x14ac:dyDescent="0.25">
      <c r="A695" s="176"/>
      <c r="B695" s="177"/>
      <c r="C695" s="177"/>
      <c r="D695" s="178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8"/>
    </row>
    <row r="696" spans="1:17" s="95" customFormat="1" x14ac:dyDescent="0.25">
      <c r="A696" s="176"/>
      <c r="B696" s="177"/>
      <c r="C696" s="177"/>
      <c r="D696" s="178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8"/>
    </row>
    <row r="697" spans="1:17" s="95" customFormat="1" x14ac:dyDescent="0.25">
      <c r="A697" s="176"/>
      <c r="B697" s="177"/>
      <c r="C697" s="177"/>
      <c r="D697" s="178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8"/>
    </row>
    <row r="698" spans="1:17" s="95" customFormat="1" x14ac:dyDescent="0.25">
      <c r="A698" s="176"/>
      <c r="B698" s="177"/>
      <c r="C698" s="177"/>
      <c r="D698" s="178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8"/>
    </row>
    <row r="699" spans="1:17" s="95" customFormat="1" x14ac:dyDescent="0.25">
      <c r="A699" s="176"/>
      <c r="B699" s="177"/>
      <c r="C699" s="177"/>
      <c r="D699" s="178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8"/>
    </row>
    <row r="700" spans="1:17" s="95" customFormat="1" x14ac:dyDescent="0.25">
      <c r="A700" s="176"/>
      <c r="B700" s="177"/>
      <c r="C700" s="177"/>
      <c r="D700" s="178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8"/>
    </row>
    <row r="701" spans="1:17" s="95" customFormat="1" x14ac:dyDescent="0.25">
      <c r="A701" s="176"/>
      <c r="B701" s="177"/>
      <c r="C701" s="177"/>
      <c r="D701" s="178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8"/>
    </row>
    <row r="702" spans="1:17" s="95" customFormat="1" x14ac:dyDescent="0.25">
      <c r="A702" s="176"/>
      <c r="B702" s="177"/>
      <c r="C702" s="177"/>
      <c r="D702" s="178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8"/>
    </row>
    <row r="703" spans="1:17" s="95" customFormat="1" x14ac:dyDescent="0.25">
      <c r="A703" s="176"/>
      <c r="B703" s="177"/>
      <c r="C703" s="177"/>
      <c r="D703" s="178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8"/>
    </row>
    <row r="704" spans="1:17" s="95" customFormat="1" x14ac:dyDescent="0.25">
      <c r="A704" s="176"/>
      <c r="B704" s="177"/>
      <c r="C704" s="177"/>
      <c r="D704" s="178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8"/>
    </row>
    <row r="705" spans="1:17" s="95" customFormat="1" x14ac:dyDescent="0.25">
      <c r="A705" s="176"/>
      <c r="B705" s="177"/>
      <c r="C705" s="177"/>
      <c r="D705" s="178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8"/>
    </row>
    <row r="706" spans="1:17" s="95" customFormat="1" x14ac:dyDescent="0.25">
      <c r="A706" s="176"/>
      <c r="B706" s="177"/>
      <c r="C706" s="177"/>
      <c r="D706" s="178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8"/>
    </row>
    <row r="707" spans="1:17" s="95" customFormat="1" x14ac:dyDescent="0.25">
      <c r="A707" s="176"/>
      <c r="B707" s="177"/>
      <c r="C707" s="177"/>
      <c r="D707" s="178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8"/>
    </row>
    <row r="708" spans="1:17" s="95" customFormat="1" x14ac:dyDescent="0.25">
      <c r="A708" s="176"/>
      <c r="B708" s="177"/>
      <c r="C708" s="177"/>
      <c r="D708" s="178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8"/>
    </row>
    <row r="709" spans="1:17" s="95" customFormat="1" x14ac:dyDescent="0.25">
      <c r="A709" s="176"/>
      <c r="B709" s="177"/>
      <c r="C709" s="177"/>
      <c r="D709" s="178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8"/>
    </row>
    <row r="710" spans="1:17" s="95" customFormat="1" x14ac:dyDescent="0.25">
      <c r="A710" s="176"/>
      <c r="B710" s="177"/>
      <c r="C710" s="177"/>
      <c r="D710" s="178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8"/>
    </row>
    <row r="711" spans="1:17" s="95" customFormat="1" x14ac:dyDescent="0.25">
      <c r="A711" s="176"/>
      <c r="B711" s="177"/>
      <c r="C711" s="177"/>
      <c r="D711" s="178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8"/>
    </row>
    <row r="712" spans="1:17" s="95" customFormat="1" x14ac:dyDescent="0.25">
      <c r="A712" s="176"/>
      <c r="B712" s="177"/>
      <c r="C712" s="177"/>
      <c r="D712" s="178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8"/>
    </row>
    <row r="713" spans="1:17" s="95" customFormat="1" x14ac:dyDescent="0.25">
      <c r="A713" s="176"/>
      <c r="B713" s="177"/>
      <c r="C713" s="177"/>
      <c r="D713" s="178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8"/>
    </row>
    <row r="714" spans="1:17" s="95" customFormat="1" x14ac:dyDescent="0.25">
      <c r="A714" s="176"/>
      <c r="B714" s="177"/>
      <c r="C714" s="177"/>
      <c r="D714" s="178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8"/>
    </row>
    <row r="715" spans="1:17" s="95" customFormat="1" x14ac:dyDescent="0.25">
      <c r="A715" s="176"/>
      <c r="B715" s="177"/>
      <c r="C715" s="177"/>
      <c r="D715" s="178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8"/>
    </row>
    <row r="716" spans="1:17" s="95" customFormat="1" x14ac:dyDescent="0.25">
      <c r="A716" s="176"/>
      <c r="B716" s="177"/>
      <c r="C716" s="177"/>
      <c r="D716" s="178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8"/>
    </row>
    <row r="717" spans="1:17" s="95" customFormat="1" x14ac:dyDescent="0.25">
      <c r="A717" s="176"/>
      <c r="B717" s="177"/>
      <c r="C717" s="177"/>
      <c r="D717" s="178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8"/>
    </row>
    <row r="718" spans="1:17" s="95" customFormat="1" x14ac:dyDescent="0.25">
      <c r="A718" s="176"/>
      <c r="B718" s="177"/>
      <c r="C718" s="177"/>
      <c r="D718" s="178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8"/>
    </row>
    <row r="719" spans="1:17" s="95" customFormat="1" x14ac:dyDescent="0.25">
      <c r="A719" s="176"/>
      <c r="B719" s="177"/>
      <c r="C719" s="177"/>
      <c r="D719" s="178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8"/>
    </row>
    <row r="720" spans="1:17" s="95" customFormat="1" x14ac:dyDescent="0.25">
      <c r="A720" s="176"/>
      <c r="B720" s="177"/>
      <c r="C720" s="177"/>
      <c r="D720" s="178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8"/>
    </row>
    <row r="721" spans="1:17" s="95" customFormat="1" x14ac:dyDescent="0.25">
      <c r="A721" s="176"/>
      <c r="B721" s="177"/>
      <c r="C721" s="177"/>
      <c r="D721" s="178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8"/>
    </row>
    <row r="722" spans="1:17" s="95" customFormat="1" x14ac:dyDescent="0.25">
      <c r="A722" s="176"/>
      <c r="B722" s="177"/>
      <c r="C722" s="177"/>
      <c r="D722" s="178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8"/>
    </row>
    <row r="723" spans="1:17" s="95" customFormat="1" x14ac:dyDescent="0.25">
      <c r="A723" s="176"/>
      <c r="B723" s="177"/>
      <c r="C723" s="177"/>
      <c r="D723" s="178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8"/>
    </row>
    <row r="724" spans="1:17" s="95" customFormat="1" x14ac:dyDescent="0.25">
      <c r="A724" s="176"/>
      <c r="B724" s="177"/>
      <c r="C724" s="177"/>
      <c r="D724" s="178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8"/>
    </row>
    <row r="725" spans="1:17" s="95" customFormat="1" x14ac:dyDescent="0.25">
      <c r="A725" s="176"/>
      <c r="B725" s="177"/>
      <c r="C725" s="177"/>
      <c r="D725" s="178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8"/>
    </row>
    <row r="726" spans="1:17" s="95" customFormat="1" x14ac:dyDescent="0.25">
      <c r="A726" s="176"/>
      <c r="B726" s="177"/>
      <c r="C726" s="177"/>
      <c r="D726" s="178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8"/>
    </row>
    <row r="727" spans="1:17" s="95" customFormat="1" x14ac:dyDescent="0.25">
      <c r="A727" s="176"/>
      <c r="B727" s="177"/>
      <c r="C727" s="177"/>
      <c r="D727" s="178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8"/>
    </row>
    <row r="728" spans="1:17" s="95" customFormat="1" x14ac:dyDescent="0.25">
      <c r="A728" s="176"/>
      <c r="B728" s="177"/>
      <c r="C728" s="177"/>
      <c r="D728" s="178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8"/>
    </row>
    <row r="729" spans="1:17" s="95" customFormat="1" x14ac:dyDescent="0.25">
      <c r="A729" s="176"/>
      <c r="B729" s="177"/>
      <c r="C729" s="177"/>
      <c r="D729" s="178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8"/>
    </row>
    <row r="730" spans="1:17" s="95" customFormat="1" x14ac:dyDescent="0.25">
      <c r="A730" s="176"/>
      <c r="B730" s="177"/>
      <c r="C730" s="177"/>
      <c r="D730" s="178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8"/>
    </row>
    <row r="731" spans="1:17" s="95" customFormat="1" x14ac:dyDescent="0.25">
      <c r="A731" s="176"/>
      <c r="B731" s="177"/>
      <c r="C731" s="177"/>
      <c r="D731" s="178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8"/>
    </row>
    <row r="732" spans="1:17" s="95" customFormat="1" x14ac:dyDescent="0.25">
      <c r="A732" s="176"/>
      <c r="B732" s="177"/>
      <c r="C732" s="177"/>
      <c r="D732" s="178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8"/>
    </row>
    <row r="733" spans="1:17" s="95" customFormat="1" x14ac:dyDescent="0.25">
      <c r="A733" s="176"/>
      <c r="B733" s="177"/>
      <c r="C733" s="177"/>
      <c r="D733" s="178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8"/>
    </row>
    <row r="734" spans="1:17" s="95" customFormat="1" x14ac:dyDescent="0.25">
      <c r="A734" s="176"/>
      <c r="B734" s="177"/>
      <c r="C734" s="177"/>
      <c r="D734" s="178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8"/>
    </row>
    <row r="735" spans="1:17" s="95" customFormat="1" x14ac:dyDescent="0.25">
      <c r="A735" s="176"/>
      <c r="B735" s="177"/>
      <c r="C735" s="177"/>
      <c r="D735" s="178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8"/>
    </row>
    <row r="736" spans="1:17" s="95" customFormat="1" x14ac:dyDescent="0.25">
      <c r="A736" s="176"/>
      <c r="B736" s="177"/>
      <c r="C736" s="177"/>
      <c r="D736" s="178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8"/>
    </row>
    <row r="737" spans="1:17" s="95" customFormat="1" x14ac:dyDescent="0.25">
      <c r="A737" s="176"/>
      <c r="B737" s="177"/>
      <c r="C737" s="177"/>
      <c r="D737" s="178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8"/>
    </row>
    <row r="738" spans="1:17" s="95" customFormat="1" x14ac:dyDescent="0.25">
      <c r="A738" s="176"/>
      <c r="B738" s="177"/>
      <c r="C738" s="177"/>
      <c r="D738" s="178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8"/>
    </row>
    <row r="739" spans="1:17" s="95" customFormat="1" x14ac:dyDescent="0.25">
      <c r="A739" s="176"/>
      <c r="B739" s="177"/>
      <c r="C739" s="177"/>
      <c r="D739" s="178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8"/>
    </row>
    <row r="740" spans="1:17" s="95" customFormat="1" x14ac:dyDescent="0.25">
      <c r="A740" s="176"/>
      <c r="B740" s="177"/>
      <c r="C740" s="177"/>
      <c r="D740" s="178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8"/>
    </row>
    <row r="741" spans="1:17" s="95" customFormat="1" x14ac:dyDescent="0.25">
      <c r="A741" s="176"/>
      <c r="B741" s="177"/>
      <c r="C741" s="177"/>
      <c r="D741" s="178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8"/>
    </row>
    <row r="742" spans="1:17" s="95" customFormat="1" x14ac:dyDescent="0.25">
      <c r="A742" s="176"/>
      <c r="B742" s="177"/>
      <c r="C742" s="177"/>
      <c r="D742" s="178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8"/>
    </row>
    <row r="743" spans="1:17" s="95" customFormat="1" x14ac:dyDescent="0.25">
      <c r="A743" s="176"/>
      <c r="B743" s="177"/>
      <c r="C743" s="177"/>
      <c r="D743" s="178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8"/>
    </row>
    <row r="744" spans="1:17" s="95" customFormat="1" x14ac:dyDescent="0.25">
      <c r="A744" s="176"/>
      <c r="B744" s="177"/>
      <c r="C744" s="177"/>
      <c r="D744" s="178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8"/>
    </row>
    <row r="745" spans="1:17" s="95" customFormat="1" x14ac:dyDescent="0.25">
      <c r="A745" s="176"/>
      <c r="B745" s="177"/>
      <c r="C745" s="177"/>
      <c r="D745" s="178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8"/>
    </row>
    <row r="746" spans="1:17" s="95" customFormat="1" x14ac:dyDescent="0.25">
      <c r="A746" s="176"/>
      <c r="B746" s="177"/>
      <c r="C746" s="177"/>
      <c r="D746" s="178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8"/>
    </row>
    <row r="747" spans="1:17" s="95" customFormat="1" x14ac:dyDescent="0.25">
      <c r="A747" s="176"/>
      <c r="B747" s="177"/>
      <c r="C747" s="177"/>
      <c r="D747" s="178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8"/>
    </row>
    <row r="748" spans="1:17" s="95" customFormat="1" x14ac:dyDescent="0.25">
      <c r="A748" s="176"/>
      <c r="B748" s="177"/>
      <c r="C748" s="177"/>
      <c r="D748" s="178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8"/>
    </row>
    <row r="749" spans="1:17" s="95" customFormat="1" x14ac:dyDescent="0.25">
      <c r="A749" s="176"/>
      <c r="B749" s="177"/>
      <c r="C749" s="177"/>
      <c r="D749" s="178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8"/>
    </row>
    <row r="750" spans="1:17" s="95" customFormat="1" x14ac:dyDescent="0.25">
      <c r="A750" s="176"/>
      <c r="B750" s="177"/>
      <c r="C750" s="177"/>
      <c r="D750" s="178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8"/>
    </row>
    <row r="751" spans="1:17" s="95" customFormat="1" x14ac:dyDescent="0.25">
      <c r="A751" s="176"/>
      <c r="B751" s="177"/>
      <c r="C751" s="177"/>
      <c r="D751" s="178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8"/>
    </row>
    <row r="752" spans="1:17" s="95" customFormat="1" x14ac:dyDescent="0.25">
      <c r="A752" s="176"/>
      <c r="B752" s="177"/>
      <c r="C752" s="177"/>
      <c r="D752" s="178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8"/>
    </row>
    <row r="753" spans="1:17" s="95" customFormat="1" x14ac:dyDescent="0.25">
      <c r="A753" s="176"/>
      <c r="B753" s="177"/>
      <c r="C753" s="177"/>
      <c r="D753" s="178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8"/>
    </row>
    <row r="754" spans="1:17" s="95" customFormat="1" x14ac:dyDescent="0.25">
      <c r="A754" s="176"/>
      <c r="B754" s="177"/>
      <c r="C754" s="177"/>
      <c r="D754" s="178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8"/>
    </row>
    <row r="755" spans="1:17" s="95" customFormat="1" x14ac:dyDescent="0.25">
      <c r="A755" s="176"/>
      <c r="B755" s="177"/>
      <c r="C755" s="177"/>
      <c r="D755" s="178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8"/>
    </row>
    <row r="756" spans="1:17" s="95" customFormat="1" x14ac:dyDescent="0.25">
      <c r="A756" s="176"/>
      <c r="B756" s="177"/>
      <c r="C756" s="177"/>
      <c r="D756" s="178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8"/>
    </row>
    <row r="757" spans="1:17" s="95" customFormat="1" x14ac:dyDescent="0.25">
      <c r="A757" s="176"/>
      <c r="B757" s="177"/>
      <c r="C757" s="177"/>
      <c r="D757" s="178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8"/>
    </row>
    <row r="758" spans="1:17" s="95" customFormat="1" x14ac:dyDescent="0.25">
      <c r="A758" s="176"/>
      <c r="B758" s="177"/>
      <c r="C758" s="177"/>
      <c r="D758" s="178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8"/>
    </row>
    <row r="759" spans="1:17" s="95" customFormat="1" x14ac:dyDescent="0.25">
      <c r="A759" s="176"/>
      <c r="B759" s="177"/>
      <c r="C759" s="177"/>
      <c r="D759" s="178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8"/>
    </row>
    <row r="760" spans="1:17" s="95" customFormat="1" x14ac:dyDescent="0.25">
      <c r="A760" s="176"/>
      <c r="B760" s="177"/>
      <c r="C760" s="177"/>
      <c r="D760" s="178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8"/>
    </row>
    <row r="761" spans="1:17" s="95" customFormat="1" x14ac:dyDescent="0.25">
      <c r="A761" s="176"/>
      <c r="B761" s="177"/>
      <c r="C761" s="177"/>
      <c r="D761" s="178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8"/>
    </row>
    <row r="762" spans="1:17" s="95" customFormat="1" x14ac:dyDescent="0.25">
      <c r="A762" s="176"/>
      <c r="B762" s="177"/>
      <c r="C762" s="177"/>
      <c r="D762" s="178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8"/>
    </row>
    <row r="763" spans="1:17" s="95" customFormat="1" x14ac:dyDescent="0.25">
      <c r="A763" s="176"/>
      <c r="B763" s="177"/>
      <c r="C763" s="177"/>
      <c r="D763" s="178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8"/>
    </row>
    <row r="764" spans="1:17" s="95" customFormat="1" x14ac:dyDescent="0.25">
      <c r="A764" s="176"/>
      <c r="B764" s="177"/>
      <c r="C764" s="177"/>
      <c r="D764" s="178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8"/>
    </row>
    <row r="765" spans="1:17" s="95" customFormat="1" x14ac:dyDescent="0.25">
      <c r="A765" s="176"/>
      <c r="B765" s="177"/>
      <c r="C765" s="177"/>
      <c r="D765" s="178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8"/>
    </row>
    <row r="766" spans="1:17" s="95" customFormat="1" x14ac:dyDescent="0.25">
      <c r="A766" s="176"/>
      <c r="B766" s="177"/>
      <c r="C766" s="177"/>
      <c r="D766" s="178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8"/>
    </row>
    <row r="767" spans="1:17" s="95" customFormat="1" x14ac:dyDescent="0.25">
      <c r="A767" s="176"/>
      <c r="B767" s="177"/>
      <c r="C767" s="177"/>
      <c r="D767" s="178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8"/>
    </row>
    <row r="768" spans="1:17" s="95" customFormat="1" x14ac:dyDescent="0.25">
      <c r="A768" s="176"/>
      <c r="B768" s="177"/>
      <c r="C768" s="177"/>
      <c r="D768" s="178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8"/>
    </row>
    <row r="769" spans="1:17" s="95" customFormat="1" x14ac:dyDescent="0.25">
      <c r="A769" s="176"/>
      <c r="B769" s="177"/>
      <c r="C769" s="177"/>
      <c r="D769" s="178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8"/>
    </row>
    <row r="770" spans="1:17" s="95" customFormat="1" x14ac:dyDescent="0.25">
      <c r="A770" s="176"/>
      <c r="B770" s="177"/>
      <c r="C770" s="177"/>
      <c r="D770" s="178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8"/>
    </row>
    <row r="771" spans="1:17" s="95" customFormat="1" x14ac:dyDescent="0.25">
      <c r="A771" s="176"/>
      <c r="B771" s="177"/>
      <c r="C771" s="177"/>
      <c r="D771" s="178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8"/>
    </row>
    <row r="772" spans="1:17" s="95" customFormat="1" x14ac:dyDescent="0.25">
      <c r="A772" s="176"/>
      <c r="B772" s="177"/>
      <c r="C772" s="177"/>
      <c r="D772" s="178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8"/>
    </row>
    <row r="773" spans="1:17" s="95" customFormat="1" x14ac:dyDescent="0.25">
      <c r="A773" s="176"/>
      <c r="B773" s="177"/>
      <c r="C773" s="177"/>
      <c r="D773" s="178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8"/>
    </row>
    <row r="774" spans="1:17" s="95" customFormat="1" x14ac:dyDescent="0.25">
      <c r="A774" s="176"/>
      <c r="B774" s="177"/>
      <c r="C774" s="177"/>
      <c r="D774" s="178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8"/>
    </row>
    <row r="775" spans="1:17" s="95" customFormat="1" x14ac:dyDescent="0.25">
      <c r="A775" s="176"/>
      <c r="B775" s="177"/>
      <c r="C775" s="177"/>
      <c r="D775" s="178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8"/>
    </row>
    <row r="776" spans="1:17" s="95" customFormat="1" x14ac:dyDescent="0.25">
      <c r="A776" s="176"/>
      <c r="B776" s="177"/>
      <c r="C776" s="177"/>
      <c r="D776" s="178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8"/>
    </row>
    <row r="777" spans="1:17" s="95" customFormat="1" x14ac:dyDescent="0.25">
      <c r="A777" s="176"/>
      <c r="B777" s="177"/>
      <c r="C777" s="177"/>
      <c r="D777" s="178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8"/>
    </row>
    <row r="778" spans="1:17" s="95" customFormat="1" x14ac:dyDescent="0.25">
      <c r="A778" s="176"/>
      <c r="B778" s="177"/>
      <c r="C778" s="177"/>
      <c r="D778" s="178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8"/>
    </row>
    <row r="779" spans="1:17" s="95" customFormat="1" x14ac:dyDescent="0.25">
      <c r="A779" s="176"/>
      <c r="B779" s="177"/>
      <c r="C779" s="177"/>
      <c r="D779" s="178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8"/>
    </row>
    <row r="780" spans="1:17" s="95" customFormat="1" x14ac:dyDescent="0.25">
      <c r="A780" s="176"/>
      <c r="B780" s="177"/>
      <c r="C780" s="177"/>
      <c r="D780" s="178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8"/>
    </row>
    <row r="781" spans="1:17" s="95" customFormat="1" x14ac:dyDescent="0.25">
      <c r="A781" s="176"/>
      <c r="B781" s="177"/>
      <c r="C781" s="177"/>
      <c r="D781" s="178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8"/>
    </row>
    <row r="782" spans="1:17" s="95" customFormat="1" x14ac:dyDescent="0.25">
      <c r="A782" s="176"/>
      <c r="B782" s="177"/>
      <c r="C782" s="177"/>
      <c r="D782" s="178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8"/>
    </row>
    <row r="783" spans="1:17" s="95" customFormat="1" x14ac:dyDescent="0.25">
      <c r="A783" s="176"/>
      <c r="B783" s="177"/>
      <c r="C783" s="177"/>
      <c r="D783" s="178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8"/>
    </row>
    <row r="784" spans="1:17" s="95" customFormat="1" x14ac:dyDescent="0.25">
      <c r="A784" s="176"/>
      <c r="B784" s="177"/>
      <c r="C784" s="177"/>
      <c r="D784" s="178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8"/>
    </row>
    <row r="785" spans="1:17" s="95" customFormat="1" x14ac:dyDescent="0.25">
      <c r="A785" s="176"/>
      <c r="B785" s="177"/>
      <c r="C785" s="177"/>
      <c r="D785" s="178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8"/>
    </row>
    <row r="786" spans="1:17" s="95" customFormat="1" x14ac:dyDescent="0.25">
      <c r="A786" s="176"/>
      <c r="B786" s="177"/>
      <c r="C786" s="177"/>
      <c r="D786" s="178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8"/>
    </row>
    <row r="787" spans="1:17" s="95" customFormat="1" x14ac:dyDescent="0.25">
      <c r="A787" s="176"/>
      <c r="B787" s="177"/>
      <c r="C787" s="177"/>
      <c r="D787" s="178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8"/>
    </row>
    <row r="788" spans="1:17" s="95" customFormat="1" x14ac:dyDescent="0.25">
      <c r="A788" s="176"/>
      <c r="B788" s="177"/>
      <c r="C788" s="177"/>
      <c r="D788" s="178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8"/>
    </row>
    <row r="789" spans="1:17" s="95" customFormat="1" x14ac:dyDescent="0.25">
      <c r="A789" s="176"/>
      <c r="B789" s="177"/>
      <c r="C789" s="177"/>
      <c r="D789" s="178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8"/>
    </row>
    <row r="790" spans="1:17" s="95" customFormat="1" x14ac:dyDescent="0.25">
      <c r="A790" s="176"/>
      <c r="B790" s="177"/>
      <c r="C790" s="177"/>
      <c r="D790" s="178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8"/>
    </row>
    <row r="791" spans="1:17" s="95" customFormat="1" x14ac:dyDescent="0.25">
      <c r="A791" s="176"/>
      <c r="B791" s="177"/>
      <c r="C791" s="177"/>
      <c r="D791" s="178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8"/>
    </row>
    <row r="792" spans="1:17" s="95" customFormat="1" x14ac:dyDescent="0.25">
      <c r="A792" s="176"/>
      <c r="B792" s="177"/>
      <c r="C792" s="177"/>
      <c r="D792" s="178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8"/>
    </row>
    <row r="793" spans="1:17" s="95" customFormat="1" x14ac:dyDescent="0.25">
      <c r="A793" s="176"/>
      <c r="B793" s="177"/>
      <c r="C793" s="177"/>
      <c r="D793" s="178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8"/>
    </row>
    <row r="794" spans="1:17" s="95" customFormat="1" x14ac:dyDescent="0.25">
      <c r="A794" s="176"/>
      <c r="B794" s="177"/>
      <c r="C794" s="177"/>
      <c r="D794" s="178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8"/>
    </row>
    <row r="795" spans="1:17" s="95" customFormat="1" x14ac:dyDescent="0.25">
      <c r="A795" s="176"/>
      <c r="B795" s="177"/>
      <c r="C795" s="177"/>
      <c r="D795" s="178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8"/>
    </row>
    <row r="796" spans="1:17" s="95" customFormat="1" x14ac:dyDescent="0.25">
      <c r="A796" s="176"/>
      <c r="B796" s="177"/>
      <c r="C796" s="177"/>
      <c r="D796" s="178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8"/>
    </row>
    <row r="797" spans="1:17" s="95" customFormat="1" x14ac:dyDescent="0.25">
      <c r="A797" s="176"/>
      <c r="B797" s="177"/>
      <c r="C797" s="177"/>
      <c r="D797" s="178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8"/>
    </row>
    <row r="798" spans="1:17" s="95" customFormat="1" x14ac:dyDescent="0.25">
      <c r="A798" s="176"/>
      <c r="B798" s="177"/>
      <c r="C798" s="177"/>
      <c r="D798" s="178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8"/>
    </row>
    <row r="799" spans="1:17" s="95" customFormat="1" x14ac:dyDescent="0.25">
      <c r="A799" s="176"/>
      <c r="B799" s="177"/>
      <c r="C799" s="177"/>
      <c r="D799" s="178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8"/>
    </row>
    <row r="800" spans="1:17" s="95" customFormat="1" x14ac:dyDescent="0.25">
      <c r="A800" s="176"/>
      <c r="B800" s="177"/>
      <c r="C800" s="177"/>
      <c r="D800" s="178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8"/>
    </row>
    <row r="801" spans="1:17" s="95" customFormat="1" x14ac:dyDescent="0.25">
      <c r="A801" s="176"/>
      <c r="B801" s="177"/>
      <c r="C801" s="177"/>
      <c r="D801" s="178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8"/>
    </row>
    <row r="802" spans="1:17" s="95" customFormat="1" x14ac:dyDescent="0.25">
      <c r="A802" s="176"/>
      <c r="B802" s="177"/>
      <c r="C802" s="177"/>
      <c r="D802" s="178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8"/>
    </row>
    <row r="803" spans="1:17" s="95" customFormat="1" x14ac:dyDescent="0.25">
      <c r="A803" s="176"/>
      <c r="B803" s="177"/>
      <c r="C803" s="177"/>
      <c r="D803" s="178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8"/>
    </row>
    <row r="804" spans="1:17" s="95" customFormat="1" x14ac:dyDescent="0.25">
      <c r="A804" s="176"/>
      <c r="B804" s="177"/>
      <c r="C804" s="177"/>
      <c r="D804" s="178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8"/>
    </row>
    <row r="805" spans="1:17" s="95" customFormat="1" x14ac:dyDescent="0.25">
      <c r="A805" s="176"/>
      <c r="B805" s="177"/>
      <c r="C805" s="177"/>
      <c r="D805" s="178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8"/>
    </row>
    <row r="806" spans="1:17" s="95" customFormat="1" x14ac:dyDescent="0.25">
      <c r="A806" s="176"/>
      <c r="B806" s="177"/>
      <c r="C806" s="177"/>
      <c r="D806" s="178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8"/>
    </row>
    <row r="807" spans="1:17" s="95" customFormat="1" x14ac:dyDescent="0.25">
      <c r="A807" s="176"/>
      <c r="B807" s="177"/>
      <c r="C807" s="177"/>
      <c r="D807" s="178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8"/>
    </row>
    <row r="808" spans="1:17" s="95" customFormat="1" x14ac:dyDescent="0.25">
      <c r="A808" s="176"/>
      <c r="B808" s="177"/>
      <c r="C808" s="177"/>
      <c r="D808" s="178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8"/>
    </row>
    <row r="809" spans="1:17" s="95" customFormat="1" x14ac:dyDescent="0.25">
      <c r="A809" s="176"/>
      <c r="B809" s="177"/>
      <c r="C809" s="177"/>
      <c r="D809" s="178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8"/>
    </row>
    <row r="810" spans="1:17" s="95" customFormat="1" x14ac:dyDescent="0.25">
      <c r="A810" s="176"/>
      <c r="B810" s="177"/>
      <c r="C810" s="177"/>
      <c r="D810" s="178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8"/>
    </row>
    <row r="811" spans="1:17" s="95" customFormat="1" x14ac:dyDescent="0.25">
      <c r="A811" s="176"/>
      <c r="B811" s="177"/>
      <c r="C811" s="177"/>
      <c r="D811" s="178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8"/>
    </row>
    <row r="812" spans="1:17" s="95" customFormat="1" x14ac:dyDescent="0.25">
      <c r="A812" s="176"/>
      <c r="B812" s="177"/>
      <c r="C812" s="177"/>
      <c r="D812" s="178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8"/>
    </row>
    <row r="813" spans="1:17" s="95" customFormat="1" x14ac:dyDescent="0.25">
      <c r="A813" s="176"/>
      <c r="B813" s="177"/>
      <c r="C813" s="177"/>
      <c r="D813" s="178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8"/>
    </row>
    <row r="814" spans="1:17" s="95" customFormat="1" x14ac:dyDescent="0.25">
      <c r="A814" s="176"/>
      <c r="B814" s="177"/>
      <c r="C814" s="177"/>
      <c r="D814" s="178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8"/>
    </row>
    <row r="815" spans="1:17" s="95" customFormat="1" x14ac:dyDescent="0.25">
      <c r="A815" s="176"/>
      <c r="B815" s="177"/>
      <c r="C815" s="177"/>
      <c r="D815" s="178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8"/>
    </row>
    <row r="816" spans="1:17" s="95" customFormat="1" x14ac:dyDescent="0.25">
      <c r="A816" s="176"/>
      <c r="B816" s="177"/>
      <c r="C816" s="177"/>
      <c r="D816" s="178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8"/>
    </row>
    <row r="817" spans="1:17" s="95" customFormat="1" x14ac:dyDescent="0.25">
      <c r="A817" s="176"/>
      <c r="B817" s="177"/>
      <c r="C817" s="177"/>
      <c r="D817" s="178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8"/>
    </row>
    <row r="818" spans="1:17" s="95" customFormat="1" x14ac:dyDescent="0.25">
      <c r="A818" s="176"/>
      <c r="B818" s="177"/>
      <c r="C818" s="177"/>
      <c r="D818" s="178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8"/>
    </row>
    <row r="819" spans="1:17" s="95" customFormat="1" x14ac:dyDescent="0.25">
      <c r="A819" s="176"/>
      <c r="B819" s="177"/>
      <c r="C819" s="177"/>
      <c r="D819" s="178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8"/>
    </row>
    <row r="820" spans="1:17" s="95" customFormat="1" x14ac:dyDescent="0.25">
      <c r="A820" s="176"/>
      <c r="B820" s="177"/>
      <c r="C820" s="177"/>
      <c r="D820" s="178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8"/>
    </row>
    <row r="821" spans="1:17" s="95" customFormat="1" x14ac:dyDescent="0.25">
      <c r="A821" s="176"/>
      <c r="B821" s="177"/>
      <c r="C821" s="177"/>
      <c r="D821" s="178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8"/>
    </row>
    <row r="822" spans="1:17" s="95" customFormat="1" x14ac:dyDescent="0.25">
      <c r="A822" s="176"/>
      <c r="B822" s="177"/>
      <c r="C822" s="177"/>
      <c r="D822" s="178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8"/>
    </row>
    <row r="823" spans="1:17" s="95" customFormat="1" x14ac:dyDescent="0.25">
      <c r="A823" s="176"/>
      <c r="B823" s="177"/>
      <c r="C823" s="177"/>
      <c r="D823" s="178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8"/>
    </row>
    <row r="824" spans="1:17" s="95" customFormat="1" x14ac:dyDescent="0.25">
      <c r="A824" s="176"/>
      <c r="B824" s="177"/>
      <c r="C824" s="177"/>
      <c r="D824" s="178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8"/>
    </row>
    <row r="825" spans="1:17" s="95" customFormat="1" x14ac:dyDescent="0.25">
      <c r="A825" s="176"/>
      <c r="B825" s="177"/>
      <c r="C825" s="177"/>
      <c r="D825" s="178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8"/>
    </row>
    <row r="826" spans="1:17" s="95" customFormat="1" x14ac:dyDescent="0.25">
      <c r="A826" s="176"/>
      <c r="B826" s="177"/>
      <c r="C826" s="177"/>
      <c r="D826" s="178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8"/>
    </row>
    <row r="827" spans="1:17" s="95" customFormat="1" x14ac:dyDescent="0.25">
      <c r="A827" s="176"/>
      <c r="B827" s="177"/>
      <c r="C827" s="177"/>
      <c r="D827" s="178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8"/>
    </row>
    <row r="828" spans="1:17" s="95" customFormat="1" x14ac:dyDescent="0.25">
      <c r="A828" s="176"/>
      <c r="B828" s="177"/>
      <c r="C828" s="177"/>
      <c r="D828" s="178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8"/>
    </row>
    <row r="829" spans="1:17" s="95" customFormat="1" x14ac:dyDescent="0.25">
      <c r="A829" s="176"/>
      <c r="B829" s="177"/>
      <c r="C829" s="177"/>
      <c r="D829" s="178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8"/>
    </row>
    <row r="830" spans="1:17" s="95" customFormat="1" x14ac:dyDescent="0.25">
      <c r="A830" s="176"/>
      <c r="B830" s="177"/>
      <c r="C830" s="177"/>
      <c r="D830" s="178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8"/>
    </row>
    <row r="831" spans="1:17" s="95" customFormat="1" x14ac:dyDescent="0.25">
      <c r="A831" s="176"/>
      <c r="B831" s="177"/>
      <c r="C831" s="177"/>
      <c r="D831" s="178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8"/>
    </row>
    <row r="832" spans="1:17" s="95" customFormat="1" x14ac:dyDescent="0.25">
      <c r="A832" s="176"/>
      <c r="B832" s="177"/>
      <c r="C832" s="177"/>
      <c r="D832" s="178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8"/>
    </row>
    <row r="833" spans="1:17" s="95" customFormat="1" x14ac:dyDescent="0.25">
      <c r="A833" s="176"/>
      <c r="B833" s="177"/>
      <c r="C833" s="177"/>
      <c r="D833" s="178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8"/>
    </row>
    <row r="834" spans="1:17" s="95" customFormat="1" x14ac:dyDescent="0.25">
      <c r="A834" s="176"/>
      <c r="B834" s="177"/>
      <c r="C834" s="177"/>
      <c r="D834" s="178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8"/>
    </row>
    <row r="835" spans="1:17" s="95" customFormat="1" x14ac:dyDescent="0.25">
      <c r="A835" s="176"/>
      <c r="B835" s="177"/>
      <c r="C835" s="177"/>
      <c r="D835" s="178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8"/>
    </row>
    <row r="836" spans="1:17" s="95" customFormat="1" x14ac:dyDescent="0.25">
      <c r="A836" s="176"/>
      <c r="B836" s="177"/>
      <c r="C836" s="177"/>
      <c r="D836" s="178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8"/>
    </row>
    <row r="837" spans="1:17" s="95" customFormat="1" x14ac:dyDescent="0.25">
      <c r="A837" s="176"/>
      <c r="B837" s="177"/>
      <c r="C837" s="177"/>
      <c r="D837" s="178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8"/>
    </row>
    <row r="838" spans="1:17" s="95" customFormat="1" x14ac:dyDescent="0.25">
      <c r="A838" s="176"/>
      <c r="B838" s="177"/>
      <c r="C838" s="177"/>
      <c r="D838" s="178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8"/>
    </row>
    <row r="839" spans="1:17" s="95" customFormat="1" x14ac:dyDescent="0.25">
      <c r="A839" s="176"/>
      <c r="B839" s="177"/>
      <c r="C839" s="177"/>
      <c r="D839" s="178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8"/>
    </row>
    <row r="840" spans="1:17" s="95" customFormat="1" x14ac:dyDescent="0.25">
      <c r="A840" s="176"/>
      <c r="B840" s="177"/>
      <c r="C840" s="177"/>
      <c r="D840" s="178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8"/>
    </row>
    <row r="841" spans="1:17" s="95" customFormat="1" x14ac:dyDescent="0.25">
      <c r="A841" s="176"/>
      <c r="B841" s="177"/>
      <c r="C841" s="177"/>
      <c r="D841" s="178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8"/>
    </row>
    <row r="842" spans="1:17" s="95" customFormat="1" x14ac:dyDescent="0.25">
      <c r="A842" s="176"/>
      <c r="B842" s="177"/>
      <c r="C842" s="177"/>
      <c r="D842" s="178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8"/>
    </row>
    <row r="843" spans="1:17" s="95" customFormat="1" x14ac:dyDescent="0.25">
      <c r="A843" s="176"/>
      <c r="B843" s="177"/>
      <c r="C843" s="177"/>
      <c r="D843" s="178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8"/>
    </row>
    <row r="844" spans="1:17" s="95" customFormat="1" x14ac:dyDescent="0.25">
      <c r="A844" s="176"/>
      <c r="B844" s="177"/>
      <c r="C844" s="177"/>
      <c r="D844" s="178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8"/>
    </row>
    <row r="845" spans="1:17" s="95" customFormat="1" x14ac:dyDescent="0.25">
      <c r="A845" s="176"/>
      <c r="B845" s="177"/>
      <c r="C845" s="177"/>
      <c r="D845" s="178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8"/>
    </row>
    <row r="846" spans="1:17" s="95" customFormat="1" x14ac:dyDescent="0.25">
      <c r="A846" s="176"/>
      <c r="B846" s="177"/>
      <c r="C846" s="177"/>
      <c r="D846" s="178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8"/>
    </row>
    <row r="847" spans="1:17" s="95" customFormat="1" x14ac:dyDescent="0.25">
      <c r="A847" s="176"/>
      <c r="B847" s="177"/>
      <c r="C847" s="177"/>
      <c r="D847" s="178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8"/>
    </row>
    <row r="848" spans="1:17" s="95" customFormat="1" x14ac:dyDescent="0.25">
      <c r="A848" s="176"/>
      <c r="B848" s="177"/>
      <c r="C848" s="177"/>
      <c r="D848" s="178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8"/>
    </row>
    <row r="849" spans="1:17" s="95" customFormat="1" x14ac:dyDescent="0.25">
      <c r="A849" s="176"/>
      <c r="B849" s="177"/>
      <c r="C849" s="177"/>
      <c r="D849" s="178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8"/>
    </row>
    <row r="850" spans="1:17" s="95" customFormat="1" x14ac:dyDescent="0.25">
      <c r="A850" s="176"/>
      <c r="B850" s="177"/>
      <c r="C850" s="177"/>
      <c r="D850" s="178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8"/>
    </row>
    <row r="851" spans="1:17" s="95" customFormat="1" x14ac:dyDescent="0.25">
      <c r="A851" s="176"/>
      <c r="B851" s="177"/>
      <c r="C851" s="177"/>
      <c r="D851" s="178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8"/>
    </row>
    <row r="852" spans="1:17" s="95" customFormat="1" x14ac:dyDescent="0.25">
      <c r="A852" s="176"/>
      <c r="B852" s="177"/>
      <c r="C852" s="177"/>
      <c r="D852" s="178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8"/>
    </row>
    <row r="853" spans="1:17" s="95" customFormat="1" x14ac:dyDescent="0.25">
      <c r="A853" s="176"/>
      <c r="B853" s="177"/>
      <c r="C853" s="177"/>
      <c r="D853" s="178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8"/>
    </row>
    <row r="854" spans="1:17" s="95" customFormat="1" x14ac:dyDescent="0.25">
      <c r="A854" s="176"/>
      <c r="B854" s="177"/>
      <c r="C854" s="177"/>
      <c r="D854" s="178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8"/>
    </row>
    <row r="855" spans="1:17" s="95" customFormat="1" x14ac:dyDescent="0.25">
      <c r="A855" s="176"/>
      <c r="B855" s="177"/>
      <c r="C855" s="177"/>
      <c r="D855" s="178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8"/>
    </row>
    <row r="856" spans="1:17" s="95" customFormat="1" x14ac:dyDescent="0.25">
      <c r="A856" s="176"/>
      <c r="B856" s="177"/>
      <c r="C856" s="177"/>
      <c r="D856" s="178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8"/>
    </row>
    <row r="857" spans="1:17" s="95" customFormat="1" x14ac:dyDescent="0.25">
      <c r="A857" s="176"/>
      <c r="B857" s="177"/>
      <c r="C857" s="177"/>
      <c r="D857" s="178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8"/>
    </row>
    <row r="858" spans="1:17" s="95" customFormat="1" x14ac:dyDescent="0.25">
      <c r="A858" s="176"/>
      <c r="B858" s="177"/>
      <c r="C858" s="177"/>
      <c r="D858" s="178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8"/>
    </row>
    <row r="859" spans="1:17" s="95" customFormat="1" x14ac:dyDescent="0.25">
      <c r="A859" s="176"/>
      <c r="B859" s="177"/>
      <c r="C859" s="177"/>
      <c r="D859" s="178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8"/>
    </row>
    <row r="860" spans="1:17" s="95" customFormat="1" x14ac:dyDescent="0.25">
      <c r="A860" s="176"/>
      <c r="B860" s="177"/>
      <c r="C860" s="177"/>
      <c r="D860" s="178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8"/>
    </row>
    <row r="861" spans="1:17" s="95" customFormat="1" x14ac:dyDescent="0.25">
      <c r="A861" s="176"/>
      <c r="B861" s="177"/>
      <c r="C861" s="177"/>
      <c r="D861" s="178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8"/>
    </row>
    <row r="862" spans="1:17" s="95" customFormat="1" x14ac:dyDescent="0.25">
      <c r="A862" s="176"/>
      <c r="B862" s="177"/>
      <c r="C862" s="177"/>
      <c r="D862" s="178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8"/>
    </row>
    <row r="863" spans="1:17" s="95" customFormat="1" x14ac:dyDescent="0.25">
      <c r="A863" s="176"/>
      <c r="B863" s="177"/>
      <c r="C863" s="177"/>
      <c r="D863" s="178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8"/>
    </row>
    <row r="864" spans="1:17" s="95" customFormat="1" x14ac:dyDescent="0.25">
      <c r="A864" s="176"/>
      <c r="B864" s="177"/>
      <c r="C864" s="177"/>
      <c r="D864" s="178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8"/>
    </row>
    <row r="865" spans="1:17" s="95" customFormat="1" x14ac:dyDescent="0.25">
      <c r="A865" s="176"/>
      <c r="B865" s="177"/>
      <c r="C865" s="177"/>
      <c r="D865" s="178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8"/>
    </row>
    <row r="866" spans="1:17" s="95" customFormat="1" x14ac:dyDescent="0.25">
      <c r="A866" s="176"/>
      <c r="B866" s="177"/>
      <c r="C866" s="177"/>
      <c r="D866" s="178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8"/>
    </row>
    <row r="867" spans="1:17" s="95" customFormat="1" x14ac:dyDescent="0.25">
      <c r="A867" s="176"/>
      <c r="B867" s="177"/>
      <c r="C867" s="177"/>
      <c r="D867" s="178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8"/>
    </row>
    <row r="868" spans="1:17" s="95" customFormat="1" x14ac:dyDescent="0.25">
      <c r="A868" s="176"/>
      <c r="B868" s="177"/>
      <c r="C868" s="177"/>
      <c r="D868" s="178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8"/>
    </row>
    <row r="869" spans="1:17" s="95" customFormat="1" x14ac:dyDescent="0.25">
      <c r="A869" s="176"/>
      <c r="B869" s="177"/>
      <c r="C869" s="177"/>
      <c r="D869" s="178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8"/>
    </row>
    <row r="870" spans="1:17" s="95" customFormat="1" x14ac:dyDescent="0.25">
      <c r="A870" s="176"/>
      <c r="B870" s="177"/>
      <c r="C870" s="177"/>
      <c r="D870" s="178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8"/>
    </row>
    <row r="871" spans="1:17" s="95" customFormat="1" x14ac:dyDescent="0.25">
      <c r="A871" s="176"/>
      <c r="B871" s="177"/>
      <c r="C871" s="177"/>
      <c r="D871" s="178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8"/>
    </row>
    <row r="872" spans="1:17" s="95" customFormat="1" x14ac:dyDescent="0.25">
      <c r="A872" s="176"/>
      <c r="B872" s="177"/>
      <c r="C872" s="177"/>
      <c r="D872" s="178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8"/>
    </row>
    <row r="873" spans="1:17" s="95" customFormat="1" x14ac:dyDescent="0.25">
      <c r="A873" s="176"/>
      <c r="B873" s="177"/>
      <c r="C873" s="177"/>
      <c r="D873" s="178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8"/>
    </row>
    <row r="874" spans="1:17" s="95" customFormat="1" x14ac:dyDescent="0.25">
      <c r="A874" s="176"/>
      <c r="B874" s="177"/>
      <c r="C874" s="177"/>
      <c r="D874" s="178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8"/>
    </row>
    <row r="875" spans="1:17" s="95" customFormat="1" x14ac:dyDescent="0.25">
      <c r="A875" s="176"/>
      <c r="B875" s="177"/>
      <c r="C875" s="177"/>
      <c r="D875" s="178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8"/>
    </row>
    <row r="876" spans="1:17" s="95" customFormat="1" x14ac:dyDescent="0.25">
      <c r="A876" s="176"/>
      <c r="B876" s="177"/>
      <c r="C876" s="177"/>
      <c r="D876" s="178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8"/>
    </row>
    <row r="877" spans="1:17" s="95" customFormat="1" x14ac:dyDescent="0.25">
      <c r="A877" s="176"/>
      <c r="B877" s="177"/>
      <c r="C877" s="177"/>
      <c r="D877" s="178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8"/>
    </row>
    <row r="878" spans="1:17" s="95" customFormat="1" x14ac:dyDescent="0.25">
      <c r="A878" s="176"/>
      <c r="B878" s="177"/>
      <c r="C878" s="177"/>
      <c r="D878" s="178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8"/>
    </row>
    <row r="879" spans="1:17" s="95" customFormat="1" x14ac:dyDescent="0.25">
      <c r="A879" s="176"/>
      <c r="B879" s="177"/>
      <c r="C879" s="177"/>
      <c r="D879" s="178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8"/>
    </row>
    <row r="880" spans="1:17" s="95" customFormat="1" x14ac:dyDescent="0.25">
      <c r="A880" s="176"/>
      <c r="B880" s="177"/>
      <c r="C880" s="177"/>
      <c r="D880" s="178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8"/>
    </row>
    <row r="881" spans="1:17" s="95" customFormat="1" x14ac:dyDescent="0.25">
      <c r="A881" s="176"/>
      <c r="B881" s="177"/>
      <c r="C881" s="177"/>
      <c r="D881" s="178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8"/>
    </row>
    <row r="882" spans="1:17" s="95" customFormat="1" x14ac:dyDescent="0.25">
      <c r="A882" s="176"/>
      <c r="B882" s="177"/>
      <c r="C882" s="177"/>
      <c r="D882" s="178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8"/>
    </row>
    <row r="883" spans="1:17" s="95" customFormat="1" x14ac:dyDescent="0.25">
      <c r="A883" s="176"/>
      <c r="B883" s="177"/>
      <c r="C883" s="177"/>
      <c r="D883" s="178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8"/>
    </row>
    <row r="884" spans="1:17" s="95" customFormat="1" x14ac:dyDescent="0.25">
      <c r="A884" s="176"/>
      <c r="B884" s="177"/>
      <c r="C884" s="177"/>
      <c r="D884" s="178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8"/>
    </row>
    <row r="885" spans="1:17" s="95" customFormat="1" x14ac:dyDescent="0.25">
      <c r="A885" s="176"/>
      <c r="B885" s="177"/>
      <c r="C885" s="177"/>
      <c r="D885" s="178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8"/>
    </row>
    <row r="886" spans="1:17" s="95" customFormat="1" x14ac:dyDescent="0.25">
      <c r="A886" s="176"/>
      <c r="B886" s="177"/>
      <c r="C886" s="177"/>
      <c r="D886" s="178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8"/>
    </row>
    <row r="887" spans="1:17" s="95" customFormat="1" x14ac:dyDescent="0.25">
      <c r="A887" s="176"/>
      <c r="B887" s="177"/>
      <c r="C887" s="177"/>
      <c r="D887" s="178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8"/>
    </row>
    <row r="888" spans="1:17" s="95" customFormat="1" x14ac:dyDescent="0.25">
      <c r="A888" s="176"/>
      <c r="B888" s="177"/>
      <c r="C888" s="177"/>
      <c r="D888" s="178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8"/>
    </row>
    <row r="889" spans="1:17" s="95" customFormat="1" x14ac:dyDescent="0.25">
      <c r="A889" s="176"/>
      <c r="B889" s="177"/>
      <c r="C889" s="177"/>
      <c r="D889" s="178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8"/>
    </row>
    <row r="890" spans="1:17" s="95" customFormat="1" x14ac:dyDescent="0.25">
      <c r="A890" s="176"/>
      <c r="B890" s="177"/>
      <c r="C890" s="177"/>
      <c r="D890" s="178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8"/>
    </row>
    <row r="891" spans="1:17" s="95" customFormat="1" x14ac:dyDescent="0.25">
      <c r="A891" s="176"/>
      <c r="B891" s="177"/>
      <c r="C891" s="177"/>
      <c r="D891" s="178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8"/>
    </row>
    <row r="892" spans="1:17" s="95" customFormat="1" x14ac:dyDescent="0.25">
      <c r="A892" s="176"/>
      <c r="B892" s="177"/>
      <c r="C892" s="177"/>
      <c r="D892" s="178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8"/>
    </row>
    <row r="893" spans="1:17" s="95" customFormat="1" x14ac:dyDescent="0.25">
      <c r="A893" s="176"/>
      <c r="B893" s="177"/>
      <c r="C893" s="177"/>
      <c r="D893" s="178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8"/>
    </row>
    <row r="894" spans="1:17" s="95" customFormat="1" x14ac:dyDescent="0.25">
      <c r="A894" s="176"/>
      <c r="B894" s="177"/>
      <c r="C894" s="177"/>
      <c r="D894" s="178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8"/>
    </row>
    <row r="895" spans="1:17" s="95" customFormat="1" x14ac:dyDescent="0.25">
      <c r="A895" s="176"/>
      <c r="B895" s="177"/>
      <c r="C895" s="177"/>
      <c r="D895" s="178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8"/>
    </row>
    <row r="896" spans="1:17" s="95" customFormat="1" x14ac:dyDescent="0.25">
      <c r="A896" s="176"/>
      <c r="B896" s="177"/>
      <c r="C896" s="177"/>
      <c r="D896" s="178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8"/>
    </row>
    <row r="897" spans="1:17" s="95" customFormat="1" x14ac:dyDescent="0.25">
      <c r="A897" s="176"/>
      <c r="B897" s="177"/>
      <c r="C897" s="177"/>
      <c r="D897" s="178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8"/>
    </row>
    <row r="898" spans="1:17" s="95" customFormat="1" x14ac:dyDescent="0.25">
      <c r="A898" s="176"/>
      <c r="B898" s="177"/>
      <c r="C898" s="177"/>
      <c r="D898" s="178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8"/>
    </row>
    <row r="899" spans="1:17" s="95" customFormat="1" x14ac:dyDescent="0.25">
      <c r="A899" s="176"/>
      <c r="B899" s="177"/>
      <c r="C899" s="177"/>
      <c r="D899" s="178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8"/>
    </row>
    <row r="900" spans="1:17" s="95" customFormat="1" x14ac:dyDescent="0.25">
      <c r="A900" s="176"/>
      <c r="B900" s="177"/>
      <c r="C900" s="177"/>
      <c r="D900" s="178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8"/>
    </row>
    <row r="901" spans="1:17" s="95" customFormat="1" x14ac:dyDescent="0.25">
      <c r="A901" s="176"/>
      <c r="B901" s="177"/>
      <c r="C901" s="177"/>
      <c r="D901" s="178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8"/>
    </row>
    <row r="902" spans="1:17" s="95" customFormat="1" x14ac:dyDescent="0.25">
      <c r="A902" s="176"/>
      <c r="B902" s="177"/>
      <c r="C902" s="177"/>
      <c r="D902" s="178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8"/>
    </row>
    <row r="903" spans="1:17" s="95" customFormat="1" x14ac:dyDescent="0.25">
      <c r="A903" s="176"/>
      <c r="B903" s="177"/>
      <c r="C903" s="177"/>
      <c r="D903" s="178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8"/>
    </row>
    <row r="904" spans="1:17" s="95" customFormat="1" x14ac:dyDescent="0.25">
      <c r="A904" s="176"/>
      <c r="B904" s="177"/>
      <c r="C904" s="177"/>
      <c r="D904" s="178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8"/>
    </row>
    <row r="905" spans="1:17" s="95" customFormat="1" x14ac:dyDescent="0.25">
      <c r="A905" s="176"/>
      <c r="B905" s="177"/>
      <c r="C905" s="177"/>
      <c r="D905" s="178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8"/>
    </row>
    <row r="906" spans="1:17" s="95" customFormat="1" x14ac:dyDescent="0.25">
      <c r="A906" s="176"/>
      <c r="B906" s="177"/>
      <c r="C906" s="177"/>
      <c r="D906" s="178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8"/>
    </row>
    <row r="907" spans="1:17" s="95" customFormat="1" x14ac:dyDescent="0.25">
      <c r="A907" s="176"/>
      <c r="B907" s="177"/>
      <c r="C907" s="177"/>
      <c r="D907" s="178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8"/>
    </row>
    <row r="908" spans="1:17" s="95" customFormat="1" x14ac:dyDescent="0.25">
      <c r="A908" s="176"/>
      <c r="B908" s="177"/>
      <c r="C908" s="177"/>
      <c r="D908" s="178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8"/>
    </row>
    <row r="909" spans="1:17" s="95" customFormat="1" x14ac:dyDescent="0.25">
      <c r="A909" s="176"/>
      <c r="B909" s="177"/>
      <c r="C909" s="177"/>
      <c r="D909" s="178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8"/>
    </row>
    <row r="910" spans="1:17" s="95" customFormat="1" x14ac:dyDescent="0.25">
      <c r="A910" s="176"/>
      <c r="B910" s="177"/>
      <c r="C910" s="177"/>
      <c r="D910" s="178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8"/>
    </row>
    <row r="911" spans="1:17" s="95" customFormat="1" x14ac:dyDescent="0.25">
      <c r="A911" s="176"/>
      <c r="B911" s="177"/>
      <c r="C911" s="177"/>
      <c r="D911" s="178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8"/>
    </row>
    <row r="912" spans="1:17" s="95" customFormat="1" x14ac:dyDescent="0.25">
      <c r="A912" s="176"/>
      <c r="B912" s="177"/>
      <c r="C912" s="177"/>
      <c r="D912" s="178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8"/>
    </row>
    <row r="913" spans="1:17" s="95" customFormat="1" x14ac:dyDescent="0.25">
      <c r="A913" s="176"/>
      <c r="B913" s="177"/>
      <c r="C913" s="177"/>
      <c r="D913" s="178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8"/>
    </row>
    <row r="914" spans="1:17" s="95" customFormat="1" x14ac:dyDescent="0.25">
      <c r="A914" s="176"/>
      <c r="B914" s="177"/>
      <c r="C914" s="177"/>
      <c r="D914" s="178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8"/>
    </row>
    <row r="915" spans="1:17" s="95" customFormat="1" x14ac:dyDescent="0.25">
      <c r="A915" s="176"/>
      <c r="B915" s="177"/>
      <c r="C915" s="177"/>
      <c r="D915" s="178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8"/>
    </row>
    <row r="916" spans="1:17" s="95" customFormat="1" x14ac:dyDescent="0.25">
      <c r="A916" s="176"/>
      <c r="B916" s="177"/>
      <c r="C916" s="177"/>
      <c r="D916" s="178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8"/>
    </row>
    <row r="917" spans="1:17" s="95" customFormat="1" x14ac:dyDescent="0.25">
      <c r="A917" s="176"/>
      <c r="B917" s="177"/>
      <c r="C917" s="177"/>
      <c r="D917" s="178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8"/>
    </row>
    <row r="918" spans="1:17" s="95" customFormat="1" x14ac:dyDescent="0.25">
      <c r="A918" s="176"/>
      <c r="B918" s="177"/>
      <c r="C918" s="177"/>
      <c r="D918" s="178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8"/>
    </row>
    <row r="919" spans="1:17" s="95" customFormat="1" x14ac:dyDescent="0.25">
      <c r="A919" s="176"/>
      <c r="B919" s="177"/>
      <c r="C919" s="177"/>
      <c r="D919" s="178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8"/>
    </row>
    <row r="920" spans="1:17" s="95" customFormat="1" x14ac:dyDescent="0.25">
      <c r="A920" s="176"/>
      <c r="B920" s="177"/>
      <c r="C920" s="177"/>
      <c r="D920" s="178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8"/>
    </row>
    <row r="921" spans="1:17" s="95" customFormat="1" x14ac:dyDescent="0.25">
      <c r="A921" s="176"/>
      <c r="B921" s="177"/>
      <c r="C921" s="177"/>
      <c r="D921" s="178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8"/>
    </row>
    <row r="922" spans="1:17" s="95" customFormat="1" x14ac:dyDescent="0.25">
      <c r="A922" s="176"/>
      <c r="B922" s="177"/>
      <c r="C922" s="177"/>
      <c r="D922" s="178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8"/>
    </row>
    <row r="923" spans="1:17" s="95" customFormat="1" x14ac:dyDescent="0.25">
      <c r="A923" s="176"/>
      <c r="B923" s="177"/>
      <c r="C923" s="177"/>
      <c r="D923" s="178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8"/>
    </row>
    <row r="924" spans="1:17" s="95" customFormat="1" x14ac:dyDescent="0.25">
      <c r="A924" s="176"/>
      <c r="B924" s="177"/>
      <c r="C924" s="177"/>
      <c r="D924" s="178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8"/>
    </row>
    <row r="925" spans="1:17" s="95" customFormat="1" x14ac:dyDescent="0.25">
      <c r="A925" s="176"/>
      <c r="B925" s="177"/>
      <c r="C925" s="177"/>
      <c r="D925" s="178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8"/>
    </row>
    <row r="926" spans="1:17" s="95" customFormat="1" x14ac:dyDescent="0.25">
      <c r="A926" s="176"/>
      <c r="B926" s="177"/>
      <c r="C926" s="177"/>
      <c r="D926" s="178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8"/>
    </row>
    <row r="927" spans="1:17" s="95" customFormat="1" x14ac:dyDescent="0.25">
      <c r="A927" s="176"/>
      <c r="B927" s="177"/>
      <c r="C927" s="177"/>
      <c r="D927" s="178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8"/>
    </row>
    <row r="928" spans="1:17" s="95" customFormat="1" x14ac:dyDescent="0.25">
      <c r="A928" s="176"/>
      <c r="B928" s="177"/>
      <c r="C928" s="177"/>
      <c r="D928" s="178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8"/>
    </row>
    <row r="929" spans="1:17" s="95" customFormat="1" x14ac:dyDescent="0.25">
      <c r="A929" s="176"/>
      <c r="B929" s="177"/>
      <c r="C929" s="177"/>
      <c r="D929" s="178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8"/>
    </row>
    <row r="930" spans="1:17" s="95" customFormat="1" x14ac:dyDescent="0.25">
      <c r="A930" s="176"/>
      <c r="B930" s="177"/>
      <c r="C930" s="177"/>
      <c r="D930" s="178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8"/>
    </row>
    <row r="931" spans="1:17" s="95" customFormat="1" x14ac:dyDescent="0.25">
      <c r="A931" s="176"/>
      <c r="B931" s="177"/>
      <c r="C931" s="177"/>
      <c r="D931" s="178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8"/>
    </row>
    <row r="932" spans="1:17" s="95" customFormat="1" x14ac:dyDescent="0.25">
      <c r="A932" s="176"/>
      <c r="B932" s="177"/>
      <c r="C932" s="177"/>
      <c r="D932" s="178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8"/>
    </row>
    <row r="933" spans="1:17" s="95" customFormat="1" x14ac:dyDescent="0.25">
      <c r="A933" s="176"/>
      <c r="B933" s="177"/>
      <c r="C933" s="177"/>
      <c r="D933" s="178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8"/>
    </row>
    <row r="934" spans="1:17" s="95" customFormat="1" x14ac:dyDescent="0.25">
      <c r="A934" s="176"/>
      <c r="B934" s="177"/>
      <c r="C934" s="177"/>
      <c r="D934" s="178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8"/>
    </row>
    <row r="935" spans="1:17" s="95" customFormat="1" x14ac:dyDescent="0.25">
      <c r="A935" s="176"/>
      <c r="B935" s="177"/>
      <c r="C935" s="177"/>
      <c r="D935" s="178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8"/>
    </row>
    <row r="936" spans="1:17" s="95" customFormat="1" x14ac:dyDescent="0.25">
      <c r="A936" s="176"/>
      <c r="B936" s="177"/>
      <c r="C936" s="177"/>
      <c r="D936" s="178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8"/>
    </row>
    <row r="937" spans="1:17" s="95" customFormat="1" x14ac:dyDescent="0.25">
      <c r="A937" s="176"/>
      <c r="B937" s="177"/>
      <c r="C937" s="177"/>
      <c r="D937" s="178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8"/>
    </row>
    <row r="938" spans="1:17" s="95" customFormat="1" x14ac:dyDescent="0.25">
      <c r="A938" s="176"/>
      <c r="B938" s="177"/>
      <c r="C938" s="177"/>
      <c r="D938" s="178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8"/>
    </row>
    <row r="939" spans="1:17" s="95" customFormat="1" x14ac:dyDescent="0.25">
      <c r="A939" s="176"/>
      <c r="B939" s="177"/>
      <c r="C939" s="177"/>
      <c r="D939" s="178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8"/>
    </row>
    <row r="940" spans="1:17" s="95" customFormat="1" x14ac:dyDescent="0.25">
      <c r="A940" s="176"/>
      <c r="B940" s="177"/>
      <c r="C940" s="177"/>
      <c r="D940" s="178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8"/>
    </row>
    <row r="941" spans="1:17" s="95" customFormat="1" x14ac:dyDescent="0.25">
      <c r="A941" s="176"/>
      <c r="B941" s="177"/>
      <c r="C941" s="177"/>
      <c r="D941" s="178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8"/>
    </row>
    <row r="942" spans="1:17" s="95" customFormat="1" x14ac:dyDescent="0.25">
      <c r="A942" s="176"/>
      <c r="B942" s="177"/>
      <c r="C942" s="177"/>
      <c r="D942" s="178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8"/>
    </row>
    <row r="943" spans="1:17" s="95" customFormat="1" x14ac:dyDescent="0.25">
      <c r="A943" s="176"/>
      <c r="B943" s="177"/>
      <c r="C943" s="177"/>
      <c r="D943" s="178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8"/>
    </row>
    <row r="944" spans="1:17" s="95" customFormat="1" x14ac:dyDescent="0.25">
      <c r="A944" s="176"/>
      <c r="B944" s="177"/>
      <c r="C944" s="177"/>
      <c r="D944" s="178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8"/>
    </row>
    <row r="945" spans="1:17" s="95" customFormat="1" x14ac:dyDescent="0.25">
      <c r="A945" s="176"/>
      <c r="B945" s="177"/>
      <c r="C945" s="177"/>
      <c r="D945" s="178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8"/>
    </row>
    <row r="946" spans="1:17" s="95" customFormat="1" x14ac:dyDescent="0.25">
      <c r="A946" s="176"/>
      <c r="B946" s="177"/>
      <c r="C946" s="177"/>
      <c r="D946" s="178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8"/>
    </row>
    <row r="947" spans="1:17" s="95" customFormat="1" x14ac:dyDescent="0.25">
      <c r="A947" s="176"/>
      <c r="B947" s="177"/>
      <c r="C947" s="177"/>
      <c r="D947" s="178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8"/>
    </row>
    <row r="948" spans="1:17" s="95" customFormat="1" x14ac:dyDescent="0.25">
      <c r="A948" s="176"/>
      <c r="B948" s="177"/>
      <c r="C948" s="177"/>
      <c r="D948" s="178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8"/>
    </row>
    <row r="949" spans="1:17" s="95" customFormat="1" x14ac:dyDescent="0.25">
      <c r="A949" s="176"/>
      <c r="B949" s="177"/>
      <c r="C949" s="177"/>
      <c r="D949" s="178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8"/>
    </row>
    <row r="950" spans="1:17" s="95" customFormat="1" x14ac:dyDescent="0.25">
      <c r="A950" s="176"/>
      <c r="B950" s="177"/>
      <c r="C950" s="177"/>
      <c r="D950" s="178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8"/>
    </row>
    <row r="951" spans="1:17" s="95" customFormat="1" x14ac:dyDescent="0.25">
      <c r="A951" s="176"/>
      <c r="B951" s="177"/>
      <c r="C951" s="177"/>
      <c r="D951" s="178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8"/>
    </row>
    <row r="952" spans="1:17" s="95" customFormat="1" x14ac:dyDescent="0.25">
      <c r="A952" s="176"/>
      <c r="B952" s="177"/>
      <c r="C952" s="177"/>
      <c r="D952" s="178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8"/>
    </row>
    <row r="953" spans="1:17" s="95" customFormat="1" x14ac:dyDescent="0.25">
      <c r="A953" s="176"/>
      <c r="B953" s="177"/>
      <c r="C953" s="177"/>
      <c r="D953" s="178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8"/>
    </row>
    <row r="954" spans="1:17" s="95" customFormat="1" x14ac:dyDescent="0.25">
      <c r="A954" s="176"/>
      <c r="B954" s="177"/>
      <c r="C954" s="177"/>
      <c r="D954" s="178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8"/>
    </row>
    <row r="955" spans="1:17" s="95" customFormat="1" x14ac:dyDescent="0.25">
      <c r="A955" s="176"/>
      <c r="B955" s="177"/>
      <c r="C955" s="177"/>
      <c r="D955" s="178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8"/>
    </row>
    <row r="956" spans="1:17" s="95" customFormat="1" x14ac:dyDescent="0.25">
      <c r="A956" s="176"/>
      <c r="B956" s="177"/>
      <c r="C956" s="177"/>
      <c r="D956" s="178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8"/>
    </row>
    <row r="957" spans="1:17" s="95" customFormat="1" x14ac:dyDescent="0.25">
      <c r="A957" s="176"/>
      <c r="B957" s="177"/>
      <c r="C957" s="177"/>
      <c r="D957" s="178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8"/>
    </row>
    <row r="958" spans="1:17" s="95" customFormat="1" x14ac:dyDescent="0.25">
      <c r="A958" s="176"/>
      <c r="B958" s="177"/>
      <c r="C958" s="177"/>
      <c r="D958" s="178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8"/>
    </row>
    <row r="959" spans="1:17" s="95" customFormat="1" x14ac:dyDescent="0.25">
      <c r="A959" s="176"/>
      <c r="B959" s="177"/>
      <c r="C959" s="177"/>
      <c r="D959" s="178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8"/>
    </row>
    <row r="960" spans="1:17" s="95" customFormat="1" x14ac:dyDescent="0.25">
      <c r="A960" s="176"/>
      <c r="B960" s="177"/>
      <c r="C960" s="177"/>
      <c r="D960" s="178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8"/>
    </row>
    <row r="961" spans="1:17" s="95" customFormat="1" x14ac:dyDescent="0.25">
      <c r="A961" s="176"/>
      <c r="B961" s="177"/>
      <c r="C961" s="177"/>
      <c r="D961" s="178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8"/>
    </row>
    <row r="962" spans="1:17" s="95" customFormat="1" x14ac:dyDescent="0.25">
      <c r="A962" s="176"/>
      <c r="B962" s="177"/>
      <c r="C962" s="177"/>
      <c r="D962" s="178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8"/>
    </row>
    <row r="963" spans="1:17" s="95" customFormat="1" x14ac:dyDescent="0.25">
      <c r="A963" s="176"/>
      <c r="B963" s="177"/>
      <c r="C963" s="177"/>
      <c r="D963" s="178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8"/>
    </row>
    <row r="964" spans="1:17" s="95" customFormat="1" x14ac:dyDescent="0.25">
      <c r="A964" s="176"/>
      <c r="B964" s="177"/>
      <c r="C964" s="177"/>
      <c r="D964" s="178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8"/>
    </row>
    <row r="965" spans="1:17" s="95" customFormat="1" x14ac:dyDescent="0.25">
      <c r="A965" s="176"/>
      <c r="B965" s="177"/>
      <c r="C965" s="177"/>
      <c r="D965" s="178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8"/>
    </row>
    <row r="966" spans="1:17" s="95" customFormat="1" x14ac:dyDescent="0.25">
      <c r="A966" s="176"/>
      <c r="B966" s="177"/>
      <c r="C966" s="177"/>
      <c r="D966" s="178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8"/>
    </row>
    <row r="967" spans="1:17" s="95" customFormat="1" x14ac:dyDescent="0.25">
      <c r="A967" s="176"/>
      <c r="B967" s="177"/>
      <c r="C967" s="177"/>
      <c r="D967" s="178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8"/>
    </row>
    <row r="968" spans="1:17" s="95" customFormat="1" x14ac:dyDescent="0.25">
      <c r="A968" s="176"/>
      <c r="B968" s="177"/>
      <c r="C968" s="177"/>
      <c r="D968" s="178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8"/>
    </row>
    <row r="969" spans="1:17" s="95" customFormat="1" x14ac:dyDescent="0.25">
      <c r="A969" s="176"/>
      <c r="B969" s="177"/>
      <c r="C969" s="177"/>
      <c r="D969" s="178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8"/>
    </row>
    <row r="970" spans="1:17" s="95" customFormat="1" x14ac:dyDescent="0.25">
      <c r="A970" s="176"/>
      <c r="B970" s="177"/>
      <c r="C970" s="177"/>
      <c r="D970" s="178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8"/>
    </row>
    <row r="971" spans="1:17" s="95" customFormat="1" x14ac:dyDescent="0.25">
      <c r="A971" s="176"/>
      <c r="B971" s="177"/>
      <c r="C971" s="177"/>
      <c r="D971" s="178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8"/>
    </row>
    <row r="972" spans="1:17" s="95" customFormat="1" x14ac:dyDescent="0.25">
      <c r="A972" s="176"/>
      <c r="B972" s="177"/>
      <c r="C972" s="177"/>
      <c r="D972" s="178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8"/>
    </row>
    <row r="973" spans="1:17" s="95" customFormat="1" x14ac:dyDescent="0.25">
      <c r="A973" s="176"/>
      <c r="B973" s="177"/>
      <c r="C973" s="177"/>
      <c r="D973" s="178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8"/>
    </row>
    <row r="974" spans="1:17" s="95" customFormat="1" x14ac:dyDescent="0.25">
      <c r="A974" s="176"/>
      <c r="B974" s="177"/>
      <c r="C974" s="177"/>
      <c r="D974" s="178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8"/>
    </row>
    <row r="975" spans="1:17" s="95" customFormat="1" x14ac:dyDescent="0.25">
      <c r="A975" s="176"/>
      <c r="B975" s="177"/>
      <c r="C975" s="177"/>
      <c r="D975" s="178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8"/>
    </row>
    <row r="976" spans="1:17" s="95" customFormat="1" x14ac:dyDescent="0.25">
      <c r="A976" s="176"/>
      <c r="B976" s="177"/>
      <c r="C976" s="177"/>
      <c r="D976" s="178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8"/>
    </row>
    <row r="977" spans="1:17" s="95" customFormat="1" x14ac:dyDescent="0.25">
      <c r="A977" s="176"/>
      <c r="B977" s="177"/>
      <c r="C977" s="177"/>
      <c r="D977" s="178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8"/>
    </row>
    <row r="978" spans="1:17" s="95" customFormat="1" x14ac:dyDescent="0.25">
      <c r="A978" s="176"/>
      <c r="B978" s="177"/>
      <c r="C978" s="177"/>
      <c r="D978" s="178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8"/>
    </row>
    <row r="979" spans="1:17" s="95" customFormat="1" x14ac:dyDescent="0.25">
      <c r="A979" s="176"/>
      <c r="B979" s="177"/>
      <c r="C979" s="177"/>
      <c r="D979" s="178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8"/>
    </row>
    <row r="980" spans="1:17" s="95" customFormat="1" x14ac:dyDescent="0.25">
      <c r="A980" s="176"/>
      <c r="B980" s="177"/>
      <c r="C980" s="177"/>
      <c r="D980" s="178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8"/>
    </row>
    <row r="981" spans="1:17" s="95" customFormat="1" x14ac:dyDescent="0.25">
      <c r="A981" s="176"/>
      <c r="B981" s="177"/>
      <c r="C981" s="177"/>
      <c r="D981" s="178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8"/>
    </row>
    <row r="982" spans="1:17" s="95" customFormat="1" x14ac:dyDescent="0.25">
      <c r="A982" s="176"/>
      <c r="B982" s="177"/>
      <c r="C982" s="177"/>
      <c r="D982" s="178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8"/>
    </row>
    <row r="983" spans="1:17" s="95" customFormat="1" x14ac:dyDescent="0.25">
      <c r="A983" s="176"/>
      <c r="B983" s="177"/>
      <c r="C983" s="177"/>
      <c r="D983" s="178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8"/>
    </row>
    <row r="984" spans="1:17" s="95" customFormat="1" x14ac:dyDescent="0.25">
      <c r="A984" s="176"/>
      <c r="B984" s="177"/>
      <c r="C984" s="177"/>
      <c r="D984" s="178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8"/>
    </row>
    <row r="985" spans="1:17" s="95" customFormat="1" x14ac:dyDescent="0.25">
      <c r="A985" s="176"/>
      <c r="B985" s="177"/>
      <c r="C985" s="177"/>
      <c r="D985" s="178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8"/>
    </row>
    <row r="986" spans="1:17" s="95" customFormat="1" x14ac:dyDescent="0.25">
      <c r="A986" s="176"/>
      <c r="B986" s="177"/>
      <c r="C986" s="177"/>
      <c r="D986" s="178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8"/>
    </row>
    <row r="987" spans="1:17" s="95" customFormat="1" x14ac:dyDescent="0.25">
      <c r="A987" s="176"/>
      <c r="B987" s="177"/>
      <c r="C987" s="177"/>
      <c r="D987" s="178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8"/>
    </row>
    <row r="988" spans="1:17" s="95" customFormat="1" x14ac:dyDescent="0.25">
      <c r="A988" s="176"/>
      <c r="B988" s="177"/>
      <c r="C988" s="177"/>
      <c r="D988" s="178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8"/>
    </row>
    <row r="989" spans="1:17" s="95" customFormat="1" x14ac:dyDescent="0.25">
      <c r="A989" s="176"/>
      <c r="B989" s="177"/>
      <c r="C989" s="177"/>
      <c r="D989" s="178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8"/>
    </row>
    <row r="990" spans="1:17" s="95" customFormat="1" x14ac:dyDescent="0.25">
      <c r="A990" s="176"/>
      <c r="B990" s="177"/>
      <c r="C990" s="177"/>
      <c r="D990" s="178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8"/>
    </row>
    <row r="991" spans="1:17" s="95" customFormat="1" x14ac:dyDescent="0.25">
      <c r="A991" s="176"/>
      <c r="B991" s="177"/>
      <c r="C991" s="177"/>
      <c r="D991" s="178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8"/>
    </row>
    <row r="992" spans="1:17" s="95" customFormat="1" x14ac:dyDescent="0.25">
      <c r="A992" s="176"/>
      <c r="B992" s="177"/>
      <c r="C992" s="177"/>
      <c r="D992" s="178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8"/>
    </row>
    <row r="993" spans="1:17" s="95" customFormat="1" x14ac:dyDescent="0.25">
      <c r="A993" s="176"/>
      <c r="B993" s="177"/>
      <c r="C993" s="177"/>
      <c r="D993" s="178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8"/>
    </row>
    <row r="994" spans="1:17" s="95" customFormat="1" x14ac:dyDescent="0.25">
      <c r="A994" s="176"/>
      <c r="B994" s="177"/>
      <c r="C994" s="177"/>
      <c r="D994" s="178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8"/>
    </row>
    <row r="995" spans="1:17" s="95" customFormat="1" x14ac:dyDescent="0.25">
      <c r="A995" s="176"/>
      <c r="B995" s="177"/>
      <c r="C995" s="177"/>
      <c r="D995" s="178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8"/>
    </row>
    <row r="996" spans="1:17" s="95" customFormat="1" x14ac:dyDescent="0.25">
      <c r="A996" s="176"/>
      <c r="B996" s="177"/>
      <c r="C996" s="177"/>
      <c r="D996" s="178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8"/>
    </row>
    <row r="997" spans="1:17" s="95" customFormat="1" x14ac:dyDescent="0.25">
      <c r="A997" s="176"/>
      <c r="B997" s="177"/>
      <c r="C997" s="177"/>
      <c r="D997" s="178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8"/>
    </row>
    <row r="998" spans="1:17" s="95" customFormat="1" x14ac:dyDescent="0.25">
      <c r="A998" s="176"/>
      <c r="B998" s="177"/>
      <c r="C998" s="177"/>
      <c r="D998" s="178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8"/>
    </row>
    <row r="999" spans="1:17" s="95" customFormat="1" x14ac:dyDescent="0.25">
      <c r="A999" s="176"/>
      <c r="B999" s="177"/>
      <c r="C999" s="177"/>
      <c r="D999" s="178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8"/>
    </row>
    <row r="1000" spans="1:17" s="95" customFormat="1" x14ac:dyDescent="0.25">
      <c r="A1000" s="176"/>
      <c r="B1000" s="177"/>
      <c r="C1000" s="177"/>
      <c r="D1000" s="178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8"/>
    </row>
    <row r="1001" spans="1:17" s="95" customFormat="1" x14ac:dyDescent="0.25">
      <c r="A1001" s="176"/>
      <c r="B1001" s="177"/>
      <c r="C1001" s="177"/>
      <c r="D1001" s="178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8"/>
    </row>
    <row r="1002" spans="1:17" s="95" customFormat="1" x14ac:dyDescent="0.25">
      <c r="A1002" s="176"/>
      <c r="B1002" s="177"/>
      <c r="C1002" s="177"/>
      <c r="D1002" s="178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8"/>
    </row>
    <row r="1003" spans="1:17" s="95" customFormat="1" x14ac:dyDescent="0.25">
      <c r="A1003" s="176"/>
      <c r="B1003" s="177"/>
      <c r="C1003" s="177"/>
      <c r="D1003" s="178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8"/>
    </row>
    <row r="1004" spans="1:17" s="95" customFormat="1" x14ac:dyDescent="0.25">
      <c r="A1004" s="176"/>
      <c r="B1004" s="177"/>
      <c r="C1004" s="177"/>
      <c r="D1004" s="178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8"/>
    </row>
    <row r="1005" spans="1:17" s="95" customFormat="1" x14ac:dyDescent="0.25">
      <c r="A1005" s="176"/>
      <c r="B1005" s="177"/>
      <c r="C1005" s="177"/>
      <c r="D1005" s="178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8"/>
    </row>
    <row r="1006" spans="1:17" s="95" customFormat="1" x14ac:dyDescent="0.25">
      <c r="A1006" s="176"/>
      <c r="B1006" s="177"/>
      <c r="C1006" s="177"/>
      <c r="D1006" s="178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8"/>
    </row>
    <row r="1007" spans="1:17" s="95" customFormat="1" x14ac:dyDescent="0.25">
      <c r="A1007" s="176"/>
      <c r="B1007" s="177"/>
      <c r="C1007" s="177"/>
      <c r="D1007" s="178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8"/>
    </row>
    <row r="1008" spans="1:17" s="95" customFormat="1" x14ac:dyDescent="0.25">
      <c r="A1008" s="176"/>
      <c r="B1008" s="177"/>
      <c r="C1008" s="177"/>
      <c r="D1008" s="178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8"/>
    </row>
    <row r="1009" spans="1:17" s="95" customFormat="1" x14ac:dyDescent="0.25">
      <c r="A1009" s="176"/>
      <c r="B1009" s="177"/>
      <c r="C1009" s="177"/>
      <c r="D1009" s="178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8"/>
    </row>
    <row r="1010" spans="1:17" s="95" customFormat="1" x14ac:dyDescent="0.25">
      <c r="A1010" s="176"/>
      <c r="B1010" s="177"/>
      <c r="C1010" s="177"/>
      <c r="D1010" s="178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8"/>
    </row>
    <row r="1011" spans="1:17" s="95" customFormat="1" x14ac:dyDescent="0.25">
      <c r="A1011" s="176"/>
      <c r="B1011" s="177"/>
      <c r="C1011" s="177"/>
      <c r="D1011" s="178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8"/>
    </row>
    <row r="1012" spans="1:17" s="95" customFormat="1" x14ac:dyDescent="0.25">
      <c r="A1012" s="176"/>
      <c r="B1012" s="177"/>
      <c r="C1012" s="177"/>
      <c r="D1012" s="178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8"/>
    </row>
    <row r="1013" spans="1:17" s="95" customFormat="1" x14ac:dyDescent="0.25">
      <c r="A1013" s="176"/>
      <c r="B1013" s="177"/>
      <c r="C1013" s="177"/>
      <c r="D1013" s="178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8"/>
    </row>
    <row r="1014" spans="1:17" s="95" customFormat="1" x14ac:dyDescent="0.25">
      <c r="A1014" s="176"/>
      <c r="B1014" s="177"/>
      <c r="C1014" s="177"/>
      <c r="D1014" s="178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8"/>
    </row>
    <row r="1015" spans="1:17" s="95" customFormat="1" x14ac:dyDescent="0.25">
      <c r="A1015" s="176"/>
      <c r="B1015" s="177"/>
      <c r="C1015" s="177"/>
      <c r="D1015" s="178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8"/>
    </row>
    <row r="1016" spans="1:17" s="95" customFormat="1" x14ac:dyDescent="0.25">
      <c r="A1016" s="176"/>
      <c r="B1016" s="177"/>
      <c r="C1016" s="177"/>
      <c r="D1016" s="178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8"/>
    </row>
    <row r="1017" spans="1:17" s="95" customFormat="1" x14ac:dyDescent="0.25">
      <c r="A1017" s="176"/>
      <c r="B1017" s="177"/>
      <c r="C1017" s="177"/>
      <c r="D1017" s="178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8"/>
    </row>
    <row r="1018" spans="1:17" s="95" customFormat="1" x14ac:dyDescent="0.25">
      <c r="A1018" s="176"/>
      <c r="B1018" s="177"/>
      <c r="C1018" s="177"/>
      <c r="D1018" s="178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8"/>
    </row>
    <row r="1019" spans="1:17" s="95" customFormat="1" x14ac:dyDescent="0.25">
      <c r="A1019" s="176"/>
      <c r="B1019" s="177"/>
      <c r="C1019" s="177"/>
      <c r="D1019" s="178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8"/>
    </row>
    <row r="1020" spans="1:17" s="95" customFormat="1" x14ac:dyDescent="0.25">
      <c r="A1020" s="176"/>
      <c r="B1020" s="177"/>
      <c r="C1020" s="177"/>
      <c r="D1020" s="178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8"/>
    </row>
    <row r="1021" spans="1:17" s="95" customFormat="1" x14ac:dyDescent="0.25">
      <c r="A1021" s="176"/>
      <c r="B1021" s="177"/>
      <c r="C1021" s="177"/>
      <c r="D1021" s="178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8"/>
    </row>
    <row r="1022" spans="1:17" s="95" customFormat="1" x14ac:dyDescent="0.25">
      <c r="A1022" s="176"/>
      <c r="B1022" s="177"/>
      <c r="C1022" s="177"/>
      <c r="D1022" s="178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8"/>
    </row>
    <row r="1023" spans="1:17" s="95" customFormat="1" x14ac:dyDescent="0.25">
      <c r="A1023" s="176"/>
      <c r="B1023" s="177"/>
      <c r="C1023" s="177"/>
      <c r="D1023" s="178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8"/>
    </row>
    <row r="1024" spans="1:17" s="95" customFormat="1" x14ac:dyDescent="0.25">
      <c r="A1024" s="176"/>
      <c r="B1024" s="177"/>
      <c r="C1024" s="177"/>
      <c r="D1024" s="178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8"/>
    </row>
    <row r="1025" spans="1:17" s="95" customFormat="1" x14ac:dyDescent="0.25">
      <c r="A1025" s="176"/>
      <c r="B1025" s="177"/>
      <c r="C1025" s="177"/>
      <c r="D1025" s="178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8"/>
    </row>
    <row r="1026" spans="1:17" s="95" customFormat="1" x14ac:dyDescent="0.25">
      <c r="A1026" s="176"/>
      <c r="B1026" s="177"/>
      <c r="C1026" s="177"/>
      <c r="D1026" s="178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8"/>
    </row>
    <row r="1027" spans="1:17" s="95" customFormat="1" x14ac:dyDescent="0.25">
      <c r="A1027" s="176"/>
      <c r="B1027" s="177"/>
      <c r="C1027" s="177"/>
      <c r="D1027" s="178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8"/>
    </row>
    <row r="1028" spans="1:17" s="95" customFormat="1" x14ac:dyDescent="0.25">
      <c r="A1028" s="176"/>
      <c r="B1028" s="177"/>
      <c r="C1028" s="177"/>
      <c r="D1028" s="178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8"/>
    </row>
    <row r="1029" spans="1:17" s="95" customFormat="1" x14ac:dyDescent="0.25">
      <c r="A1029" s="176"/>
      <c r="B1029" s="177"/>
      <c r="C1029" s="177"/>
      <c r="D1029" s="178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8"/>
    </row>
    <row r="1030" spans="1:17" s="95" customFormat="1" x14ac:dyDescent="0.25">
      <c r="A1030" s="176"/>
      <c r="B1030" s="177"/>
      <c r="C1030" s="177"/>
      <c r="D1030" s="178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8"/>
    </row>
    <row r="1031" spans="1:17" s="95" customFormat="1" x14ac:dyDescent="0.25">
      <c r="A1031" s="176"/>
      <c r="B1031" s="177"/>
      <c r="C1031" s="177"/>
      <c r="D1031" s="178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8"/>
    </row>
    <row r="1032" spans="1:17" s="95" customFormat="1" x14ac:dyDescent="0.25">
      <c r="A1032" s="176"/>
      <c r="B1032" s="177"/>
      <c r="C1032" s="177"/>
      <c r="D1032" s="178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8"/>
    </row>
    <row r="1033" spans="1:17" s="95" customFormat="1" x14ac:dyDescent="0.25">
      <c r="A1033" s="176"/>
      <c r="B1033" s="177"/>
      <c r="C1033" s="177"/>
      <c r="D1033" s="178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8"/>
    </row>
    <row r="1034" spans="1:17" s="95" customFormat="1" x14ac:dyDescent="0.25">
      <c r="A1034" s="176"/>
      <c r="B1034" s="177"/>
      <c r="C1034" s="177"/>
      <c r="D1034" s="178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8"/>
    </row>
    <row r="1035" spans="1:17" s="95" customFormat="1" x14ac:dyDescent="0.25">
      <c r="A1035" s="176"/>
      <c r="B1035" s="177"/>
      <c r="C1035" s="177"/>
      <c r="D1035" s="178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8"/>
    </row>
    <row r="1036" spans="1:17" s="95" customFormat="1" x14ac:dyDescent="0.25">
      <c r="A1036" s="176"/>
      <c r="B1036" s="177"/>
      <c r="C1036" s="177"/>
      <c r="D1036" s="178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8"/>
    </row>
    <row r="1037" spans="1:17" s="95" customFormat="1" x14ac:dyDescent="0.25">
      <c r="A1037" s="176"/>
      <c r="B1037" s="177"/>
      <c r="C1037" s="177"/>
      <c r="D1037" s="178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8"/>
    </row>
    <row r="1038" spans="1:17" s="95" customFormat="1" x14ac:dyDescent="0.25">
      <c r="A1038" s="176"/>
      <c r="B1038" s="177"/>
      <c r="C1038" s="177"/>
      <c r="D1038" s="178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8"/>
    </row>
    <row r="1039" spans="1:17" s="95" customFormat="1" x14ac:dyDescent="0.25">
      <c r="A1039" s="176"/>
      <c r="B1039" s="177"/>
      <c r="C1039" s="177"/>
      <c r="D1039" s="178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8"/>
    </row>
    <row r="1040" spans="1:17" s="95" customFormat="1" x14ac:dyDescent="0.25">
      <c r="A1040" s="176"/>
      <c r="B1040" s="177"/>
      <c r="C1040" s="177"/>
      <c r="D1040" s="178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8"/>
    </row>
    <row r="1041" spans="1:17" s="95" customFormat="1" x14ac:dyDescent="0.25">
      <c r="A1041" s="176"/>
      <c r="B1041" s="177"/>
      <c r="C1041" s="177"/>
      <c r="D1041" s="178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8"/>
    </row>
    <row r="1042" spans="1:17" s="95" customFormat="1" x14ac:dyDescent="0.25">
      <c r="A1042" s="176"/>
      <c r="B1042" s="177"/>
      <c r="C1042" s="177"/>
      <c r="D1042" s="178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8"/>
    </row>
    <row r="1043" spans="1:17" s="95" customFormat="1" x14ac:dyDescent="0.25">
      <c r="A1043" s="176"/>
      <c r="B1043" s="177"/>
      <c r="C1043" s="177"/>
      <c r="D1043" s="178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8"/>
    </row>
    <row r="1044" spans="1:17" s="95" customFormat="1" x14ac:dyDescent="0.25">
      <c r="A1044" s="176"/>
      <c r="B1044" s="177"/>
      <c r="C1044" s="177"/>
      <c r="D1044" s="178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8"/>
    </row>
    <row r="1045" spans="1:17" s="95" customFormat="1" x14ac:dyDescent="0.25">
      <c r="A1045" s="176"/>
      <c r="B1045" s="177"/>
      <c r="C1045" s="177"/>
      <c r="D1045" s="178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8"/>
    </row>
    <row r="1046" spans="1:17" s="95" customFormat="1" x14ac:dyDescent="0.25">
      <c r="A1046" s="176"/>
      <c r="B1046" s="177"/>
      <c r="C1046" s="177"/>
      <c r="D1046" s="178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8"/>
    </row>
    <row r="1047" spans="1:17" s="95" customFormat="1" x14ac:dyDescent="0.25">
      <c r="A1047" s="176"/>
      <c r="B1047" s="177"/>
      <c r="C1047" s="177"/>
      <c r="D1047" s="178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8"/>
    </row>
    <row r="1048" spans="1:17" s="95" customFormat="1" x14ac:dyDescent="0.25">
      <c r="A1048" s="176"/>
      <c r="B1048" s="177"/>
      <c r="C1048" s="177"/>
      <c r="D1048" s="178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8"/>
    </row>
    <row r="1049" spans="1:17" s="95" customFormat="1" x14ac:dyDescent="0.25">
      <c r="A1049" s="176"/>
      <c r="B1049" s="177"/>
      <c r="C1049" s="177"/>
      <c r="D1049" s="178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8"/>
    </row>
    <row r="1050" spans="1:17" s="95" customFormat="1" x14ac:dyDescent="0.25">
      <c r="A1050" s="176"/>
      <c r="B1050" s="177"/>
      <c r="C1050" s="177"/>
      <c r="D1050" s="178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8"/>
    </row>
    <row r="1051" spans="1:17" s="95" customFormat="1" x14ac:dyDescent="0.25">
      <c r="A1051" s="176"/>
      <c r="B1051" s="177"/>
      <c r="C1051" s="177"/>
      <c r="D1051" s="178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8"/>
    </row>
    <row r="1052" spans="1:17" s="95" customFormat="1" x14ac:dyDescent="0.25">
      <c r="A1052" s="176"/>
      <c r="B1052" s="177"/>
      <c r="C1052" s="177"/>
      <c r="D1052" s="178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8"/>
    </row>
    <row r="1053" spans="1:17" s="95" customFormat="1" x14ac:dyDescent="0.25">
      <c r="A1053" s="176"/>
      <c r="B1053" s="177"/>
      <c r="C1053" s="177"/>
      <c r="D1053" s="178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8"/>
    </row>
    <row r="1054" spans="1:17" s="95" customFormat="1" x14ac:dyDescent="0.25">
      <c r="A1054" s="176"/>
      <c r="B1054" s="177"/>
      <c r="C1054" s="177"/>
      <c r="D1054" s="178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8"/>
    </row>
    <row r="1055" spans="1:17" s="95" customFormat="1" x14ac:dyDescent="0.25">
      <c r="A1055" s="176"/>
      <c r="B1055" s="177"/>
      <c r="C1055" s="177"/>
      <c r="D1055" s="178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8"/>
    </row>
    <row r="1056" spans="1:17" s="95" customFormat="1" x14ac:dyDescent="0.25">
      <c r="A1056" s="176"/>
      <c r="B1056" s="177"/>
      <c r="C1056" s="177"/>
      <c r="D1056" s="178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8"/>
    </row>
    <row r="1057" spans="1:17" s="95" customFormat="1" x14ac:dyDescent="0.25">
      <c r="A1057" s="176"/>
      <c r="B1057" s="177"/>
      <c r="C1057" s="177"/>
      <c r="D1057" s="178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8"/>
    </row>
    <row r="1058" spans="1:17" s="95" customFormat="1" x14ac:dyDescent="0.25">
      <c r="A1058" s="176"/>
      <c r="B1058" s="177"/>
      <c r="C1058" s="177"/>
      <c r="D1058" s="178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8"/>
    </row>
    <row r="1059" spans="1:17" s="95" customFormat="1" x14ac:dyDescent="0.25">
      <c r="A1059" s="176"/>
      <c r="B1059" s="177"/>
      <c r="C1059" s="177"/>
      <c r="D1059" s="178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8"/>
    </row>
    <row r="1060" spans="1:17" s="95" customFormat="1" x14ac:dyDescent="0.25">
      <c r="A1060" s="176"/>
      <c r="B1060" s="177"/>
      <c r="C1060" s="177"/>
      <c r="D1060" s="178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8"/>
    </row>
    <row r="1061" spans="1:17" s="95" customFormat="1" x14ac:dyDescent="0.25">
      <c r="A1061" s="176"/>
      <c r="B1061" s="177"/>
      <c r="C1061" s="177"/>
      <c r="D1061" s="178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8"/>
    </row>
    <row r="1062" spans="1:17" s="95" customFormat="1" x14ac:dyDescent="0.25">
      <c r="A1062" s="176"/>
      <c r="B1062" s="177"/>
      <c r="C1062" s="177"/>
      <c r="D1062" s="178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8"/>
    </row>
    <row r="1063" spans="1:17" s="95" customFormat="1" x14ac:dyDescent="0.25">
      <c r="A1063" s="176"/>
      <c r="B1063" s="177"/>
      <c r="C1063" s="177"/>
      <c r="D1063" s="178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8"/>
    </row>
    <row r="1064" spans="1:17" s="95" customFormat="1" x14ac:dyDescent="0.25">
      <c r="A1064" s="176"/>
      <c r="B1064" s="177"/>
      <c r="C1064" s="177"/>
      <c r="D1064" s="178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8"/>
    </row>
    <row r="1065" spans="1:17" s="95" customFormat="1" x14ac:dyDescent="0.25">
      <c r="A1065" s="176"/>
      <c r="B1065" s="177"/>
      <c r="C1065" s="177"/>
      <c r="D1065" s="178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8"/>
    </row>
    <row r="1066" spans="1:17" s="95" customFormat="1" x14ac:dyDescent="0.25">
      <c r="A1066" s="176"/>
      <c r="B1066" s="177"/>
      <c r="C1066" s="177"/>
      <c r="D1066" s="178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8"/>
    </row>
    <row r="1067" spans="1:17" s="95" customFormat="1" x14ac:dyDescent="0.25">
      <c r="A1067" s="176"/>
      <c r="B1067" s="177"/>
      <c r="C1067" s="177"/>
      <c r="D1067" s="178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8"/>
    </row>
    <row r="1068" spans="1:17" s="95" customFormat="1" x14ac:dyDescent="0.25">
      <c r="A1068" s="176"/>
      <c r="B1068" s="177"/>
      <c r="C1068" s="177"/>
      <c r="D1068" s="178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8"/>
    </row>
    <row r="1069" spans="1:17" s="95" customFormat="1" x14ac:dyDescent="0.25">
      <c r="A1069" s="176"/>
      <c r="B1069" s="177"/>
      <c r="C1069" s="177"/>
      <c r="D1069" s="178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8"/>
    </row>
    <row r="1070" spans="1:17" s="95" customFormat="1" x14ac:dyDescent="0.25">
      <c r="A1070" s="176"/>
      <c r="B1070" s="177"/>
      <c r="C1070" s="177"/>
      <c r="D1070" s="178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8"/>
    </row>
    <row r="1071" spans="1:17" s="95" customFormat="1" x14ac:dyDescent="0.25">
      <c r="A1071" s="176"/>
      <c r="B1071" s="177"/>
      <c r="C1071" s="177"/>
      <c r="D1071" s="178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8"/>
    </row>
    <row r="1072" spans="1:17" s="95" customFormat="1" x14ac:dyDescent="0.25">
      <c r="A1072" s="176"/>
      <c r="B1072" s="177"/>
      <c r="C1072" s="177"/>
      <c r="D1072" s="178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8"/>
    </row>
    <row r="1073" spans="1:17" s="95" customFormat="1" x14ac:dyDescent="0.25">
      <c r="A1073" s="176"/>
      <c r="B1073" s="177"/>
      <c r="C1073" s="177"/>
      <c r="D1073" s="178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8"/>
    </row>
    <row r="1074" spans="1:17" s="95" customFormat="1" x14ac:dyDescent="0.25">
      <c r="A1074" s="176"/>
      <c r="B1074" s="177"/>
      <c r="C1074" s="177"/>
      <c r="D1074" s="178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8"/>
    </row>
    <row r="1075" spans="1:17" s="95" customFormat="1" x14ac:dyDescent="0.25">
      <c r="A1075" s="176"/>
      <c r="B1075" s="177"/>
      <c r="C1075" s="177"/>
      <c r="D1075" s="178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8"/>
    </row>
    <row r="1076" spans="1:17" s="95" customFormat="1" x14ac:dyDescent="0.25">
      <c r="A1076" s="176"/>
      <c r="B1076" s="177"/>
      <c r="C1076" s="177"/>
      <c r="D1076" s="178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8"/>
    </row>
    <row r="1077" spans="1:17" s="95" customFormat="1" x14ac:dyDescent="0.25">
      <c r="A1077" s="176"/>
      <c r="B1077" s="177"/>
      <c r="C1077" s="177"/>
      <c r="D1077" s="178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8"/>
    </row>
    <row r="1078" spans="1:17" s="95" customFormat="1" x14ac:dyDescent="0.25">
      <c r="A1078" s="176"/>
      <c r="B1078" s="177"/>
      <c r="C1078" s="177"/>
      <c r="D1078" s="178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8"/>
    </row>
    <row r="1079" spans="1:17" s="95" customFormat="1" x14ac:dyDescent="0.25">
      <c r="A1079" s="176"/>
      <c r="B1079" s="177"/>
      <c r="C1079" s="177"/>
      <c r="D1079" s="178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8"/>
    </row>
    <row r="1080" spans="1:17" s="95" customFormat="1" x14ac:dyDescent="0.25">
      <c r="A1080" s="176"/>
      <c r="B1080" s="177"/>
      <c r="C1080" s="177"/>
      <c r="D1080" s="178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8"/>
    </row>
    <row r="1081" spans="1:17" s="95" customFormat="1" x14ac:dyDescent="0.25">
      <c r="A1081" s="176"/>
      <c r="B1081" s="177"/>
      <c r="C1081" s="177"/>
      <c r="D1081" s="178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8"/>
    </row>
    <row r="1082" spans="1:17" s="95" customFormat="1" x14ac:dyDescent="0.25">
      <c r="A1082" s="176"/>
      <c r="B1082" s="177"/>
      <c r="C1082" s="177"/>
      <c r="D1082" s="178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8"/>
    </row>
    <row r="1083" spans="1:17" s="95" customFormat="1" x14ac:dyDescent="0.25">
      <c r="A1083" s="176"/>
      <c r="B1083" s="177"/>
      <c r="C1083" s="177"/>
      <c r="D1083" s="178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8"/>
    </row>
    <row r="1084" spans="1:17" s="95" customFormat="1" x14ac:dyDescent="0.25">
      <c r="A1084" s="176"/>
      <c r="B1084" s="177"/>
      <c r="C1084" s="177"/>
      <c r="D1084" s="178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8"/>
    </row>
    <row r="1085" spans="1:17" s="95" customFormat="1" x14ac:dyDescent="0.25">
      <c r="A1085" s="176"/>
      <c r="B1085" s="177"/>
      <c r="C1085" s="177"/>
      <c r="D1085" s="178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8"/>
    </row>
    <row r="1086" spans="1:17" s="95" customFormat="1" x14ac:dyDescent="0.25">
      <c r="A1086" s="176"/>
      <c r="B1086" s="177"/>
      <c r="C1086" s="177"/>
      <c r="D1086" s="178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8"/>
    </row>
    <row r="1087" spans="1:17" s="95" customFormat="1" x14ac:dyDescent="0.25">
      <c r="A1087" s="176"/>
      <c r="B1087" s="177"/>
      <c r="C1087" s="177"/>
      <c r="D1087" s="178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8"/>
    </row>
    <row r="1088" spans="1:17" s="95" customFormat="1" x14ac:dyDescent="0.25">
      <c r="A1088" s="176"/>
      <c r="B1088" s="177"/>
      <c r="C1088" s="177"/>
      <c r="D1088" s="178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8"/>
    </row>
    <row r="1089" spans="1:17" s="95" customFormat="1" x14ac:dyDescent="0.25">
      <c r="A1089" s="176"/>
      <c r="B1089" s="177"/>
      <c r="C1089" s="177"/>
      <c r="D1089" s="178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8"/>
    </row>
    <row r="1090" spans="1:17" s="95" customFormat="1" x14ac:dyDescent="0.25">
      <c r="A1090" s="176"/>
      <c r="B1090" s="177"/>
      <c r="C1090" s="177"/>
      <c r="D1090" s="178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8"/>
    </row>
    <row r="1091" spans="1:17" s="95" customFormat="1" x14ac:dyDescent="0.25">
      <c r="A1091" s="176"/>
      <c r="B1091" s="177"/>
      <c r="C1091" s="177"/>
      <c r="D1091" s="178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8"/>
    </row>
    <row r="1092" spans="1:17" s="95" customFormat="1" x14ac:dyDescent="0.25">
      <c r="A1092" s="176"/>
      <c r="B1092" s="177"/>
      <c r="C1092" s="177"/>
      <c r="D1092" s="178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8"/>
    </row>
    <row r="1093" spans="1:17" s="95" customFormat="1" x14ac:dyDescent="0.25">
      <c r="A1093" s="176"/>
      <c r="B1093" s="177"/>
      <c r="C1093" s="177"/>
      <c r="D1093" s="178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8"/>
    </row>
    <row r="1094" spans="1:17" s="95" customFormat="1" x14ac:dyDescent="0.25">
      <c r="A1094" s="176"/>
      <c r="B1094" s="177"/>
      <c r="C1094" s="177"/>
      <c r="D1094" s="178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8"/>
    </row>
    <row r="1095" spans="1:17" s="95" customFormat="1" x14ac:dyDescent="0.25">
      <c r="A1095" s="176"/>
      <c r="B1095" s="177"/>
      <c r="C1095" s="177"/>
      <c r="D1095" s="178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8"/>
    </row>
    <row r="1096" spans="1:17" s="95" customFormat="1" x14ac:dyDescent="0.25">
      <c r="A1096" s="176"/>
      <c r="B1096" s="177"/>
      <c r="C1096" s="177"/>
      <c r="D1096" s="178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8"/>
    </row>
    <row r="1097" spans="1:17" s="95" customFormat="1" x14ac:dyDescent="0.25">
      <c r="A1097" s="176"/>
      <c r="B1097" s="177"/>
      <c r="C1097" s="177"/>
      <c r="D1097" s="178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8"/>
    </row>
    <row r="1098" spans="1:17" s="95" customFormat="1" x14ac:dyDescent="0.25">
      <c r="A1098" s="176"/>
      <c r="B1098" s="177"/>
      <c r="C1098" s="177"/>
      <c r="D1098" s="178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8"/>
    </row>
    <row r="1099" spans="1:17" s="95" customFormat="1" x14ac:dyDescent="0.25">
      <c r="A1099" s="176"/>
      <c r="B1099" s="177"/>
      <c r="C1099" s="177"/>
      <c r="D1099" s="178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8"/>
    </row>
    <row r="1100" spans="1:17" s="95" customFormat="1" x14ac:dyDescent="0.25">
      <c r="A1100" s="176"/>
      <c r="B1100" s="177"/>
      <c r="C1100" s="177"/>
      <c r="D1100" s="178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8"/>
    </row>
    <row r="1101" spans="1:17" s="95" customFormat="1" x14ac:dyDescent="0.25">
      <c r="A1101" s="176"/>
      <c r="B1101" s="177"/>
      <c r="C1101" s="177"/>
      <c r="D1101" s="178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8"/>
    </row>
    <row r="1102" spans="1:17" s="95" customFormat="1" x14ac:dyDescent="0.25">
      <c r="A1102" s="176"/>
      <c r="B1102" s="177"/>
      <c r="C1102" s="177"/>
      <c r="D1102" s="178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8"/>
    </row>
    <row r="1103" spans="1:17" s="95" customFormat="1" x14ac:dyDescent="0.25">
      <c r="A1103" s="176"/>
      <c r="B1103" s="177"/>
      <c r="C1103" s="177"/>
      <c r="D1103" s="178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8"/>
    </row>
    <row r="1104" spans="1:17" s="95" customFormat="1" x14ac:dyDescent="0.25">
      <c r="A1104" s="176"/>
      <c r="B1104" s="177"/>
      <c r="C1104" s="177"/>
      <c r="D1104" s="178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8"/>
    </row>
    <row r="1105" spans="1:17" s="95" customFormat="1" x14ac:dyDescent="0.25">
      <c r="A1105" s="176"/>
      <c r="B1105" s="177"/>
      <c r="C1105" s="177"/>
      <c r="D1105" s="178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8"/>
    </row>
    <row r="1106" spans="1:17" s="95" customFormat="1" x14ac:dyDescent="0.25">
      <c r="A1106" s="176"/>
      <c r="B1106" s="177"/>
      <c r="C1106" s="177"/>
      <c r="D1106" s="178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8"/>
    </row>
    <row r="1107" spans="1:17" s="95" customFormat="1" x14ac:dyDescent="0.25">
      <c r="A1107" s="176"/>
      <c r="B1107" s="177"/>
      <c r="C1107" s="177"/>
      <c r="D1107" s="178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8"/>
    </row>
    <row r="1108" spans="1:17" s="95" customFormat="1" x14ac:dyDescent="0.25">
      <c r="A1108" s="176"/>
      <c r="B1108" s="177"/>
      <c r="C1108" s="177"/>
      <c r="D1108" s="178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8"/>
    </row>
    <row r="1109" spans="1:17" s="95" customFormat="1" x14ac:dyDescent="0.25">
      <c r="A1109" s="176"/>
      <c r="B1109" s="177"/>
      <c r="C1109" s="177"/>
      <c r="D1109" s="178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8"/>
    </row>
    <row r="1110" spans="1:17" s="95" customFormat="1" x14ac:dyDescent="0.25">
      <c r="A1110" s="176"/>
      <c r="B1110" s="177"/>
      <c r="C1110" s="177"/>
      <c r="D1110" s="178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8"/>
    </row>
    <row r="1111" spans="1:17" s="95" customFormat="1" x14ac:dyDescent="0.25">
      <c r="A1111" s="176"/>
      <c r="B1111" s="177"/>
      <c r="C1111" s="177"/>
      <c r="D1111" s="178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8"/>
    </row>
    <row r="1112" spans="1:17" s="95" customFormat="1" x14ac:dyDescent="0.25">
      <c r="A1112" s="176"/>
      <c r="B1112" s="177"/>
      <c r="C1112" s="177"/>
      <c r="D1112" s="178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8"/>
    </row>
    <row r="1113" spans="1:17" s="95" customFormat="1" x14ac:dyDescent="0.25">
      <c r="A1113" s="176"/>
      <c r="B1113" s="177"/>
      <c r="C1113" s="177"/>
      <c r="D1113" s="178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8"/>
    </row>
    <row r="1114" spans="1:17" s="95" customFormat="1" x14ac:dyDescent="0.25">
      <c r="A1114" s="176"/>
      <c r="B1114" s="177"/>
      <c r="C1114" s="177"/>
      <c r="D1114" s="178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8"/>
    </row>
    <row r="1115" spans="1:17" s="95" customFormat="1" x14ac:dyDescent="0.25">
      <c r="A1115" s="176"/>
      <c r="B1115" s="177"/>
      <c r="C1115" s="177"/>
      <c r="D1115" s="178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8"/>
    </row>
    <row r="1116" spans="1:17" s="95" customFormat="1" x14ac:dyDescent="0.25">
      <c r="A1116" s="176"/>
      <c r="B1116" s="177"/>
      <c r="C1116" s="177"/>
      <c r="D1116" s="178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8"/>
    </row>
    <row r="1117" spans="1:17" s="95" customFormat="1" x14ac:dyDescent="0.25">
      <c r="A1117" s="176"/>
      <c r="B1117" s="177"/>
      <c r="C1117" s="177"/>
      <c r="D1117" s="178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8"/>
    </row>
    <row r="1118" spans="1:17" s="95" customFormat="1" x14ac:dyDescent="0.25">
      <c r="A1118" s="176"/>
      <c r="B1118" s="177"/>
      <c r="C1118" s="177"/>
      <c r="D1118" s="178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8"/>
    </row>
    <row r="1119" spans="1:17" s="95" customFormat="1" x14ac:dyDescent="0.25">
      <c r="A1119" s="176"/>
      <c r="B1119" s="177"/>
      <c r="C1119" s="177"/>
      <c r="D1119" s="178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8"/>
    </row>
    <row r="1120" spans="1:17" s="95" customFormat="1" x14ac:dyDescent="0.25">
      <c r="A1120" s="176"/>
      <c r="B1120" s="177"/>
      <c r="C1120" s="177"/>
      <c r="D1120" s="178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8"/>
    </row>
    <row r="1121" spans="1:17" s="95" customFormat="1" x14ac:dyDescent="0.25">
      <c r="A1121" s="176"/>
      <c r="B1121" s="177"/>
      <c r="C1121" s="177"/>
      <c r="D1121" s="178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8"/>
    </row>
    <row r="1122" spans="1:17" s="95" customFormat="1" x14ac:dyDescent="0.25">
      <c r="A1122" s="176"/>
      <c r="B1122" s="177"/>
      <c r="C1122" s="177"/>
      <c r="D1122" s="178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8"/>
    </row>
    <row r="1123" spans="1:17" s="95" customFormat="1" x14ac:dyDescent="0.25">
      <c r="A1123" s="176"/>
      <c r="B1123" s="177"/>
      <c r="C1123" s="177"/>
      <c r="D1123" s="178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8"/>
    </row>
    <row r="1124" spans="1:17" s="95" customFormat="1" x14ac:dyDescent="0.25">
      <c r="A1124" s="176"/>
      <c r="B1124" s="177"/>
      <c r="C1124" s="177"/>
      <c r="D1124" s="178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8"/>
    </row>
    <row r="1125" spans="1:17" s="95" customFormat="1" x14ac:dyDescent="0.25">
      <c r="A1125" s="176"/>
      <c r="B1125" s="177"/>
      <c r="C1125" s="177"/>
      <c r="D1125" s="178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8"/>
    </row>
    <row r="1126" spans="1:17" s="95" customFormat="1" x14ac:dyDescent="0.25">
      <c r="A1126" s="176"/>
      <c r="B1126" s="177"/>
      <c r="C1126" s="177"/>
      <c r="D1126" s="178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8"/>
    </row>
    <row r="1127" spans="1:17" s="95" customFormat="1" x14ac:dyDescent="0.25">
      <c r="A1127" s="176"/>
      <c r="B1127" s="177"/>
      <c r="C1127" s="177"/>
      <c r="D1127" s="178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8"/>
    </row>
    <row r="1128" spans="1:17" s="95" customFormat="1" x14ac:dyDescent="0.25">
      <c r="A1128" s="176"/>
      <c r="B1128" s="177"/>
      <c r="C1128" s="177"/>
      <c r="D1128" s="178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8"/>
    </row>
    <row r="1129" spans="1:17" s="95" customFormat="1" x14ac:dyDescent="0.25">
      <c r="A1129" s="176"/>
      <c r="B1129" s="177"/>
      <c r="C1129" s="177"/>
      <c r="D1129" s="178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8"/>
    </row>
    <row r="1130" spans="1:17" s="95" customFormat="1" x14ac:dyDescent="0.25">
      <c r="A1130" s="176"/>
      <c r="B1130" s="177"/>
      <c r="C1130" s="177"/>
      <c r="D1130" s="178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8"/>
    </row>
    <row r="1131" spans="1:17" s="95" customFormat="1" x14ac:dyDescent="0.25">
      <c r="A1131" s="176"/>
      <c r="B1131" s="177"/>
      <c r="C1131" s="177"/>
      <c r="D1131" s="178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8"/>
    </row>
    <row r="1132" spans="1:17" s="95" customFormat="1" x14ac:dyDescent="0.25">
      <c r="A1132" s="176"/>
      <c r="B1132" s="177"/>
      <c r="C1132" s="177"/>
      <c r="D1132" s="178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8"/>
    </row>
    <row r="1133" spans="1:17" s="95" customFormat="1" x14ac:dyDescent="0.25">
      <c r="A1133" s="176"/>
      <c r="B1133" s="177"/>
      <c r="C1133" s="177"/>
      <c r="D1133" s="178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8"/>
    </row>
    <row r="1134" spans="1:17" s="95" customFormat="1" x14ac:dyDescent="0.25">
      <c r="A1134" s="176"/>
      <c r="B1134" s="177"/>
      <c r="C1134" s="177"/>
      <c r="D1134" s="178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8"/>
    </row>
    <row r="1135" spans="1:17" s="95" customFormat="1" x14ac:dyDescent="0.25">
      <c r="A1135" s="176"/>
      <c r="B1135" s="177"/>
      <c r="C1135" s="177"/>
      <c r="D1135" s="178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8"/>
    </row>
    <row r="1136" spans="1:17" s="95" customFormat="1" x14ac:dyDescent="0.25">
      <c r="A1136" s="176"/>
      <c r="B1136" s="177"/>
      <c r="C1136" s="177"/>
      <c r="D1136" s="178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8"/>
    </row>
    <row r="1137" spans="1:17" s="95" customFormat="1" x14ac:dyDescent="0.25">
      <c r="A1137" s="176"/>
      <c r="B1137" s="177"/>
      <c r="C1137" s="177"/>
      <c r="D1137" s="178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8"/>
    </row>
    <row r="1138" spans="1:17" s="95" customFormat="1" x14ac:dyDescent="0.25">
      <c r="A1138" s="176"/>
      <c r="B1138" s="177"/>
      <c r="C1138" s="177"/>
      <c r="D1138" s="178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8"/>
    </row>
    <row r="1139" spans="1:17" s="95" customFormat="1" x14ac:dyDescent="0.25">
      <c r="A1139" s="176"/>
      <c r="B1139" s="177"/>
      <c r="C1139" s="177"/>
      <c r="D1139" s="178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8"/>
    </row>
    <row r="1140" spans="1:17" s="95" customFormat="1" x14ac:dyDescent="0.25">
      <c r="A1140" s="176"/>
      <c r="B1140" s="177"/>
      <c r="C1140" s="177"/>
      <c r="D1140" s="178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8"/>
    </row>
    <row r="1141" spans="1:17" s="95" customFormat="1" x14ac:dyDescent="0.25">
      <c r="A1141" s="176"/>
      <c r="B1141" s="177"/>
      <c r="C1141" s="177"/>
      <c r="D1141" s="178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8"/>
    </row>
    <row r="1142" spans="1:17" s="95" customFormat="1" x14ac:dyDescent="0.25">
      <c r="A1142" s="176"/>
      <c r="B1142" s="177"/>
      <c r="C1142" s="177"/>
      <c r="D1142" s="178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8"/>
    </row>
    <row r="1143" spans="1:17" s="95" customFormat="1" x14ac:dyDescent="0.25">
      <c r="A1143" s="176"/>
      <c r="B1143" s="177"/>
      <c r="C1143" s="177"/>
      <c r="D1143" s="178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8"/>
    </row>
    <row r="1144" spans="1:17" s="95" customFormat="1" x14ac:dyDescent="0.25">
      <c r="A1144" s="176"/>
      <c r="B1144" s="177"/>
      <c r="C1144" s="177"/>
      <c r="D1144" s="178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8"/>
    </row>
    <row r="1145" spans="1:17" s="95" customFormat="1" x14ac:dyDescent="0.25">
      <c r="A1145" s="176"/>
      <c r="B1145" s="177"/>
      <c r="C1145" s="177"/>
      <c r="D1145" s="178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8"/>
    </row>
    <row r="1146" spans="1:17" s="95" customFormat="1" x14ac:dyDescent="0.25">
      <c r="A1146" s="176"/>
      <c r="B1146" s="177"/>
      <c r="C1146" s="177"/>
      <c r="D1146" s="178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8"/>
    </row>
    <row r="1147" spans="1:17" s="95" customFormat="1" x14ac:dyDescent="0.25">
      <c r="A1147" s="176"/>
      <c r="B1147" s="177"/>
      <c r="C1147" s="177"/>
      <c r="D1147" s="178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8"/>
    </row>
    <row r="1148" spans="1:17" s="95" customFormat="1" x14ac:dyDescent="0.25">
      <c r="A1148" s="176"/>
      <c r="B1148" s="177"/>
      <c r="C1148" s="177"/>
      <c r="D1148" s="178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8"/>
    </row>
    <row r="1149" spans="1:17" s="95" customFormat="1" x14ac:dyDescent="0.25">
      <c r="A1149" s="176"/>
      <c r="B1149" s="177"/>
      <c r="C1149" s="177"/>
      <c r="D1149" s="178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8"/>
    </row>
    <row r="1150" spans="1:17" s="95" customFormat="1" x14ac:dyDescent="0.25">
      <c r="A1150" s="176"/>
      <c r="B1150" s="177"/>
      <c r="C1150" s="177"/>
      <c r="D1150" s="178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8"/>
    </row>
    <row r="1151" spans="1:17" s="95" customFormat="1" x14ac:dyDescent="0.25">
      <c r="A1151" s="176"/>
      <c r="B1151" s="177"/>
      <c r="C1151" s="177"/>
      <c r="D1151" s="178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8"/>
    </row>
    <row r="1152" spans="1:17" s="95" customFormat="1" x14ac:dyDescent="0.25">
      <c r="A1152" s="176"/>
      <c r="B1152" s="177"/>
      <c r="C1152" s="177"/>
      <c r="D1152" s="178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8"/>
    </row>
    <row r="1153" spans="1:17" s="95" customFormat="1" x14ac:dyDescent="0.25">
      <c r="A1153" s="176"/>
      <c r="B1153" s="177"/>
      <c r="C1153" s="177"/>
      <c r="D1153" s="178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8"/>
    </row>
    <row r="1154" spans="1:17" s="95" customFormat="1" x14ac:dyDescent="0.25">
      <c r="A1154" s="176"/>
      <c r="B1154" s="177"/>
      <c r="C1154" s="177"/>
      <c r="D1154" s="178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8"/>
    </row>
    <row r="1155" spans="1:17" s="95" customFormat="1" x14ac:dyDescent="0.25">
      <c r="A1155" s="176"/>
      <c r="B1155" s="177"/>
      <c r="C1155" s="177"/>
      <c r="D1155" s="178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8"/>
    </row>
    <row r="1156" spans="1:17" s="95" customFormat="1" x14ac:dyDescent="0.25">
      <c r="A1156" s="176"/>
      <c r="B1156" s="177"/>
      <c r="C1156" s="177"/>
      <c r="D1156" s="178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8"/>
    </row>
    <row r="1157" spans="1:17" s="95" customFormat="1" x14ac:dyDescent="0.25">
      <c r="A1157" s="176"/>
      <c r="B1157" s="177"/>
      <c r="C1157" s="177"/>
      <c r="D1157" s="178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8"/>
    </row>
    <row r="1158" spans="1:17" s="95" customFormat="1" x14ac:dyDescent="0.25">
      <c r="A1158" s="176"/>
      <c r="B1158" s="177"/>
      <c r="C1158" s="177"/>
      <c r="D1158" s="178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8"/>
    </row>
    <row r="1159" spans="1:17" s="95" customFormat="1" x14ac:dyDescent="0.25">
      <c r="A1159" s="176"/>
      <c r="B1159" s="177"/>
      <c r="C1159" s="177"/>
      <c r="D1159" s="178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8"/>
    </row>
    <row r="1160" spans="1:17" s="95" customFormat="1" x14ac:dyDescent="0.25">
      <c r="A1160" s="176"/>
      <c r="B1160" s="177"/>
      <c r="C1160" s="177"/>
      <c r="D1160" s="178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8"/>
    </row>
    <row r="1161" spans="1:17" s="95" customFormat="1" x14ac:dyDescent="0.25">
      <c r="A1161" s="176"/>
      <c r="B1161" s="177"/>
      <c r="C1161" s="177"/>
      <c r="D1161" s="178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8"/>
    </row>
    <row r="1162" spans="1:17" s="95" customFormat="1" x14ac:dyDescent="0.25">
      <c r="A1162" s="176"/>
      <c r="B1162" s="177"/>
      <c r="C1162" s="177"/>
      <c r="D1162" s="178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8"/>
    </row>
    <row r="1163" spans="1:17" s="95" customFormat="1" x14ac:dyDescent="0.25">
      <c r="A1163" s="176"/>
      <c r="B1163" s="177"/>
      <c r="C1163" s="177"/>
      <c r="D1163" s="178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8"/>
    </row>
    <row r="1164" spans="1:17" s="95" customFormat="1" x14ac:dyDescent="0.25">
      <c r="A1164" s="176"/>
      <c r="B1164" s="177"/>
      <c r="C1164" s="177"/>
      <c r="D1164" s="178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8"/>
    </row>
    <row r="1165" spans="1:17" s="95" customFormat="1" x14ac:dyDescent="0.25">
      <c r="A1165" s="176"/>
      <c r="B1165" s="177"/>
      <c r="C1165" s="177"/>
      <c r="D1165" s="178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8"/>
    </row>
    <row r="1166" spans="1:17" s="95" customFormat="1" x14ac:dyDescent="0.25">
      <c r="A1166" s="176"/>
      <c r="B1166" s="177"/>
      <c r="C1166" s="177"/>
      <c r="D1166" s="178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8"/>
    </row>
    <row r="1167" spans="1:17" s="95" customFormat="1" x14ac:dyDescent="0.25">
      <c r="A1167" s="176"/>
      <c r="B1167" s="177"/>
      <c r="C1167" s="177"/>
      <c r="D1167" s="178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8"/>
    </row>
    <row r="1168" spans="1:17" s="95" customFormat="1" x14ac:dyDescent="0.25">
      <c r="A1168" s="176"/>
      <c r="B1168" s="177"/>
      <c r="C1168" s="177"/>
      <c r="D1168" s="178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8"/>
    </row>
    <row r="1169" spans="1:17" s="95" customFormat="1" x14ac:dyDescent="0.25">
      <c r="A1169" s="176"/>
      <c r="B1169" s="177"/>
      <c r="C1169" s="177"/>
      <c r="D1169" s="178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8"/>
    </row>
    <row r="1170" spans="1:17" s="95" customFormat="1" x14ac:dyDescent="0.25">
      <c r="A1170" s="176"/>
      <c r="B1170" s="177"/>
      <c r="C1170" s="177"/>
      <c r="D1170" s="178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8"/>
    </row>
    <row r="1171" spans="1:17" s="95" customFormat="1" x14ac:dyDescent="0.25">
      <c r="A1171" s="176"/>
      <c r="B1171" s="177"/>
      <c r="C1171" s="177"/>
      <c r="D1171" s="178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8"/>
    </row>
    <row r="1172" spans="1:17" s="95" customFormat="1" x14ac:dyDescent="0.25">
      <c r="A1172" s="176"/>
      <c r="B1172" s="177"/>
      <c r="C1172" s="177"/>
      <c r="D1172" s="178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8"/>
    </row>
    <row r="1173" spans="1:17" s="95" customFormat="1" x14ac:dyDescent="0.25">
      <c r="A1173" s="176"/>
      <c r="B1173" s="177"/>
      <c r="C1173" s="177"/>
      <c r="D1173" s="178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8"/>
    </row>
    <row r="1174" spans="1:17" s="95" customFormat="1" x14ac:dyDescent="0.25">
      <c r="A1174" s="176"/>
      <c r="B1174" s="177"/>
      <c r="C1174" s="177"/>
      <c r="D1174" s="178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8"/>
    </row>
    <row r="1175" spans="1:17" s="95" customFormat="1" x14ac:dyDescent="0.25">
      <c r="A1175" s="176"/>
      <c r="B1175" s="177"/>
      <c r="C1175" s="177"/>
      <c r="D1175" s="178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8"/>
    </row>
    <row r="1176" spans="1:17" s="95" customFormat="1" x14ac:dyDescent="0.25">
      <c r="A1176" s="176"/>
      <c r="B1176" s="177"/>
      <c r="C1176" s="177"/>
      <c r="D1176" s="178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8"/>
    </row>
    <row r="1177" spans="1:17" s="95" customFormat="1" x14ac:dyDescent="0.25">
      <c r="A1177" s="176"/>
      <c r="B1177" s="177"/>
      <c r="C1177" s="177"/>
      <c r="D1177" s="178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8"/>
    </row>
    <row r="1178" spans="1:17" s="95" customFormat="1" x14ac:dyDescent="0.25">
      <c r="A1178" s="176"/>
      <c r="B1178" s="177"/>
      <c r="C1178" s="177"/>
      <c r="D1178" s="178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8"/>
    </row>
    <row r="1179" spans="1:17" s="95" customFormat="1" x14ac:dyDescent="0.25">
      <c r="A1179" s="176"/>
      <c r="B1179" s="177"/>
      <c r="C1179" s="177"/>
      <c r="D1179" s="178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8"/>
    </row>
    <row r="1180" spans="1:17" s="95" customFormat="1" x14ac:dyDescent="0.25">
      <c r="A1180" s="176"/>
      <c r="B1180" s="177"/>
      <c r="C1180" s="177"/>
      <c r="D1180" s="178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8"/>
    </row>
    <row r="1181" spans="1:17" s="95" customFormat="1" x14ac:dyDescent="0.25">
      <c r="A1181" s="176"/>
      <c r="B1181" s="177"/>
      <c r="C1181" s="177"/>
      <c r="D1181" s="178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8"/>
    </row>
    <row r="1182" spans="1:17" s="95" customFormat="1" x14ac:dyDescent="0.25">
      <c r="A1182" s="176"/>
      <c r="B1182" s="177"/>
      <c r="C1182" s="177"/>
      <c r="D1182" s="178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8"/>
    </row>
    <row r="1183" spans="1:17" s="95" customFormat="1" x14ac:dyDescent="0.25">
      <c r="A1183" s="176"/>
      <c r="B1183" s="177"/>
      <c r="C1183" s="177"/>
      <c r="D1183" s="178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8"/>
    </row>
    <row r="1184" spans="1:17" s="95" customFormat="1" x14ac:dyDescent="0.25">
      <c r="A1184" s="176"/>
      <c r="B1184" s="177"/>
      <c r="C1184" s="177"/>
      <c r="D1184" s="178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8"/>
    </row>
    <row r="1185" spans="1:17" s="95" customFormat="1" x14ac:dyDescent="0.25">
      <c r="A1185" s="176"/>
      <c r="B1185" s="177"/>
      <c r="C1185" s="177"/>
      <c r="D1185" s="178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8"/>
    </row>
    <row r="1186" spans="1:17" s="95" customFormat="1" x14ac:dyDescent="0.25">
      <c r="A1186" s="176"/>
      <c r="B1186" s="177"/>
      <c r="C1186" s="177"/>
      <c r="D1186" s="178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8"/>
    </row>
    <row r="1187" spans="1:17" s="95" customFormat="1" x14ac:dyDescent="0.25">
      <c r="A1187" s="176"/>
      <c r="B1187" s="177"/>
      <c r="C1187" s="177"/>
      <c r="D1187" s="178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8"/>
    </row>
    <row r="1188" spans="1:17" s="95" customFormat="1" x14ac:dyDescent="0.25">
      <c r="A1188" s="176"/>
      <c r="B1188" s="177"/>
      <c r="C1188" s="177"/>
      <c r="D1188" s="178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8"/>
    </row>
    <row r="1189" spans="1:17" s="95" customFormat="1" x14ac:dyDescent="0.25">
      <c r="A1189" s="176"/>
      <c r="B1189" s="177"/>
      <c r="C1189" s="177"/>
      <c r="D1189" s="178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8"/>
    </row>
    <row r="1190" spans="1:17" s="95" customFormat="1" x14ac:dyDescent="0.25">
      <c r="A1190" s="176"/>
      <c r="B1190" s="177"/>
      <c r="C1190" s="177"/>
      <c r="D1190" s="178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8"/>
    </row>
    <row r="1191" spans="1:17" s="95" customFormat="1" x14ac:dyDescent="0.25">
      <c r="A1191" s="176"/>
      <c r="B1191" s="177"/>
      <c r="C1191" s="177"/>
      <c r="D1191" s="178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8"/>
    </row>
    <row r="1192" spans="1:17" s="95" customFormat="1" x14ac:dyDescent="0.25">
      <c r="A1192" s="176"/>
      <c r="B1192" s="177"/>
      <c r="C1192" s="177"/>
      <c r="D1192" s="178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8"/>
    </row>
    <row r="1193" spans="1:17" s="95" customFormat="1" x14ac:dyDescent="0.25">
      <c r="A1193" s="176"/>
      <c r="B1193" s="177"/>
      <c r="C1193" s="177"/>
      <c r="D1193" s="178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8"/>
    </row>
    <row r="1194" spans="1:17" s="95" customFormat="1" x14ac:dyDescent="0.25">
      <c r="A1194" s="176"/>
      <c r="B1194" s="177"/>
      <c r="C1194" s="177"/>
      <c r="D1194" s="178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8"/>
    </row>
    <row r="1195" spans="1:17" s="95" customFormat="1" x14ac:dyDescent="0.25">
      <c r="A1195" s="176"/>
      <c r="B1195" s="177"/>
      <c r="C1195" s="177"/>
      <c r="D1195" s="178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8"/>
    </row>
    <row r="1196" spans="1:17" s="95" customFormat="1" x14ac:dyDescent="0.25">
      <c r="A1196" s="176"/>
      <c r="B1196" s="177"/>
      <c r="C1196" s="177"/>
      <c r="D1196" s="178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8"/>
    </row>
    <row r="1197" spans="1:17" s="95" customFormat="1" x14ac:dyDescent="0.25">
      <c r="A1197" s="176"/>
      <c r="B1197" s="177"/>
      <c r="C1197" s="177"/>
      <c r="D1197" s="178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8"/>
    </row>
    <row r="1198" spans="1:17" s="95" customFormat="1" x14ac:dyDescent="0.25">
      <c r="A1198" s="176"/>
      <c r="B1198" s="177"/>
      <c r="C1198" s="177"/>
      <c r="D1198" s="178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8"/>
    </row>
    <row r="1199" spans="1:17" s="95" customFormat="1" x14ac:dyDescent="0.25">
      <c r="A1199" s="176"/>
      <c r="B1199" s="177"/>
      <c r="C1199" s="177"/>
      <c r="D1199" s="178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8"/>
    </row>
    <row r="1200" spans="1:17" s="95" customFormat="1" x14ac:dyDescent="0.25">
      <c r="A1200" s="176"/>
      <c r="B1200" s="177"/>
      <c r="C1200" s="177"/>
      <c r="D1200" s="178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8"/>
    </row>
    <row r="1201" spans="1:17" s="95" customFormat="1" x14ac:dyDescent="0.25">
      <c r="A1201" s="176"/>
      <c r="B1201" s="177"/>
      <c r="C1201" s="177"/>
      <c r="D1201" s="178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8"/>
    </row>
    <row r="1202" spans="1:17" s="95" customFormat="1" x14ac:dyDescent="0.25">
      <c r="A1202" s="176"/>
      <c r="B1202" s="177"/>
      <c r="C1202" s="177"/>
      <c r="D1202" s="178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8"/>
    </row>
    <row r="1203" spans="1:17" s="95" customFormat="1" x14ac:dyDescent="0.25">
      <c r="A1203" s="176"/>
      <c r="B1203" s="177"/>
      <c r="C1203" s="177"/>
      <c r="D1203" s="178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8"/>
    </row>
    <row r="1204" spans="1:17" s="95" customFormat="1" x14ac:dyDescent="0.25">
      <c r="A1204" s="176"/>
      <c r="B1204" s="177"/>
      <c r="C1204" s="177"/>
      <c r="D1204" s="178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8"/>
    </row>
    <row r="1205" spans="1:17" s="95" customFormat="1" x14ac:dyDescent="0.25">
      <c r="A1205" s="176"/>
      <c r="B1205" s="177"/>
      <c r="C1205" s="177"/>
      <c r="D1205" s="178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8"/>
    </row>
    <row r="1206" spans="1:17" s="95" customFormat="1" x14ac:dyDescent="0.25">
      <c r="A1206" s="176"/>
      <c r="B1206" s="177"/>
      <c r="C1206" s="177"/>
      <c r="D1206" s="178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8"/>
    </row>
    <row r="1207" spans="1:17" s="95" customFormat="1" x14ac:dyDescent="0.25">
      <c r="A1207" s="176"/>
      <c r="B1207" s="177"/>
      <c r="C1207" s="177"/>
      <c r="D1207" s="178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8"/>
    </row>
    <row r="1208" spans="1:17" s="95" customFormat="1" x14ac:dyDescent="0.25">
      <c r="A1208" s="176"/>
      <c r="B1208" s="177"/>
      <c r="C1208" s="177"/>
      <c r="D1208" s="178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8"/>
    </row>
    <row r="1209" spans="1:17" s="95" customFormat="1" x14ac:dyDescent="0.25">
      <c r="A1209" s="176"/>
      <c r="B1209" s="177"/>
      <c r="C1209" s="177"/>
      <c r="D1209" s="178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8"/>
    </row>
    <row r="1210" spans="1:17" s="95" customFormat="1" x14ac:dyDescent="0.25">
      <c r="A1210" s="176"/>
      <c r="B1210" s="177"/>
      <c r="C1210" s="177"/>
      <c r="D1210" s="178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8"/>
    </row>
    <row r="1211" spans="1:17" s="95" customFormat="1" x14ac:dyDescent="0.25">
      <c r="A1211" s="176"/>
      <c r="B1211" s="177"/>
      <c r="C1211" s="177"/>
      <c r="D1211" s="178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8"/>
    </row>
    <row r="1212" spans="1:17" s="95" customFormat="1" x14ac:dyDescent="0.25">
      <c r="A1212" s="176"/>
      <c r="B1212" s="177"/>
      <c r="C1212" s="177"/>
      <c r="D1212" s="178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8"/>
    </row>
    <row r="1213" spans="1:17" s="95" customFormat="1" x14ac:dyDescent="0.25">
      <c r="A1213" s="176"/>
      <c r="B1213" s="177"/>
      <c r="C1213" s="177"/>
      <c r="D1213" s="178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8"/>
    </row>
    <row r="1214" spans="1:17" s="95" customFormat="1" x14ac:dyDescent="0.25">
      <c r="A1214" s="176"/>
      <c r="B1214" s="177"/>
      <c r="C1214" s="177"/>
      <c r="D1214" s="178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8"/>
    </row>
    <row r="1215" spans="1:17" s="95" customFormat="1" x14ac:dyDescent="0.25">
      <c r="A1215" s="176"/>
      <c r="B1215" s="177"/>
      <c r="C1215" s="177"/>
      <c r="D1215" s="178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8"/>
    </row>
    <row r="1216" spans="1:17" s="95" customFormat="1" x14ac:dyDescent="0.25">
      <c r="A1216" s="176"/>
      <c r="B1216" s="177"/>
      <c r="C1216" s="177"/>
      <c r="D1216" s="178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8"/>
    </row>
    <row r="1217" spans="1:17" s="95" customFormat="1" x14ac:dyDescent="0.25">
      <c r="A1217" s="176"/>
      <c r="B1217" s="177"/>
      <c r="C1217" s="177"/>
      <c r="D1217" s="178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8"/>
    </row>
    <row r="1218" spans="1:17" s="95" customFormat="1" x14ac:dyDescent="0.25">
      <c r="A1218" s="176"/>
      <c r="B1218" s="177"/>
      <c r="C1218" s="177"/>
      <c r="D1218" s="178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8"/>
    </row>
    <row r="1219" spans="1:17" s="95" customFormat="1" x14ac:dyDescent="0.25">
      <c r="A1219" s="176"/>
      <c r="B1219" s="177"/>
      <c r="C1219" s="177"/>
      <c r="D1219" s="178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8"/>
    </row>
    <row r="1220" spans="1:17" s="95" customFormat="1" x14ac:dyDescent="0.25">
      <c r="A1220" s="176"/>
      <c r="B1220" s="177"/>
      <c r="C1220" s="177"/>
      <c r="D1220" s="178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8"/>
    </row>
    <row r="1221" spans="1:17" s="95" customFormat="1" x14ac:dyDescent="0.25">
      <c r="A1221" s="176"/>
      <c r="B1221" s="177"/>
      <c r="C1221" s="177"/>
      <c r="D1221" s="178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8"/>
    </row>
    <row r="1222" spans="1:17" s="95" customFormat="1" x14ac:dyDescent="0.25">
      <c r="A1222" s="176"/>
      <c r="B1222" s="177"/>
      <c r="C1222" s="177"/>
      <c r="D1222" s="178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8"/>
    </row>
    <row r="1223" spans="1:17" s="95" customFormat="1" x14ac:dyDescent="0.25">
      <c r="A1223" s="176"/>
      <c r="B1223" s="177"/>
      <c r="C1223" s="177"/>
      <c r="D1223" s="178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8"/>
    </row>
    <row r="1224" spans="1:17" s="95" customFormat="1" x14ac:dyDescent="0.25">
      <c r="A1224" s="176"/>
      <c r="B1224" s="177"/>
      <c r="C1224" s="177"/>
      <c r="D1224" s="178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8"/>
    </row>
    <row r="1225" spans="1:17" s="95" customFormat="1" x14ac:dyDescent="0.25">
      <c r="A1225" s="176"/>
      <c r="B1225" s="177"/>
      <c r="C1225" s="177"/>
      <c r="D1225" s="178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8"/>
    </row>
    <row r="1226" spans="1:17" s="95" customFormat="1" x14ac:dyDescent="0.25">
      <c r="A1226" s="176"/>
      <c r="B1226" s="177"/>
      <c r="C1226" s="177"/>
      <c r="D1226" s="178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8"/>
    </row>
    <row r="1227" spans="1:17" s="95" customFormat="1" x14ac:dyDescent="0.25">
      <c r="A1227" s="176"/>
      <c r="B1227" s="177"/>
      <c r="C1227" s="177"/>
      <c r="D1227" s="178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8"/>
    </row>
    <row r="1228" spans="1:17" s="95" customFormat="1" x14ac:dyDescent="0.25">
      <c r="A1228" s="176"/>
      <c r="B1228" s="177"/>
      <c r="C1228" s="177"/>
      <c r="D1228" s="178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8"/>
    </row>
    <row r="1229" spans="1:17" s="95" customFormat="1" x14ac:dyDescent="0.25">
      <c r="A1229" s="176"/>
      <c r="B1229" s="177"/>
      <c r="C1229" s="177"/>
      <c r="D1229" s="178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8"/>
    </row>
    <row r="1230" spans="1:17" s="95" customFormat="1" x14ac:dyDescent="0.25">
      <c r="A1230" s="176"/>
      <c r="B1230" s="177"/>
      <c r="C1230" s="177"/>
      <c r="D1230" s="178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8"/>
    </row>
    <row r="1231" spans="1:17" s="95" customFormat="1" x14ac:dyDescent="0.25">
      <c r="A1231" s="176"/>
      <c r="B1231" s="177"/>
      <c r="C1231" s="177"/>
      <c r="D1231" s="178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8"/>
    </row>
    <row r="1232" spans="1:17" s="95" customFormat="1" x14ac:dyDescent="0.25">
      <c r="A1232" s="176"/>
      <c r="B1232" s="177"/>
      <c r="C1232" s="177"/>
      <c r="D1232" s="178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8"/>
    </row>
    <row r="1233" spans="1:17" s="95" customFormat="1" x14ac:dyDescent="0.25">
      <c r="A1233" s="176"/>
      <c r="B1233" s="177"/>
      <c r="C1233" s="177"/>
      <c r="D1233" s="178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8"/>
    </row>
    <row r="1234" spans="1:17" s="95" customFormat="1" x14ac:dyDescent="0.25">
      <c r="A1234" s="176"/>
      <c r="B1234" s="177"/>
      <c r="C1234" s="177"/>
      <c r="D1234" s="178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8"/>
    </row>
    <row r="1235" spans="1:17" s="95" customFormat="1" x14ac:dyDescent="0.25">
      <c r="A1235" s="176"/>
      <c r="B1235" s="177"/>
      <c r="C1235" s="177"/>
      <c r="D1235" s="178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8"/>
    </row>
    <row r="1236" spans="1:17" s="95" customFormat="1" x14ac:dyDescent="0.25">
      <c r="A1236" s="176"/>
      <c r="B1236" s="177"/>
      <c r="C1236" s="177"/>
      <c r="D1236" s="178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8"/>
    </row>
    <row r="1237" spans="1:17" s="95" customFormat="1" x14ac:dyDescent="0.25">
      <c r="A1237" s="176"/>
      <c r="B1237" s="177"/>
      <c r="C1237" s="177"/>
      <c r="D1237" s="178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8"/>
    </row>
    <row r="1238" spans="1:17" s="95" customFormat="1" x14ac:dyDescent="0.25">
      <c r="A1238" s="176"/>
      <c r="B1238" s="177"/>
      <c r="C1238" s="177"/>
      <c r="D1238" s="178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8"/>
    </row>
    <row r="1239" spans="1:17" s="95" customFormat="1" x14ac:dyDescent="0.25">
      <c r="A1239" s="176"/>
      <c r="B1239" s="177"/>
      <c r="C1239" s="177"/>
      <c r="D1239" s="178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8"/>
    </row>
    <row r="1240" spans="1:17" s="95" customFormat="1" x14ac:dyDescent="0.25">
      <c r="A1240" s="176"/>
      <c r="B1240" s="177"/>
      <c r="C1240" s="177"/>
      <c r="D1240" s="178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8"/>
    </row>
    <row r="1241" spans="1:17" s="95" customFormat="1" x14ac:dyDescent="0.25">
      <c r="A1241" s="176"/>
      <c r="B1241" s="177"/>
      <c r="C1241" s="177"/>
      <c r="D1241" s="178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8"/>
    </row>
    <row r="1242" spans="1:17" s="95" customFormat="1" x14ac:dyDescent="0.25">
      <c r="A1242" s="176"/>
      <c r="B1242" s="177"/>
      <c r="C1242" s="177"/>
      <c r="D1242" s="178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8"/>
    </row>
    <row r="1243" spans="1:17" s="95" customFormat="1" x14ac:dyDescent="0.25">
      <c r="A1243" s="176"/>
      <c r="B1243" s="177"/>
      <c r="C1243" s="177"/>
      <c r="D1243" s="178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8"/>
    </row>
    <row r="1244" spans="1:17" s="95" customFormat="1" x14ac:dyDescent="0.25">
      <c r="A1244" s="176"/>
      <c r="B1244" s="177"/>
      <c r="C1244" s="177"/>
      <c r="D1244" s="178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8"/>
    </row>
    <row r="1245" spans="1:17" s="95" customFormat="1" x14ac:dyDescent="0.25">
      <c r="A1245" s="176"/>
      <c r="B1245" s="177"/>
      <c r="C1245" s="177"/>
      <c r="D1245" s="178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8"/>
    </row>
    <row r="1246" spans="1:17" s="95" customFormat="1" x14ac:dyDescent="0.25">
      <c r="A1246" s="176"/>
      <c r="B1246" s="177"/>
      <c r="C1246" s="177"/>
      <c r="D1246" s="178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8"/>
    </row>
    <row r="1247" spans="1:17" s="95" customFormat="1" x14ac:dyDescent="0.25">
      <c r="A1247" s="176"/>
      <c r="B1247" s="177"/>
      <c r="C1247" s="177"/>
      <c r="D1247" s="178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8"/>
    </row>
    <row r="1248" spans="1:17" s="95" customFormat="1" x14ac:dyDescent="0.25">
      <c r="A1248" s="176"/>
      <c r="B1248" s="177"/>
      <c r="C1248" s="177"/>
      <c r="D1248" s="178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8"/>
    </row>
    <row r="1249" spans="1:17" s="95" customFormat="1" x14ac:dyDescent="0.25">
      <c r="A1249" s="176"/>
      <c r="B1249" s="177"/>
      <c r="C1249" s="177"/>
      <c r="D1249" s="178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8"/>
    </row>
    <row r="1250" spans="1:17" s="95" customFormat="1" x14ac:dyDescent="0.25">
      <c r="A1250" s="176"/>
      <c r="B1250" s="177"/>
      <c r="C1250" s="177"/>
      <c r="D1250" s="178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8"/>
    </row>
    <row r="1251" spans="1:17" s="95" customFormat="1" x14ac:dyDescent="0.25">
      <c r="A1251" s="176"/>
      <c r="B1251" s="177"/>
      <c r="C1251" s="177"/>
      <c r="D1251" s="178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8"/>
    </row>
    <row r="1252" spans="1:17" s="95" customFormat="1" x14ac:dyDescent="0.25">
      <c r="A1252" s="176"/>
      <c r="B1252" s="177"/>
      <c r="C1252" s="177"/>
      <c r="D1252" s="178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8"/>
    </row>
    <row r="1253" spans="1:17" s="95" customFormat="1" x14ac:dyDescent="0.25">
      <c r="A1253" s="176"/>
      <c r="B1253" s="177"/>
      <c r="C1253" s="177"/>
      <c r="D1253" s="178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8"/>
    </row>
    <row r="1254" spans="1:17" s="95" customFormat="1" x14ac:dyDescent="0.25">
      <c r="A1254" s="176"/>
      <c r="B1254" s="177"/>
      <c r="C1254" s="177"/>
      <c r="D1254" s="178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8"/>
    </row>
    <row r="1255" spans="1:17" s="95" customFormat="1" x14ac:dyDescent="0.25">
      <c r="A1255" s="176"/>
      <c r="B1255" s="177"/>
      <c r="C1255" s="177"/>
      <c r="D1255" s="178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8"/>
    </row>
    <row r="1256" spans="1:17" s="95" customFormat="1" x14ac:dyDescent="0.25">
      <c r="A1256" s="176"/>
      <c r="B1256" s="177"/>
      <c r="C1256" s="177"/>
      <c r="D1256" s="178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8"/>
    </row>
    <row r="1257" spans="1:17" s="95" customFormat="1" x14ac:dyDescent="0.25">
      <c r="A1257" s="176"/>
      <c r="B1257" s="177"/>
      <c r="C1257" s="177"/>
      <c r="D1257" s="178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8"/>
    </row>
    <row r="1258" spans="1:17" s="95" customFormat="1" x14ac:dyDescent="0.25">
      <c r="A1258" s="176"/>
      <c r="B1258" s="177"/>
      <c r="C1258" s="177"/>
      <c r="D1258" s="178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8"/>
    </row>
    <row r="1259" spans="1:17" s="95" customFormat="1" x14ac:dyDescent="0.25">
      <c r="A1259" s="176"/>
      <c r="B1259" s="177"/>
      <c r="C1259" s="177"/>
      <c r="D1259" s="178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8"/>
    </row>
    <row r="1260" spans="1:17" s="95" customFormat="1" x14ac:dyDescent="0.25">
      <c r="A1260" s="176"/>
      <c r="B1260" s="177"/>
      <c r="C1260" s="177"/>
      <c r="D1260" s="178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8"/>
    </row>
    <row r="1261" spans="1:17" s="95" customFormat="1" x14ac:dyDescent="0.25">
      <c r="A1261" s="176"/>
      <c r="B1261" s="177"/>
      <c r="C1261" s="177"/>
      <c r="D1261" s="178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8"/>
    </row>
    <row r="1262" spans="1:17" s="95" customFormat="1" x14ac:dyDescent="0.25">
      <c r="A1262" s="176"/>
      <c r="B1262" s="177"/>
      <c r="C1262" s="177"/>
      <c r="D1262" s="178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8"/>
    </row>
    <row r="1263" spans="1:17" s="95" customFormat="1" x14ac:dyDescent="0.25">
      <c r="A1263" s="176"/>
      <c r="B1263" s="177"/>
      <c r="C1263" s="177"/>
      <c r="D1263" s="178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8"/>
    </row>
    <row r="1264" spans="1:17" s="95" customFormat="1" x14ac:dyDescent="0.25">
      <c r="A1264" s="176"/>
      <c r="B1264" s="177"/>
      <c r="C1264" s="177"/>
      <c r="D1264" s="178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8"/>
    </row>
    <row r="1265" spans="1:17" s="95" customFormat="1" x14ac:dyDescent="0.25">
      <c r="A1265" s="176"/>
      <c r="B1265" s="177"/>
      <c r="C1265" s="177"/>
      <c r="D1265" s="178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8"/>
    </row>
    <row r="1266" spans="1:17" s="95" customFormat="1" x14ac:dyDescent="0.25">
      <c r="A1266" s="176"/>
      <c r="B1266" s="177"/>
      <c r="C1266" s="177"/>
      <c r="D1266" s="178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8"/>
    </row>
    <row r="1267" spans="1:17" s="95" customFormat="1" x14ac:dyDescent="0.25">
      <c r="A1267" s="176"/>
      <c r="B1267" s="177"/>
      <c r="C1267" s="177"/>
      <c r="D1267" s="178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8"/>
    </row>
    <row r="1268" spans="1:17" s="95" customFormat="1" x14ac:dyDescent="0.25">
      <c r="A1268" s="176"/>
      <c r="B1268" s="177"/>
      <c r="C1268" s="177"/>
      <c r="D1268" s="178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8"/>
    </row>
    <row r="1269" spans="1:17" s="95" customFormat="1" x14ac:dyDescent="0.25">
      <c r="A1269" s="176"/>
      <c r="B1269" s="177"/>
      <c r="C1269" s="177"/>
      <c r="D1269" s="178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8"/>
    </row>
    <row r="1270" spans="1:17" s="95" customFormat="1" x14ac:dyDescent="0.25">
      <c r="A1270" s="176"/>
      <c r="B1270" s="177"/>
      <c r="C1270" s="177"/>
      <c r="D1270" s="178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8"/>
    </row>
    <row r="1271" spans="1:17" s="95" customFormat="1" x14ac:dyDescent="0.25">
      <c r="A1271" s="176"/>
      <c r="B1271" s="177"/>
      <c r="C1271" s="177"/>
      <c r="D1271" s="178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8"/>
    </row>
    <row r="1272" spans="1:17" s="95" customFormat="1" x14ac:dyDescent="0.25">
      <c r="A1272" s="176"/>
      <c r="B1272" s="177"/>
      <c r="C1272" s="177"/>
      <c r="D1272" s="178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8"/>
    </row>
    <row r="1273" spans="1:17" s="95" customFormat="1" x14ac:dyDescent="0.25">
      <c r="A1273" s="176"/>
      <c r="B1273" s="177"/>
      <c r="C1273" s="177"/>
      <c r="D1273" s="178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8"/>
    </row>
    <row r="1274" spans="1:17" s="95" customFormat="1" x14ac:dyDescent="0.25">
      <c r="A1274" s="176"/>
      <c r="B1274" s="177"/>
      <c r="C1274" s="177"/>
      <c r="D1274" s="178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8"/>
    </row>
    <row r="1275" spans="1:17" s="95" customFormat="1" x14ac:dyDescent="0.25">
      <c r="A1275" s="176"/>
      <c r="B1275" s="177"/>
      <c r="C1275" s="177"/>
      <c r="D1275" s="178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8"/>
    </row>
    <row r="1276" spans="1:17" s="95" customFormat="1" x14ac:dyDescent="0.25">
      <c r="A1276" s="176"/>
      <c r="B1276" s="177"/>
      <c r="C1276" s="177"/>
      <c r="D1276" s="178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8"/>
    </row>
    <row r="1277" spans="1:17" s="95" customFormat="1" x14ac:dyDescent="0.25">
      <c r="A1277" s="176"/>
      <c r="B1277" s="177"/>
      <c r="C1277" s="177"/>
      <c r="D1277" s="178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8"/>
    </row>
    <row r="1278" spans="1:17" s="95" customFormat="1" x14ac:dyDescent="0.25">
      <c r="A1278" s="176"/>
      <c r="B1278" s="177"/>
      <c r="C1278" s="177"/>
      <c r="D1278" s="178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8"/>
    </row>
    <row r="1279" spans="1:17" s="95" customFormat="1" x14ac:dyDescent="0.25">
      <c r="A1279" s="176"/>
      <c r="B1279" s="177"/>
      <c r="C1279" s="177"/>
      <c r="D1279" s="178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8"/>
    </row>
    <row r="1280" spans="1:17" s="95" customFormat="1" x14ac:dyDescent="0.25">
      <c r="A1280" s="176"/>
      <c r="B1280" s="177"/>
      <c r="C1280" s="177"/>
      <c r="D1280" s="178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8"/>
    </row>
    <row r="1281" spans="1:17" s="95" customFormat="1" x14ac:dyDescent="0.25">
      <c r="A1281" s="176"/>
      <c r="B1281" s="177"/>
      <c r="C1281" s="177"/>
      <c r="D1281" s="178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8"/>
    </row>
    <row r="1282" spans="1:17" s="95" customFormat="1" x14ac:dyDescent="0.25">
      <c r="A1282" s="176"/>
      <c r="B1282" s="177"/>
      <c r="C1282" s="177"/>
      <c r="D1282" s="178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8"/>
    </row>
    <row r="1283" spans="1:17" s="95" customFormat="1" x14ac:dyDescent="0.25">
      <c r="A1283" s="176"/>
      <c r="B1283" s="177"/>
      <c r="C1283" s="177"/>
      <c r="D1283" s="178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8"/>
    </row>
    <row r="1284" spans="1:17" s="95" customFormat="1" x14ac:dyDescent="0.25">
      <c r="A1284" s="176"/>
      <c r="B1284" s="177"/>
      <c r="C1284" s="177"/>
      <c r="D1284" s="178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8"/>
    </row>
    <row r="1285" spans="1:17" s="95" customFormat="1" x14ac:dyDescent="0.25">
      <c r="A1285" s="176"/>
      <c r="B1285" s="177"/>
      <c r="C1285" s="177"/>
      <c r="D1285" s="178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8"/>
    </row>
    <row r="1286" spans="1:17" s="95" customFormat="1" x14ac:dyDescent="0.25">
      <c r="A1286" s="176"/>
      <c r="B1286" s="177"/>
      <c r="C1286" s="177"/>
      <c r="D1286" s="178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8"/>
    </row>
    <row r="1287" spans="1:17" s="95" customFormat="1" x14ac:dyDescent="0.25">
      <c r="A1287" s="176"/>
      <c r="B1287" s="177"/>
      <c r="C1287" s="177"/>
      <c r="D1287" s="178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8"/>
    </row>
    <row r="1288" spans="1:17" s="95" customFormat="1" x14ac:dyDescent="0.25">
      <c r="A1288" s="176"/>
      <c r="B1288" s="177"/>
      <c r="C1288" s="177"/>
      <c r="D1288" s="178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8"/>
    </row>
    <row r="1289" spans="1:17" s="95" customFormat="1" x14ac:dyDescent="0.25">
      <c r="A1289" s="176"/>
      <c r="B1289" s="177"/>
      <c r="C1289" s="177"/>
      <c r="D1289" s="178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8"/>
    </row>
    <row r="1290" spans="1:17" s="95" customFormat="1" x14ac:dyDescent="0.25">
      <c r="A1290" s="176"/>
      <c r="B1290" s="177"/>
      <c r="C1290" s="177"/>
      <c r="D1290" s="178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8"/>
    </row>
    <row r="1291" spans="1:17" s="95" customFormat="1" x14ac:dyDescent="0.25">
      <c r="A1291" s="176"/>
      <c r="B1291" s="177"/>
      <c r="C1291" s="177"/>
      <c r="D1291" s="178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8"/>
    </row>
    <row r="1292" spans="1:17" s="95" customFormat="1" x14ac:dyDescent="0.25">
      <c r="A1292" s="176"/>
      <c r="B1292" s="177"/>
      <c r="C1292" s="177"/>
      <c r="D1292" s="178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8"/>
    </row>
    <row r="1293" spans="1:17" s="95" customFormat="1" x14ac:dyDescent="0.25">
      <c r="A1293" s="176"/>
      <c r="B1293" s="177"/>
      <c r="C1293" s="177"/>
      <c r="D1293" s="178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8"/>
    </row>
    <row r="1294" spans="1:17" s="95" customFormat="1" x14ac:dyDescent="0.25">
      <c r="A1294" s="176"/>
      <c r="B1294" s="177"/>
      <c r="C1294" s="177"/>
      <c r="D1294" s="178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8"/>
    </row>
    <row r="1295" spans="1:17" s="95" customFormat="1" x14ac:dyDescent="0.25">
      <c r="A1295" s="176"/>
      <c r="B1295" s="177"/>
      <c r="C1295" s="177"/>
      <c r="D1295" s="178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8"/>
    </row>
    <row r="1296" spans="1:17" s="95" customFormat="1" x14ac:dyDescent="0.25">
      <c r="A1296" s="176"/>
      <c r="B1296" s="177"/>
      <c r="C1296" s="177"/>
      <c r="D1296" s="178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8"/>
    </row>
    <row r="1297" spans="1:17" s="95" customFormat="1" x14ac:dyDescent="0.25">
      <c r="A1297" s="176"/>
      <c r="B1297" s="177"/>
      <c r="C1297" s="177"/>
      <c r="D1297" s="178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8"/>
    </row>
    <row r="1298" spans="1:17" s="95" customFormat="1" x14ac:dyDescent="0.25">
      <c r="A1298" s="176"/>
      <c r="B1298" s="177"/>
      <c r="C1298" s="177"/>
      <c r="D1298" s="178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8"/>
    </row>
    <row r="1299" spans="1:17" s="95" customFormat="1" x14ac:dyDescent="0.25">
      <c r="A1299" s="176"/>
      <c r="B1299" s="177"/>
      <c r="C1299" s="177"/>
      <c r="D1299" s="178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8"/>
    </row>
    <row r="1300" spans="1:17" s="95" customFormat="1" x14ac:dyDescent="0.25">
      <c r="A1300" s="176"/>
      <c r="B1300" s="177"/>
      <c r="C1300" s="177"/>
      <c r="D1300" s="178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8"/>
    </row>
    <row r="1301" spans="1:17" s="95" customFormat="1" x14ac:dyDescent="0.25">
      <c r="A1301" s="176"/>
      <c r="B1301" s="177"/>
      <c r="C1301" s="177"/>
      <c r="D1301" s="178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8"/>
    </row>
    <row r="1302" spans="1:17" s="95" customFormat="1" x14ac:dyDescent="0.25">
      <c r="A1302" s="176"/>
      <c r="B1302" s="177"/>
      <c r="C1302" s="177"/>
      <c r="D1302" s="178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8"/>
    </row>
    <row r="1303" spans="1:17" s="95" customFormat="1" x14ac:dyDescent="0.25">
      <c r="A1303" s="176"/>
      <c r="B1303" s="177"/>
      <c r="C1303" s="177"/>
      <c r="D1303" s="178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8"/>
    </row>
    <row r="1304" spans="1:17" s="95" customFormat="1" x14ac:dyDescent="0.25">
      <c r="A1304" s="176"/>
      <c r="B1304" s="177"/>
      <c r="C1304" s="177"/>
      <c r="D1304" s="178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8"/>
    </row>
    <row r="1305" spans="1:17" s="95" customFormat="1" x14ac:dyDescent="0.25">
      <c r="A1305" s="176"/>
      <c r="B1305" s="177"/>
      <c r="C1305" s="177"/>
      <c r="D1305" s="178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8"/>
    </row>
    <row r="1306" spans="1:17" s="95" customFormat="1" x14ac:dyDescent="0.25">
      <c r="A1306" s="176"/>
      <c r="B1306" s="177"/>
      <c r="C1306" s="177"/>
      <c r="D1306" s="178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8"/>
    </row>
    <row r="1307" spans="1:17" s="95" customFormat="1" x14ac:dyDescent="0.25">
      <c r="A1307" s="176"/>
      <c r="B1307" s="177"/>
      <c r="C1307" s="177"/>
      <c r="D1307" s="178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8"/>
    </row>
    <row r="1308" spans="1:17" s="95" customFormat="1" x14ac:dyDescent="0.25">
      <c r="A1308" s="176"/>
      <c r="B1308" s="177"/>
      <c r="C1308" s="177"/>
      <c r="D1308" s="178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8"/>
    </row>
    <row r="1309" spans="1:17" s="95" customFormat="1" x14ac:dyDescent="0.25">
      <c r="A1309" s="176"/>
      <c r="B1309" s="177"/>
      <c r="C1309" s="177"/>
      <c r="D1309" s="178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8"/>
    </row>
    <row r="1310" spans="1:17" s="95" customFormat="1" x14ac:dyDescent="0.25">
      <c r="A1310" s="176"/>
      <c r="B1310" s="177"/>
      <c r="C1310" s="177"/>
      <c r="D1310" s="178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8"/>
    </row>
    <row r="1311" spans="1:17" s="95" customFormat="1" x14ac:dyDescent="0.25">
      <c r="A1311" s="176"/>
      <c r="B1311" s="177"/>
      <c r="C1311" s="177"/>
      <c r="D1311" s="178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8"/>
    </row>
    <row r="1312" spans="1:17" s="95" customFormat="1" x14ac:dyDescent="0.25">
      <c r="A1312" s="176"/>
      <c r="B1312" s="177"/>
      <c r="C1312" s="177"/>
      <c r="D1312" s="178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8"/>
    </row>
    <row r="1313" spans="1:17" s="95" customFormat="1" x14ac:dyDescent="0.25">
      <c r="A1313" s="176"/>
      <c r="B1313" s="177"/>
      <c r="C1313" s="177"/>
      <c r="D1313" s="178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8"/>
    </row>
    <row r="1314" spans="1:17" s="95" customFormat="1" x14ac:dyDescent="0.25">
      <c r="A1314" s="176"/>
      <c r="B1314" s="177"/>
      <c r="C1314" s="177"/>
      <c r="D1314" s="178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8"/>
    </row>
    <row r="1315" spans="1:17" s="95" customFormat="1" x14ac:dyDescent="0.25">
      <c r="A1315" s="176"/>
      <c r="B1315" s="177"/>
      <c r="C1315" s="177"/>
      <c r="D1315" s="178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8"/>
    </row>
    <row r="1316" spans="1:17" s="95" customFormat="1" x14ac:dyDescent="0.25">
      <c r="A1316" s="176"/>
      <c r="B1316" s="177"/>
      <c r="C1316" s="177"/>
      <c r="D1316" s="178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8"/>
    </row>
    <row r="1317" spans="1:17" s="95" customFormat="1" x14ac:dyDescent="0.25">
      <c r="A1317" s="176"/>
      <c r="B1317" s="177"/>
      <c r="C1317" s="177"/>
      <c r="D1317" s="178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8"/>
    </row>
    <row r="1318" spans="1:17" s="95" customFormat="1" x14ac:dyDescent="0.25">
      <c r="A1318" s="176"/>
      <c r="B1318" s="177"/>
      <c r="C1318" s="177"/>
      <c r="D1318" s="178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8"/>
    </row>
    <row r="1319" spans="1:17" s="95" customFormat="1" x14ac:dyDescent="0.25">
      <c r="A1319" s="176"/>
      <c r="B1319" s="177"/>
      <c r="C1319" s="177"/>
      <c r="D1319" s="178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8"/>
    </row>
    <row r="1320" spans="1:17" s="95" customFormat="1" x14ac:dyDescent="0.25">
      <c r="A1320" s="176"/>
      <c r="B1320" s="177"/>
      <c r="C1320" s="177"/>
      <c r="D1320" s="178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8"/>
    </row>
    <row r="1321" spans="1:17" s="95" customFormat="1" x14ac:dyDescent="0.25">
      <c r="A1321" s="176"/>
      <c r="B1321" s="177"/>
      <c r="C1321" s="177"/>
      <c r="D1321" s="178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8"/>
    </row>
    <row r="1322" spans="1:17" s="95" customFormat="1" x14ac:dyDescent="0.25">
      <c r="A1322" s="176"/>
      <c r="B1322" s="177"/>
      <c r="C1322" s="177"/>
      <c r="D1322" s="178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8"/>
    </row>
    <row r="1323" spans="1:17" s="95" customFormat="1" x14ac:dyDescent="0.25">
      <c r="A1323" s="176"/>
      <c r="B1323" s="177"/>
      <c r="C1323" s="177"/>
      <c r="D1323" s="178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8"/>
    </row>
    <row r="1324" spans="1:17" s="95" customFormat="1" x14ac:dyDescent="0.25">
      <c r="A1324" s="176"/>
      <c r="B1324" s="177"/>
      <c r="C1324" s="177"/>
      <c r="D1324" s="178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8"/>
    </row>
    <row r="1325" spans="1:17" s="95" customFormat="1" x14ac:dyDescent="0.25">
      <c r="A1325" s="176"/>
      <c r="B1325" s="177"/>
      <c r="C1325" s="177"/>
      <c r="D1325" s="178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8"/>
    </row>
    <row r="1326" spans="1:17" s="95" customFormat="1" x14ac:dyDescent="0.25">
      <c r="A1326" s="176"/>
      <c r="B1326" s="177"/>
      <c r="C1326" s="177"/>
      <c r="D1326" s="178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8"/>
    </row>
    <row r="1327" spans="1:17" s="95" customFormat="1" x14ac:dyDescent="0.25">
      <c r="A1327" s="176"/>
      <c r="B1327" s="177"/>
      <c r="C1327" s="177"/>
      <c r="D1327" s="178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8"/>
    </row>
    <row r="1328" spans="1:17" s="95" customFormat="1" x14ac:dyDescent="0.25">
      <c r="A1328" s="176"/>
      <c r="B1328" s="177"/>
      <c r="C1328" s="177"/>
      <c r="D1328" s="178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8"/>
    </row>
    <row r="1329" spans="1:17" s="95" customFormat="1" x14ac:dyDescent="0.25">
      <c r="A1329" s="176"/>
      <c r="B1329" s="177"/>
      <c r="C1329" s="177"/>
      <c r="D1329" s="178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8"/>
    </row>
    <row r="1330" spans="1:17" s="95" customFormat="1" x14ac:dyDescent="0.25">
      <c r="A1330" s="176"/>
      <c r="B1330" s="177"/>
      <c r="C1330" s="177"/>
      <c r="D1330" s="178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8"/>
    </row>
    <row r="1331" spans="1:17" s="95" customFormat="1" x14ac:dyDescent="0.25">
      <c r="A1331" s="176"/>
      <c r="B1331" s="177"/>
      <c r="C1331" s="177"/>
      <c r="D1331" s="178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8"/>
    </row>
    <row r="1332" spans="1:17" s="95" customFormat="1" x14ac:dyDescent="0.25">
      <c r="A1332" s="176"/>
      <c r="B1332" s="177"/>
      <c r="C1332" s="177"/>
      <c r="D1332" s="178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8"/>
    </row>
    <row r="1333" spans="1:17" s="95" customFormat="1" x14ac:dyDescent="0.25">
      <c r="A1333" s="176"/>
      <c r="B1333" s="177"/>
      <c r="C1333" s="177"/>
      <c r="D1333" s="178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8"/>
    </row>
    <row r="1334" spans="1:17" s="95" customFormat="1" x14ac:dyDescent="0.25">
      <c r="A1334" s="176"/>
      <c r="B1334" s="177"/>
      <c r="C1334" s="177"/>
      <c r="D1334" s="178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8"/>
    </row>
    <row r="1335" spans="1:17" s="95" customFormat="1" x14ac:dyDescent="0.25">
      <c r="A1335" s="176"/>
      <c r="B1335" s="177"/>
      <c r="C1335" s="177"/>
      <c r="D1335" s="178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8"/>
    </row>
    <row r="1336" spans="1:17" s="95" customFormat="1" x14ac:dyDescent="0.25">
      <c r="A1336" s="176"/>
      <c r="B1336" s="177"/>
      <c r="C1336" s="177"/>
      <c r="D1336" s="178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8"/>
    </row>
    <row r="1337" spans="1:17" s="95" customFormat="1" x14ac:dyDescent="0.25">
      <c r="A1337" s="176"/>
      <c r="B1337" s="177"/>
      <c r="C1337" s="177"/>
      <c r="D1337" s="178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8"/>
    </row>
    <row r="1338" spans="1:17" s="95" customFormat="1" x14ac:dyDescent="0.25">
      <c r="A1338" s="176"/>
      <c r="B1338" s="177"/>
      <c r="C1338" s="177"/>
      <c r="D1338" s="178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8"/>
    </row>
    <row r="1339" spans="1:17" s="95" customFormat="1" x14ac:dyDescent="0.25">
      <c r="A1339" s="176"/>
      <c r="B1339" s="177"/>
      <c r="C1339" s="177"/>
      <c r="D1339" s="178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8"/>
    </row>
    <row r="1340" spans="1:17" s="95" customFormat="1" x14ac:dyDescent="0.25">
      <c r="A1340" s="176"/>
      <c r="B1340" s="177"/>
      <c r="C1340" s="177"/>
      <c r="D1340" s="178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8"/>
    </row>
    <row r="1341" spans="1:17" s="95" customFormat="1" x14ac:dyDescent="0.25">
      <c r="A1341" s="176"/>
      <c r="B1341" s="177"/>
      <c r="C1341" s="177"/>
      <c r="D1341" s="178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8"/>
    </row>
    <row r="1342" spans="1:17" s="95" customFormat="1" x14ac:dyDescent="0.25">
      <c r="A1342" s="176"/>
      <c r="B1342" s="177"/>
      <c r="C1342" s="177"/>
      <c r="D1342" s="178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8"/>
    </row>
    <row r="1343" spans="1:17" s="95" customFormat="1" x14ac:dyDescent="0.25">
      <c r="A1343" s="176"/>
      <c r="B1343" s="177"/>
      <c r="C1343" s="177"/>
      <c r="D1343" s="178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8"/>
    </row>
    <row r="1344" spans="1:17" s="95" customFormat="1" x14ac:dyDescent="0.25">
      <c r="A1344" s="176"/>
      <c r="B1344" s="177"/>
      <c r="C1344" s="177"/>
      <c r="D1344" s="178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8"/>
    </row>
    <row r="1345" spans="1:17" s="95" customFormat="1" x14ac:dyDescent="0.25">
      <c r="A1345" s="176"/>
      <c r="B1345" s="177"/>
      <c r="C1345" s="177"/>
      <c r="D1345" s="178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8"/>
    </row>
    <row r="1346" spans="1:17" s="95" customFormat="1" x14ac:dyDescent="0.25">
      <c r="A1346" s="176"/>
      <c r="B1346" s="177"/>
      <c r="C1346" s="177"/>
      <c r="D1346" s="178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8"/>
    </row>
    <row r="1347" spans="1:17" s="95" customFormat="1" x14ac:dyDescent="0.25">
      <c r="A1347" s="176"/>
      <c r="B1347" s="177"/>
      <c r="C1347" s="177"/>
      <c r="D1347" s="178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8"/>
    </row>
    <row r="1348" spans="1:17" s="95" customFormat="1" x14ac:dyDescent="0.25">
      <c r="A1348" s="176"/>
      <c r="B1348" s="177"/>
      <c r="C1348" s="177"/>
      <c r="D1348" s="178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8"/>
    </row>
    <row r="1349" spans="1:17" s="95" customFormat="1" x14ac:dyDescent="0.25">
      <c r="A1349" s="176"/>
      <c r="B1349" s="177"/>
      <c r="C1349" s="177"/>
      <c r="D1349" s="178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8"/>
    </row>
    <row r="1350" spans="1:17" s="95" customFormat="1" x14ac:dyDescent="0.25">
      <c r="A1350" s="176"/>
      <c r="B1350" s="177"/>
      <c r="C1350" s="177"/>
      <c r="D1350" s="178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8"/>
    </row>
    <row r="1351" spans="1:17" s="95" customFormat="1" x14ac:dyDescent="0.25">
      <c r="A1351" s="176"/>
      <c r="B1351" s="177"/>
      <c r="C1351" s="177"/>
      <c r="D1351" s="178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8"/>
    </row>
    <row r="1352" spans="1:17" s="95" customFormat="1" x14ac:dyDescent="0.25">
      <c r="A1352" s="176"/>
      <c r="B1352" s="177"/>
      <c r="C1352" s="177"/>
      <c r="D1352" s="178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8"/>
    </row>
    <row r="1353" spans="1:17" s="95" customFormat="1" x14ac:dyDescent="0.25">
      <c r="A1353" s="176"/>
      <c r="B1353" s="177"/>
      <c r="C1353" s="177"/>
      <c r="D1353" s="178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8"/>
    </row>
    <row r="1354" spans="1:17" s="95" customFormat="1" x14ac:dyDescent="0.25">
      <c r="A1354" s="176"/>
      <c r="B1354" s="177"/>
      <c r="C1354" s="177"/>
      <c r="D1354" s="178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8"/>
    </row>
    <row r="1355" spans="1:17" s="95" customFormat="1" x14ac:dyDescent="0.25">
      <c r="A1355" s="176"/>
      <c r="B1355" s="177"/>
      <c r="C1355" s="177"/>
      <c r="D1355" s="178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8"/>
    </row>
    <row r="1356" spans="1:17" s="95" customFormat="1" x14ac:dyDescent="0.25">
      <c r="A1356" s="176"/>
      <c r="B1356" s="177"/>
      <c r="C1356" s="177"/>
      <c r="D1356" s="178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8"/>
    </row>
    <row r="1357" spans="1:17" s="95" customFormat="1" x14ac:dyDescent="0.25">
      <c r="A1357" s="176"/>
      <c r="B1357" s="177"/>
      <c r="C1357" s="177"/>
      <c r="D1357" s="178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8"/>
    </row>
    <row r="1358" spans="1:17" s="95" customFormat="1" x14ac:dyDescent="0.25">
      <c r="A1358" s="176"/>
      <c r="B1358" s="177"/>
      <c r="C1358" s="177"/>
      <c r="D1358" s="178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8"/>
    </row>
    <row r="1359" spans="1:17" s="95" customFormat="1" x14ac:dyDescent="0.25">
      <c r="A1359" s="176"/>
      <c r="B1359" s="177"/>
      <c r="C1359" s="177"/>
      <c r="D1359" s="178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8"/>
    </row>
    <row r="1360" spans="1:17" s="95" customFormat="1" x14ac:dyDescent="0.25">
      <c r="A1360" s="176"/>
      <c r="B1360" s="177"/>
      <c r="C1360" s="177"/>
      <c r="D1360" s="178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8"/>
    </row>
    <row r="1361" spans="1:17" s="95" customFormat="1" x14ac:dyDescent="0.25">
      <c r="A1361" s="176"/>
      <c r="B1361" s="177"/>
      <c r="C1361" s="177"/>
      <c r="D1361" s="178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8"/>
    </row>
    <row r="1362" spans="1:17" s="95" customFormat="1" x14ac:dyDescent="0.25">
      <c r="A1362" s="176"/>
      <c r="B1362" s="177"/>
      <c r="C1362" s="177"/>
      <c r="D1362" s="178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8"/>
    </row>
    <row r="1363" spans="1:17" s="95" customFormat="1" x14ac:dyDescent="0.25">
      <c r="A1363" s="176"/>
      <c r="B1363" s="177"/>
      <c r="C1363" s="177"/>
      <c r="D1363" s="178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8"/>
    </row>
    <row r="1364" spans="1:17" s="95" customFormat="1" x14ac:dyDescent="0.25">
      <c r="A1364" s="176"/>
      <c r="B1364" s="177"/>
      <c r="C1364" s="177"/>
      <c r="D1364" s="178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8"/>
    </row>
    <row r="1365" spans="1:17" s="95" customFormat="1" x14ac:dyDescent="0.25">
      <c r="A1365" s="176"/>
      <c r="B1365" s="177"/>
      <c r="C1365" s="177"/>
      <c r="D1365" s="178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8"/>
    </row>
    <row r="1366" spans="1:17" s="95" customFormat="1" x14ac:dyDescent="0.25">
      <c r="A1366" s="176"/>
      <c r="B1366" s="177"/>
      <c r="C1366" s="177"/>
      <c r="D1366" s="178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8"/>
    </row>
    <row r="1367" spans="1:17" s="95" customFormat="1" x14ac:dyDescent="0.25">
      <c r="A1367" s="176"/>
      <c r="B1367" s="177"/>
      <c r="C1367" s="177"/>
      <c r="D1367" s="178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8"/>
    </row>
    <row r="1368" spans="1:17" s="95" customFormat="1" x14ac:dyDescent="0.25">
      <c r="A1368" s="176"/>
      <c r="B1368" s="177"/>
      <c r="C1368" s="177"/>
      <c r="D1368" s="178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8"/>
    </row>
    <row r="1369" spans="1:17" s="95" customFormat="1" x14ac:dyDescent="0.25">
      <c r="A1369" s="176"/>
      <c r="B1369" s="177"/>
      <c r="C1369" s="177"/>
      <c r="D1369" s="178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8"/>
    </row>
    <row r="1370" spans="1:17" s="95" customFormat="1" x14ac:dyDescent="0.25">
      <c r="A1370" s="176"/>
      <c r="B1370" s="177"/>
      <c r="C1370" s="177"/>
      <c r="D1370" s="178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8"/>
    </row>
    <row r="1371" spans="1:17" s="95" customFormat="1" x14ac:dyDescent="0.25">
      <c r="A1371" s="176"/>
      <c r="B1371" s="177"/>
      <c r="C1371" s="177"/>
      <c r="D1371" s="178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8"/>
    </row>
    <row r="1372" spans="1:17" s="95" customFormat="1" x14ac:dyDescent="0.25">
      <c r="A1372" s="176"/>
      <c r="B1372" s="177"/>
      <c r="C1372" s="177"/>
      <c r="D1372" s="178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8"/>
    </row>
    <row r="1373" spans="1:17" s="95" customFormat="1" x14ac:dyDescent="0.25">
      <c r="A1373" s="176"/>
      <c r="B1373" s="177"/>
      <c r="C1373" s="177"/>
      <c r="D1373" s="178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8"/>
    </row>
    <row r="1374" spans="1:17" s="95" customFormat="1" x14ac:dyDescent="0.25">
      <c r="A1374" s="176"/>
      <c r="B1374" s="177"/>
      <c r="C1374" s="177"/>
      <c r="D1374" s="178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8"/>
    </row>
    <row r="1375" spans="1:17" s="95" customFormat="1" x14ac:dyDescent="0.25">
      <c r="A1375" s="176"/>
      <c r="B1375" s="177"/>
      <c r="C1375" s="177"/>
      <c r="D1375" s="178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8"/>
    </row>
    <row r="1376" spans="1:17" s="95" customFormat="1" x14ac:dyDescent="0.25">
      <c r="A1376" s="176"/>
      <c r="B1376" s="177"/>
      <c r="C1376" s="177"/>
      <c r="D1376" s="178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8"/>
    </row>
    <row r="1377" spans="1:17" s="95" customFormat="1" x14ac:dyDescent="0.25">
      <c r="A1377" s="176"/>
      <c r="B1377" s="177"/>
      <c r="C1377" s="177"/>
      <c r="D1377" s="178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8"/>
    </row>
    <row r="1378" spans="1:17" s="95" customFormat="1" x14ac:dyDescent="0.25">
      <c r="A1378" s="176"/>
      <c r="B1378" s="177"/>
      <c r="C1378" s="177"/>
      <c r="D1378" s="178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8"/>
    </row>
    <row r="1379" spans="1:17" s="95" customFormat="1" x14ac:dyDescent="0.25">
      <c r="A1379" s="176"/>
      <c r="B1379" s="177"/>
      <c r="C1379" s="177"/>
      <c r="D1379" s="178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8"/>
    </row>
    <row r="1380" spans="1:17" s="95" customFormat="1" x14ac:dyDescent="0.25">
      <c r="A1380" s="176"/>
      <c r="B1380" s="177"/>
      <c r="C1380" s="177"/>
      <c r="D1380" s="178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8"/>
    </row>
    <row r="1381" spans="1:17" s="95" customFormat="1" x14ac:dyDescent="0.25">
      <c r="A1381" s="176"/>
      <c r="B1381" s="177"/>
      <c r="C1381" s="177"/>
      <c r="D1381" s="178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8"/>
    </row>
    <row r="1382" spans="1:17" s="95" customFormat="1" x14ac:dyDescent="0.25">
      <c r="A1382" s="176"/>
      <c r="B1382" s="177"/>
      <c r="C1382" s="177"/>
      <c r="D1382" s="178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8"/>
    </row>
    <row r="1383" spans="1:17" s="95" customFormat="1" x14ac:dyDescent="0.25">
      <c r="A1383" s="176"/>
      <c r="B1383" s="177"/>
      <c r="C1383" s="177"/>
      <c r="D1383" s="178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8"/>
    </row>
    <row r="1384" spans="1:17" s="95" customFormat="1" x14ac:dyDescent="0.25">
      <c r="A1384" s="176"/>
      <c r="B1384" s="177"/>
      <c r="C1384" s="177"/>
      <c r="D1384" s="178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8"/>
    </row>
    <row r="1385" spans="1:17" s="95" customFormat="1" x14ac:dyDescent="0.25">
      <c r="A1385" s="176"/>
      <c r="B1385" s="177"/>
      <c r="C1385" s="177"/>
      <c r="D1385" s="178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8"/>
    </row>
    <row r="1386" spans="1:17" s="95" customFormat="1" x14ac:dyDescent="0.25">
      <c r="A1386" s="176"/>
      <c r="B1386" s="177"/>
      <c r="C1386" s="177"/>
      <c r="D1386" s="178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8"/>
    </row>
    <row r="1387" spans="1:17" s="95" customFormat="1" x14ac:dyDescent="0.25">
      <c r="A1387" s="176"/>
      <c r="B1387" s="177"/>
      <c r="C1387" s="177"/>
      <c r="D1387" s="178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8"/>
    </row>
    <row r="1388" spans="1:17" s="95" customFormat="1" x14ac:dyDescent="0.25">
      <c r="A1388" s="176"/>
      <c r="B1388" s="177"/>
      <c r="C1388" s="177"/>
      <c r="D1388" s="178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8"/>
    </row>
    <row r="1389" spans="1:17" s="95" customFormat="1" x14ac:dyDescent="0.25">
      <c r="A1389" s="176"/>
      <c r="B1389" s="177"/>
      <c r="C1389" s="177"/>
      <c r="D1389" s="178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8"/>
    </row>
    <row r="1390" spans="1:17" s="95" customFormat="1" x14ac:dyDescent="0.25">
      <c r="A1390" s="176"/>
      <c r="B1390" s="177"/>
      <c r="C1390" s="177"/>
      <c r="D1390" s="178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8"/>
    </row>
    <row r="1391" spans="1:17" s="95" customFormat="1" x14ac:dyDescent="0.25">
      <c r="A1391" s="176"/>
      <c r="B1391" s="177"/>
      <c r="C1391" s="177"/>
      <c r="D1391" s="178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8"/>
    </row>
    <row r="1392" spans="1:17" s="95" customFormat="1" x14ac:dyDescent="0.25">
      <c r="A1392" s="176"/>
      <c r="B1392" s="177"/>
      <c r="C1392" s="177"/>
      <c r="D1392" s="178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8"/>
    </row>
    <row r="1393" spans="1:17" s="95" customFormat="1" x14ac:dyDescent="0.25">
      <c r="A1393" s="176"/>
      <c r="B1393" s="177"/>
      <c r="C1393" s="177"/>
      <c r="D1393" s="178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8"/>
    </row>
    <row r="1394" spans="1:17" s="95" customFormat="1" x14ac:dyDescent="0.25">
      <c r="A1394" s="176"/>
      <c r="B1394" s="177"/>
      <c r="C1394" s="177"/>
      <c r="D1394" s="178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8"/>
    </row>
    <row r="1395" spans="1:17" s="95" customFormat="1" x14ac:dyDescent="0.25">
      <c r="A1395" s="176"/>
      <c r="B1395" s="177"/>
      <c r="C1395" s="177"/>
      <c r="D1395" s="178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8"/>
    </row>
    <row r="1396" spans="1:17" s="95" customFormat="1" x14ac:dyDescent="0.25">
      <c r="A1396" s="176"/>
      <c r="B1396" s="177"/>
      <c r="C1396" s="177"/>
      <c r="D1396" s="178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8"/>
    </row>
    <row r="1397" spans="1:17" s="95" customFormat="1" x14ac:dyDescent="0.25">
      <c r="A1397" s="176"/>
      <c r="B1397" s="177"/>
      <c r="C1397" s="177"/>
      <c r="D1397" s="178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8"/>
    </row>
    <row r="1398" spans="1:17" s="95" customFormat="1" x14ac:dyDescent="0.25">
      <c r="A1398" s="176"/>
      <c r="B1398" s="177"/>
      <c r="C1398" s="177"/>
      <c r="D1398" s="178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8"/>
    </row>
    <row r="1399" spans="1:17" s="95" customFormat="1" x14ac:dyDescent="0.25">
      <c r="A1399" s="176"/>
      <c r="B1399" s="177"/>
      <c r="C1399" s="177"/>
      <c r="D1399" s="178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8"/>
    </row>
    <row r="1400" spans="1:17" s="95" customFormat="1" x14ac:dyDescent="0.25">
      <c r="A1400" s="176"/>
      <c r="B1400" s="177"/>
      <c r="C1400" s="177"/>
      <c r="D1400" s="178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8"/>
    </row>
    <row r="1401" spans="1:17" s="95" customFormat="1" x14ac:dyDescent="0.25">
      <c r="A1401" s="176"/>
      <c r="B1401" s="177"/>
      <c r="C1401" s="177"/>
      <c r="D1401" s="178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8"/>
    </row>
    <row r="1402" spans="1:17" s="95" customFormat="1" x14ac:dyDescent="0.25">
      <c r="A1402" s="176"/>
      <c r="B1402" s="177"/>
      <c r="C1402" s="177"/>
      <c r="D1402" s="178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8"/>
    </row>
    <row r="1403" spans="1:17" s="95" customFormat="1" x14ac:dyDescent="0.25">
      <c r="A1403" s="176"/>
      <c r="B1403" s="177"/>
      <c r="C1403" s="177"/>
      <c r="D1403" s="178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8"/>
    </row>
    <row r="1404" spans="1:17" s="95" customFormat="1" x14ac:dyDescent="0.25">
      <c r="A1404" s="176"/>
      <c r="B1404" s="177"/>
      <c r="C1404" s="177"/>
      <c r="D1404" s="178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8"/>
    </row>
    <row r="1405" spans="1:17" s="95" customFormat="1" x14ac:dyDescent="0.25">
      <c r="A1405" s="176"/>
      <c r="B1405" s="177"/>
      <c r="C1405" s="177"/>
      <c r="D1405" s="178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8"/>
    </row>
    <row r="1406" spans="1:17" s="95" customFormat="1" x14ac:dyDescent="0.25">
      <c r="A1406" s="176"/>
      <c r="B1406" s="177"/>
      <c r="C1406" s="177"/>
      <c r="D1406" s="178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8"/>
    </row>
    <row r="1407" spans="1:17" s="95" customFormat="1" x14ac:dyDescent="0.25">
      <c r="A1407" s="176"/>
      <c r="B1407" s="177"/>
      <c r="C1407" s="177"/>
      <c r="D1407" s="178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8"/>
    </row>
    <row r="1408" spans="1:17" s="95" customFormat="1" x14ac:dyDescent="0.25">
      <c r="A1408" s="176"/>
      <c r="B1408" s="177"/>
      <c r="C1408" s="177"/>
      <c r="D1408" s="178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8"/>
    </row>
    <row r="1409" spans="1:17" s="95" customFormat="1" x14ac:dyDescent="0.25">
      <c r="A1409" s="176"/>
      <c r="B1409" s="177"/>
      <c r="C1409" s="177"/>
      <c r="D1409" s="178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8"/>
    </row>
    <row r="1410" spans="1:17" s="95" customFormat="1" x14ac:dyDescent="0.25">
      <c r="A1410" s="176"/>
      <c r="B1410" s="177"/>
      <c r="C1410" s="177"/>
      <c r="D1410" s="178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8"/>
    </row>
    <row r="1411" spans="1:17" s="95" customFormat="1" x14ac:dyDescent="0.25">
      <c r="A1411" s="176"/>
      <c r="B1411" s="177"/>
      <c r="C1411" s="177"/>
      <c r="D1411" s="178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8"/>
    </row>
    <row r="1412" spans="1:17" s="95" customFormat="1" x14ac:dyDescent="0.25">
      <c r="A1412" s="176"/>
      <c r="B1412" s="177"/>
      <c r="C1412" s="177"/>
      <c r="D1412" s="178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8"/>
    </row>
    <row r="1413" spans="1:17" s="95" customFormat="1" x14ac:dyDescent="0.25">
      <c r="A1413" s="176"/>
      <c r="B1413" s="177"/>
      <c r="C1413" s="177"/>
      <c r="D1413" s="178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8"/>
    </row>
    <row r="1414" spans="1:17" s="95" customFormat="1" x14ac:dyDescent="0.25">
      <c r="A1414" s="176"/>
      <c r="B1414" s="177"/>
      <c r="C1414" s="177"/>
      <c r="D1414" s="178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8"/>
    </row>
    <row r="1415" spans="1:17" s="95" customFormat="1" x14ac:dyDescent="0.25">
      <c r="A1415" s="176"/>
      <c r="B1415" s="177"/>
      <c r="C1415" s="177"/>
      <c r="D1415" s="178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8"/>
    </row>
    <row r="1416" spans="1:17" s="95" customFormat="1" x14ac:dyDescent="0.25">
      <c r="A1416" s="176"/>
      <c r="B1416" s="177"/>
      <c r="C1416" s="177"/>
      <c r="D1416" s="178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8"/>
    </row>
    <row r="1417" spans="1:17" s="95" customFormat="1" x14ac:dyDescent="0.25">
      <c r="A1417" s="176"/>
      <c r="B1417" s="177"/>
      <c r="C1417" s="177"/>
      <c r="D1417" s="178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8"/>
    </row>
    <row r="1418" spans="1:17" s="95" customFormat="1" x14ac:dyDescent="0.25">
      <c r="A1418" s="176"/>
      <c r="B1418" s="177"/>
      <c r="C1418" s="177"/>
      <c r="D1418" s="178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8"/>
    </row>
    <row r="1419" spans="1:17" s="95" customFormat="1" x14ac:dyDescent="0.25">
      <c r="A1419" s="176"/>
      <c r="B1419" s="177"/>
      <c r="C1419" s="177"/>
      <c r="D1419" s="178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8"/>
    </row>
    <row r="1420" spans="1:17" s="95" customFormat="1" x14ac:dyDescent="0.25">
      <c r="A1420" s="176"/>
      <c r="B1420" s="177"/>
      <c r="C1420" s="177"/>
      <c r="D1420" s="178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8"/>
    </row>
    <row r="1421" spans="1:17" s="95" customFormat="1" x14ac:dyDescent="0.25">
      <c r="A1421" s="176"/>
      <c r="B1421" s="177"/>
      <c r="C1421" s="177"/>
      <c r="D1421" s="178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8"/>
    </row>
    <row r="1422" spans="1:17" s="95" customFormat="1" x14ac:dyDescent="0.25">
      <c r="A1422" s="176"/>
      <c r="B1422" s="177"/>
      <c r="C1422" s="177"/>
      <c r="D1422" s="178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8"/>
    </row>
    <row r="1423" spans="1:17" s="95" customFormat="1" x14ac:dyDescent="0.25">
      <c r="A1423" s="176"/>
      <c r="B1423" s="177"/>
      <c r="C1423" s="177"/>
      <c r="D1423" s="178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8"/>
    </row>
    <row r="1424" spans="1:17" s="95" customFormat="1" x14ac:dyDescent="0.25">
      <c r="A1424" s="176"/>
      <c r="B1424" s="177"/>
      <c r="C1424" s="177"/>
      <c r="D1424" s="178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8"/>
    </row>
    <row r="1425" spans="1:17" s="95" customFormat="1" x14ac:dyDescent="0.25">
      <c r="A1425" s="176"/>
      <c r="B1425" s="177"/>
      <c r="C1425" s="177"/>
      <c r="D1425" s="178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8"/>
    </row>
    <row r="1426" spans="1:17" s="95" customFormat="1" x14ac:dyDescent="0.25">
      <c r="A1426" s="176"/>
      <c r="B1426" s="177"/>
      <c r="C1426" s="177"/>
      <c r="D1426" s="178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8"/>
    </row>
    <row r="1427" spans="1:17" s="95" customFormat="1" x14ac:dyDescent="0.25">
      <c r="A1427" s="176"/>
      <c r="B1427" s="177"/>
      <c r="C1427" s="177"/>
      <c r="D1427" s="178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8"/>
    </row>
    <row r="1428" spans="1:17" s="95" customFormat="1" x14ac:dyDescent="0.25">
      <c r="A1428" s="176"/>
      <c r="B1428" s="177"/>
      <c r="C1428" s="177"/>
      <c r="D1428" s="178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8"/>
    </row>
    <row r="1429" spans="1:17" s="95" customFormat="1" x14ac:dyDescent="0.25">
      <c r="A1429" s="176"/>
      <c r="B1429" s="177"/>
      <c r="C1429" s="177"/>
      <c r="D1429" s="178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8"/>
    </row>
    <row r="1430" spans="1:17" s="95" customFormat="1" x14ac:dyDescent="0.25">
      <c r="A1430" s="176"/>
      <c r="B1430" s="177"/>
      <c r="C1430" s="177"/>
      <c r="D1430" s="178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8"/>
    </row>
    <row r="1431" spans="1:17" s="95" customFormat="1" x14ac:dyDescent="0.25">
      <c r="A1431" s="176"/>
      <c r="B1431" s="177"/>
      <c r="C1431" s="177"/>
      <c r="D1431" s="178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8"/>
    </row>
    <row r="1432" spans="1:17" s="95" customFormat="1" x14ac:dyDescent="0.25">
      <c r="A1432" s="176"/>
      <c r="B1432" s="177"/>
      <c r="C1432" s="177"/>
      <c r="D1432" s="178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8"/>
    </row>
    <row r="1433" spans="1:17" s="95" customFormat="1" x14ac:dyDescent="0.25">
      <c r="A1433" s="176"/>
      <c r="B1433" s="177"/>
      <c r="C1433" s="177"/>
      <c r="D1433" s="178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8"/>
    </row>
    <row r="1434" spans="1:17" s="95" customFormat="1" x14ac:dyDescent="0.25">
      <c r="A1434" s="176"/>
      <c r="B1434" s="177"/>
      <c r="C1434" s="177"/>
      <c r="D1434" s="178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8"/>
    </row>
    <row r="1435" spans="1:17" s="95" customFormat="1" x14ac:dyDescent="0.25">
      <c r="A1435" s="176"/>
      <c r="B1435" s="177"/>
      <c r="C1435" s="177"/>
      <c r="D1435" s="178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8"/>
    </row>
    <row r="1436" spans="1:17" s="95" customFormat="1" x14ac:dyDescent="0.25">
      <c r="A1436" s="176"/>
      <c r="B1436" s="177"/>
      <c r="C1436" s="177"/>
      <c r="D1436" s="178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8"/>
    </row>
    <row r="1437" spans="1:17" s="95" customFormat="1" x14ac:dyDescent="0.25">
      <c r="A1437" s="176"/>
      <c r="B1437" s="177"/>
      <c r="C1437" s="177"/>
      <c r="D1437" s="178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8"/>
    </row>
    <row r="1438" spans="1:17" s="95" customFormat="1" x14ac:dyDescent="0.25">
      <c r="A1438" s="176"/>
      <c r="B1438" s="177"/>
      <c r="C1438" s="177"/>
      <c r="D1438" s="178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8"/>
    </row>
    <row r="1439" spans="1:17" s="95" customFormat="1" x14ac:dyDescent="0.25">
      <c r="A1439" s="176"/>
      <c r="B1439" s="177"/>
      <c r="C1439" s="177"/>
      <c r="D1439" s="178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8"/>
    </row>
    <row r="1440" spans="1:17" s="95" customFormat="1" x14ac:dyDescent="0.25">
      <c r="A1440" s="176"/>
      <c r="B1440" s="177"/>
      <c r="C1440" s="177"/>
      <c r="D1440" s="178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8"/>
    </row>
    <row r="1441" spans="1:17" s="95" customFormat="1" x14ac:dyDescent="0.25">
      <c r="A1441" s="176"/>
      <c r="B1441" s="177"/>
      <c r="C1441" s="177"/>
      <c r="D1441" s="178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8"/>
    </row>
    <row r="1442" spans="1:17" s="95" customFormat="1" x14ac:dyDescent="0.25">
      <c r="A1442" s="176"/>
      <c r="B1442" s="177"/>
      <c r="C1442" s="177"/>
      <c r="D1442" s="178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8"/>
    </row>
    <row r="1443" spans="1:17" s="95" customFormat="1" x14ac:dyDescent="0.25">
      <c r="A1443" s="176"/>
      <c r="B1443" s="177"/>
      <c r="C1443" s="177"/>
      <c r="D1443" s="178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8"/>
    </row>
    <row r="1444" spans="1:17" s="95" customFormat="1" x14ac:dyDescent="0.25">
      <c r="A1444" s="176"/>
      <c r="B1444" s="177"/>
      <c r="C1444" s="177"/>
      <c r="D1444" s="178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8"/>
    </row>
    <row r="1445" spans="1:17" s="95" customFormat="1" x14ac:dyDescent="0.25">
      <c r="A1445" s="176"/>
      <c r="B1445" s="177"/>
      <c r="C1445" s="177"/>
      <c r="D1445" s="178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8"/>
    </row>
    <row r="1446" spans="1:17" s="95" customFormat="1" x14ac:dyDescent="0.25">
      <c r="A1446" s="176"/>
      <c r="B1446" s="177"/>
      <c r="C1446" s="177"/>
      <c r="D1446" s="178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8"/>
    </row>
    <row r="1447" spans="1:17" s="95" customFormat="1" x14ac:dyDescent="0.25">
      <c r="A1447" s="176"/>
      <c r="B1447" s="177"/>
      <c r="C1447" s="177"/>
      <c r="D1447" s="178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8"/>
    </row>
    <row r="1448" spans="1:17" s="95" customFormat="1" x14ac:dyDescent="0.25">
      <c r="A1448" s="176"/>
      <c r="B1448" s="177"/>
      <c r="C1448" s="177"/>
      <c r="D1448" s="178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8"/>
    </row>
    <row r="1449" spans="1:17" s="95" customFormat="1" x14ac:dyDescent="0.25">
      <c r="A1449" s="176"/>
      <c r="B1449" s="177"/>
      <c r="C1449" s="177"/>
      <c r="D1449" s="178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8"/>
    </row>
    <row r="1450" spans="1:17" s="95" customFormat="1" x14ac:dyDescent="0.25">
      <c r="A1450" s="176"/>
      <c r="B1450" s="177"/>
      <c r="C1450" s="177"/>
      <c r="D1450" s="178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8"/>
    </row>
    <row r="1451" spans="1:17" s="95" customFormat="1" x14ac:dyDescent="0.25">
      <c r="A1451" s="176"/>
      <c r="B1451" s="177"/>
      <c r="C1451" s="177"/>
      <c r="D1451" s="178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8"/>
    </row>
    <row r="1452" spans="1:17" s="95" customFormat="1" x14ac:dyDescent="0.25">
      <c r="A1452" s="176"/>
      <c r="B1452" s="177"/>
      <c r="C1452" s="177"/>
      <c r="D1452" s="178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8"/>
    </row>
    <row r="1453" spans="1:17" s="95" customFormat="1" x14ac:dyDescent="0.25">
      <c r="A1453" s="176"/>
      <c r="B1453" s="177"/>
      <c r="C1453" s="177"/>
      <c r="D1453" s="178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8"/>
    </row>
    <row r="1454" spans="1:17" s="95" customFormat="1" x14ac:dyDescent="0.25">
      <c r="A1454" s="176"/>
      <c r="B1454" s="177"/>
      <c r="C1454" s="177"/>
      <c r="D1454" s="178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8"/>
    </row>
    <row r="1455" spans="1:17" s="95" customFormat="1" x14ac:dyDescent="0.25">
      <c r="A1455" s="176"/>
      <c r="B1455" s="177"/>
      <c r="C1455" s="177"/>
      <c r="D1455" s="178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8"/>
    </row>
    <row r="1456" spans="1:17" s="95" customFormat="1" x14ac:dyDescent="0.25">
      <c r="A1456" s="176"/>
      <c r="B1456" s="177"/>
      <c r="C1456" s="177"/>
      <c r="D1456" s="178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8"/>
    </row>
    <row r="1457" spans="1:17" s="95" customFormat="1" x14ac:dyDescent="0.25">
      <c r="A1457" s="176"/>
      <c r="B1457" s="177"/>
      <c r="C1457" s="177"/>
      <c r="D1457" s="178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8"/>
    </row>
    <row r="1458" spans="1:17" s="95" customFormat="1" x14ac:dyDescent="0.25">
      <c r="A1458" s="176"/>
      <c r="B1458" s="177"/>
      <c r="C1458" s="177"/>
      <c r="D1458" s="178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8"/>
    </row>
    <row r="1459" spans="1:17" s="95" customFormat="1" x14ac:dyDescent="0.25">
      <c r="A1459" s="176"/>
      <c r="B1459" s="177"/>
      <c r="C1459" s="177"/>
      <c r="D1459" s="178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8"/>
    </row>
    <row r="1460" spans="1:17" s="95" customFormat="1" x14ac:dyDescent="0.25">
      <c r="A1460" s="176"/>
      <c r="B1460" s="177"/>
      <c r="C1460" s="177"/>
      <c r="D1460" s="178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8"/>
    </row>
    <row r="1461" spans="1:17" s="95" customFormat="1" x14ac:dyDescent="0.25">
      <c r="A1461" s="176"/>
      <c r="B1461" s="177"/>
      <c r="C1461" s="177"/>
      <c r="D1461" s="178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8"/>
    </row>
    <row r="1462" spans="1:17" s="95" customFormat="1" x14ac:dyDescent="0.25">
      <c r="A1462" s="176"/>
      <c r="B1462" s="177"/>
      <c r="C1462" s="177"/>
      <c r="D1462" s="178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8"/>
    </row>
    <row r="1463" spans="1:17" s="95" customFormat="1" x14ac:dyDescent="0.25">
      <c r="A1463" s="176"/>
      <c r="B1463" s="177"/>
      <c r="C1463" s="177"/>
      <c r="D1463" s="178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8"/>
    </row>
    <row r="1464" spans="1:17" s="95" customFormat="1" x14ac:dyDescent="0.25">
      <c r="A1464" s="176"/>
      <c r="B1464" s="177"/>
      <c r="C1464" s="177"/>
      <c r="D1464" s="178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8"/>
    </row>
    <row r="1465" spans="1:17" s="95" customFormat="1" x14ac:dyDescent="0.25">
      <c r="A1465" s="176"/>
      <c r="B1465" s="177"/>
      <c r="C1465" s="177"/>
      <c r="D1465" s="178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8"/>
    </row>
    <row r="1466" spans="1:17" s="95" customFormat="1" x14ac:dyDescent="0.25">
      <c r="A1466" s="176"/>
      <c r="B1466" s="177"/>
      <c r="C1466" s="177"/>
      <c r="D1466" s="178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8"/>
    </row>
    <row r="1467" spans="1:17" s="95" customFormat="1" x14ac:dyDescent="0.25">
      <c r="A1467" s="176"/>
      <c r="B1467" s="177"/>
      <c r="C1467" s="177"/>
      <c r="D1467" s="178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8"/>
    </row>
    <row r="1468" spans="1:17" s="95" customFormat="1" x14ac:dyDescent="0.25">
      <c r="A1468" s="176"/>
      <c r="B1468" s="177"/>
      <c r="C1468" s="177"/>
      <c r="D1468" s="178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8"/>
    </row>
    <row r="1469" spans="1:17" s="95" customFormat="1" x14ac:dyDescent="0.25">
      <c r="A1469" s="176"/>
      <c r="B1469" s="177"/>
      <c r="C1469" s="177"/>
      <c r="D1469" s="178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8"/>
    </row>
    <row r="1470" spans="1:17" s="95" customFormat="1" x14ac:dyDescent="0.25">
      <c r="A1470" s="176"/>
      <c r="B1470" s="177"/>
      <c r="C1470" s="177"/>
      <c r="D1470" s="178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8"/>
    </row>
    <row r="1471" spans="1:17" s="95" customFormat="1" x14ac:dyDescent="0.25">
      <c r="A1471" s="176"/>
      <c r="B1471" s="177"/>
      <c r="C1471" s="177"/>
      <c r="D1471" s="178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8"/>
    </row>
    <row r="1472" spans="1:17" s="95" customFormat="1" x14ac:dyDescent="0.25">
      <c r="A1472" s="176"/>
      <c r="B1472" s="177"/>
      <c r="C1472" s="177"/>
      <c r="D1472" s="178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8"/>
    </row>
    <row r="1473" spans="1:17" s="95" customFormat="1" x14ac:dyDescent="0.25">
      <c r="A1473" s="176"/>
      <c r="B1473" s="177"/>
      <c r="C1473" s="177"/>
      <c r="D1473" s="178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8"/>
    </row>
    <row r="1474" spans="1:17" s="95" customFormat="1" x14ac:dyDescent="0.25">
      <c r="A1474" s="176"/>
      <c r="B1474" s="177"/>
      <c r="C1474" s="177"/>
      <c r="D1474" s="178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8"/>
    </row>
    <row r="1475" spans="1:17" s="95" customFormat="1" x14ac:dyDescent="0.25">
      <c r="A1475" s="176"/>
      <c r="B1475" s="177"/>
      <c r="C1475" s="177"/>
      <c r="D1475" s="178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8"/>
    </row>
    <row r="1476" spans="1:17" s="95" customFormat="1" x14ac:dyDescent="0.25">
      <c r="A1476" s="176"/>
      <c r="B1476" s="177"/>
      <c r="C1476" s="177"/>
      <c r="D1476" s="178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8"/>
    </row>
    <row r="1477" spans="1:17" s="95" customFormat="1" x14ac:dyDescent="0.25">
      <c r="A1477" s="176"/>
      <c r="B1477" s="177"/>
      <c r="C1477" s="177"/>
      <c r="D1477" s="178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8"/>
    </row>
    <row r="1478" spans="1:17" s="95" customFormat="1" x14ac:dyDescent="0.25">
      <c r="A1478" s="176"/>
      <c r="B1478" s="177"/>
      <c r="C1478" s="177"/>
      <c r="D1478" s="178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8"/>
    </row>
    <row r="1479" spans="1:17" s="95" customFormat="1" x14ac:dyDescent="0.25">
      <c r="A1479" s="176"/>
      <c r="B1479" s="177"/>
      <c r="C1479" s="177"/>
      <c r="D1479" s="178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8"/>
    </row>
    <row r="1480" spans="1:17" s="95" customFormat="1" x14ac:dyDescent="0.25">
      <c r="A1480" s="176"/>
      <c r="B1480" s="177"/>
      <c r="C1480" s="177"/>
      <c r="D1480" s="178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8"/>
    </row>
    <row r="1481" spans="1:17" s="95" customFormat="1" x14ac:dyDescent="0.25">
      <c r="A1481" s="176"/>
      <c r="B1481" s="177"/>
      <c r="C1481" s="177"/>
      <c r="D1481" s="178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8"/>
    </row>
    <row r="1482" spans="1:17" s="95" customFormat="1" x14ac:dyDescent="0.25">
      <c r="A1482" s="176"/>
      <c r="B1482" s="177"/>
      <c r="C1482" s="177"/>
      <c r="D1482" s="178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8"/>
    </row>
    <row r="1483" spans="1:17" s="95" customFormat="1" x14ac:dyDescent="0.25">
      <c r="A1483" s="176"/>
      <c r="B1483" s="177"/>
      <c r="C1483" s="177"/>
      <c r="D1483" s="178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8"/>
    </row>
    <row r="1484" spans="1:17" s="95" customFormat="1" x14ac:dyDescent="0.25">
      <c r="A1484" s="176"/>
      <c r="B1484" s="177"/>
      <c r="C1484" s="177"/>
      <c r="D1484" s="178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8"/>
    </row>
    <row r="1485" spans="1:17" s="95" customFormat="1" x14ac:dyDescent="0.25">
      <c r="A1485" s="176"/>
      <c r="B1485" s="177"/>
      <c r="C1485" s="177"/>
      <c r="D1485" s="178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8"/>
    </row>
    <row r="1486" spans="1:17" s="95" customFormat="1" x14ac:dyDescent="0.25">
      <c r="A1486" s="176"/>
      <c r="B1486" s="177"/>
      <c r="C1486" s="177"/>
      <c r="D1486" s="178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8"/>
    </row>
    <row r="1487" spans="1:17" s="95" customFormat="1" x14ac:dyDescent="0.25">
      <c r="A1487" s="176"/>
      <c r="B1487" s="177"/>
      <c r="C1487" s="177"/>
      <c r="D1487" s="178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8"/>
    </row>
    <row r="1488" spans="1:17" s="95" customFormat="1" x14ac:dyDescent="0.25">
      <c r="A1488" s="176"/>
      <c r="B1488" s="177"/>
      <c r="C1488" s="177"/>
      <c r="D1488" s="178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8"/>
    </row>
    <row r="1489" spans="1:17" s="95" customFormat="1" x14ac:dyDescent="0.25">
      <c r="A1489" s="176"/>
      <c r="B1489" s="177"/>
      <c r="C1489" s="177"/>
      <c r="D1489" s="178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8"/>
    </row>
    <row r="1490" spans="1:17" s="95" customFormat="1" x14ac:dyDescent="0.25">
      <c r="A1490" s="176"/>
      <c r="B1490" s="177"/>
      <c r="C1490" s="177"/>
      <c r="D1490" s="178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8"/>
    </row>
    <row r="1491" spans="1:17" s="95" customFormat="1" x14ac:dyDescent="0.25">
      <c r="A1491" s="176"/>
      <c r="B1491" s="177"/>
      <c r="C1491" s="177"/>
      <c r="D1491" s="178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8"/>
    </row>
    <row r="1492" spans="1:17" s="95" customFormat="1" x14ac:dyDescent="0.25">
      <c r="A1492" s="176"/>
      <c r="B1492" s="177"/>
      <c r="C1492" s="177"/>
      <c r="D1492" s="178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8"/>
    </row>
    <row r="1493" spans="1:17" s="95" customFormat="1" x14ac:dyDescent="0.25">
      <c r="A1493" s="176"/>
      <c r="B1493" s="177"/>
      <c r="C1493" s="177"/>
      <c r="D1493" s="178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8"/>
    </row>
    <row r="1494" spans="1:17" s="95" customFormat="1" x14ac:dyDescent="0.25">
      <c r="A1494" s="176"/>
      <c r="B1494" s="177"/>
      <c r="C1494" s="177"/>
      <c r="D1494" s="178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8"/>
    </row>
    <row r="1495" spans="1:17" s="95" customFormat="1" x14ac:dyDescent="0.25">
      <c r="A1495" s="176"/>
      <c r="B1495" s="177"/>
      <c r="C1495" s="177"/>
      <c r="D1495" s="178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8"/>
    </row>
    <row r="1496" spans="1:17" s="95" customFormat="1" x14ac:dyDescent="0.25">
      <c r="A1496" s="176"/>
      <c r="B1496" s="177"/>
      <c r="C1496" s="177"/>
      <c r="D1496" s="178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8"/>
    </row>
    <row r="1497" spans="1:17" s="95" customFormat="1" x14ac:dyDescent="0.25">
      <c r="A1497" s="176"/>
      <c r="B1497" s="177"/>
      <c r="C1497" s="177"/>
      <c r="D1497" s="178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8"/>
    </row>
    <row r="1498" spans="1:17" s="95" customFormat="1" x14ac:dyDescent="0.25">
      <c r="A1498" s="176"/>
      <c r="B1498" s="177"/>
      <c r="C1498" s="177"/>
      <c r="D1498" s="178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8"/>
    </row>
    <row r="1499" spans="1:17" s="95" customFormat="1" x14ac:dyDescent="0.25">
      <c r="A1499" s="176"/>
      <c r="B1499" s="177"/>
      <c r="C1499" s="177"/>
      <c r="D1499" s="178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8"/>
    </row>
    <row r="1500" spans="1:17" s="95" customFormat="1" x14ac:dyDescent="0.25">
      <c r="A1500" s="176"/>
      <c r="B1500" s="177"/>
      <c r="C1500" s="177"/>
      <c r="D1500" s="178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8"/>
    </row>
    <row r="1501" spans="1:17" s="95" customFormat="1" x14ac:dyDescent="0.25">
      <c r="A1501" s="176"/>
      <c r="B1501" s="177"/>
      <c r="C1501" s="177"/>
      <c r="D1501" s="178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8"/>
    </row>
    <row r="1502" spans="1:17" s="95" customFormat="1" x14ac:dyDescent="0.25">
      <c r="A1502" s="176"/>
      <c r="B1502" s="177"/>
      <c r="C1502" s="177"/>
      <c r="D1502" s="178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8"/>
    </row>
    <row r="1503" spans="1:17" s="95" customFormat="1" x14ac:dyDescent="0.25">
      <c r="A1503" s="176"/>
      <c r="B1503" s="177"/>
      <c r="C1503" s="177"/>
      <c r="D1503" s="178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8"/>
    </row>
    <row r="1504" spans="1:17" s="95" customFormat="1" x14ac:dyDescent="0.25">
      <c r="A1504" s="176"/>
      <c r="B1504" s="177"/>
      <c r="C1504" s="177"/>
      <c r="D1504" s="178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8"/>
    </row>
    <row r="1505" spans="1:17" s="95" customFormat="1" x14ac:dyDescent="0.25">
      <c r="A1505" s="176"/>
      <c r="B1505" s="177"/>
      <c r="C1505" s="177"/>
      <c r="D1505" s="178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8"/>
    </row>
    <row r="1506" spans="1:17" s="95" customFormat="1" x14ac:dyDescent="0.25">
      <c r="A1506" s="176"/>
      <c r="B1506" s="177"/>
      <c r="C1506" s="177"/>
      <c r="D1506" s="178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8"/>
    </row>
    <row r="1507" spans="1:17" s="95" customFormat="1" x14ac:dyDescent="0.25">
      <c r="A1507" s="176"/>
      <c r="B1507" s="177"/>
      <c r="C1507" s="177"/>
      <c r="D1507" s="178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8"/>
    </row>
    <row r="1508" spans="1:17" s="95" customFormat="1" x14ac:dyDescent="0.25">
      <c r="A1508" s="176"/>
      <c r="B1508" s="177"/>
      <c r="C1508" s="177"/>
      <c r="D1508" s="178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8"/>
    </row>
    <row r="1509" spans="1:17" s="95" customFormat="1" x14ac:dyDescent="0.25">
      <c r="A1509" s="176"/>
      <c r="B1509" s="177"/>
      <c r="C1509" s="177"/>
      <c r="D1509" s="178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8"/>
    </row>
    <row r="1510" spans="1:17" s="95" customFormat="1" x14ac:dyDescent="0.25">
      <c r="A1510" s="176"/>
      <c r="B1510" s="177"/>
      <c r="C1510" s="177"/>
      <c r="D1510" s="178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8"/>
    </row>
    <row r="1511" spans="1:17" s="95" customFormat="1" x14ac:dyDescent="0.25">
      <c r="A1511" s="176"/>
      <c r="B1511" s="177"/>
      <c r="C1511" s="177"/>
      <c r="D1511" s="178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8"/>
    </row>
    <row r="1512" spans="1:17" s="95" customFormat="1" x14ac:dyDescent="0.25">
      <c r="A1512" s="176"/>
      <c r="B1512" s="177"/>
      <c r="C1512" s="177"/>
      <c r="D1512" s="178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8"/>
    </row>
    <row r="1513" spans="1:17" s="95" customFormat="1" x14ac:dyDescent="0.25">
      <c r="A1513" s="176"/>
      <c r="B1513" s="177"/>
      <c r="C1513" s="177"/>
      <c r="D1513" s="178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8"/>
    </row>
    <row r="1514" spans="1:17" s="95" customFormat="1" x14ac:dyDescent="0.25">
      <c r="A1514" s="176"/>
      <c r="B1514" s="177"/>
      <c r="C1514" s="177"/>
      <c r="D1514" s="178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8"/>
    </row>
    <row r="1515" spans="1:17" s="95" customFormat="1" x14ac:dyDescent="0.25">
      <c r="A1515" s="176"/>
      <c r="B1515" s="177"/>
      <c r="C1515" s="177"/>
      <c r="D1515" s="178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8"/>
    </row>
    <row r="1516" spans="1:17" s="95" customFormat="1" x14ac:dyDescent="0.25">
      <c r="A1516" s="176"/>
      <c r="B1516" s="177"/>
      <c r="C1516" s="177"/>
      <c r="D1516" s="178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8"/>
    </row>
    <row r="1517" spans="1:17" s="95" customFormat="1" x14ac:dyDescent="0.25">
      <c r="A1517" s="176"/>
      <c r="B1517" s="177"/>
      <c r="C1517" s="177"/>
      <c r="D1517" s="178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8"/>
    </row>
    <row r="1518" spans="1:17" s="95" customFormat="1" x14ac:dyDescent="0.25">
      <c r="A1518" s="176"/>
      <c r="B1518" s="177"/>
      <c r="C1518" s="177"/>
      <c r="D1518" s="178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8"/>
    </row>
    <row r="1519" spans="1:17" s="95" customFormat="1" x14ac:dyDescent="0.25">
      <c r="A1519" s="176"/>
      <c r="B1519" s="177"/>
      <c r="C1519" s="177"/>
      <c r="D1519" s="178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8"/>
    </row>
    <row r="1520" spans="1:17" s="95" customFormat="1" x14ac:dyDescent="0.25">
      <c r="A1520" s="176"/>
      <c r="B1520" s="177"/>
      <c r="C1520" s="177"/>
      <c r="D1520" s="178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8"/>
    </row>
    <row r="1521" spans="1:17" s="95" customFormat="1" x14ac:dyDescent="0.25">
      <c r="A1521" s="176"/>
      <c r="B1521" s="177"/>
      <c r="C1521" s="177"/>
      <c r="D1521" s="178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8"/>
    </row>
    <row r="1522" spans="1:17" s="95" customFormat="1" x14ac:dyDescent="0.25">
      <c r="A1522" s="176"/>
      <c r="B1522" s="177"/>
      <c r="C1522" s="177"/>
      <c r="D1522" s="178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8"/>
    </row>
    <row r="1523" spans="1:17" s="95" customFormat="1" x14ac:dyDescent="0.25">
      <c r="A1523" s="176"/>
      <c r="B1523" s="177"/>
      <c r="C1523" s="177"/>
      <c r="D1523" s="178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8"/>
    </row>
    <row r="1524" spans="1:17" s="95" customFormat="1" x14ac:dyDescent="0.25">
      <c r="A1524" s="176"/>
      <c r="B1524" s="177"/>
      <c r="C1524" s="177"/>
      <c r="D1524" s="178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8"/>
    </row>
    <row r="1525" spans="1:17" s="95" customFormat="1" x14ac:dyDescent="0.25">
      <c r="A1525" s="176"/>
      <c r="B1525" s="177"/>
      <c r="C1525" s="177"/>
      <c r="D1525" s="178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8"/>
    </row>
    <row r="1526" spans="1:17" s="95" customFormat="1" x14ac:dyDescent="0.25">
      <c r="A1526" s="176"/>
      <c r="B1526" s="177"/>
      <c r="C1526" s="177"/>
      <c r="D1526" s="178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8"/>
    </row>
    <row r="1527" spans="1:17" s="95" customFormat="1" x14ac:dyDescent="0.25">
      <c r="A1527" s="176"/>
      <c r="B1527" s="177"/>
      <c r="C1527" s="177"/>
      <c r="D1527" s="178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8"/>
    </row>
    <row r="1528" spans="1:17" s="95" customFormat="1" x14ac:dyDescent="0.25">
      <c r="A1528" s="176"/>
      <c r="B1528" s="177"/>
      <c r="C1528" s="177"/>
      <c r="D1528" s="178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8"/>
    </row>
    <row r="1529" spans="1:17" s="95" customFormat="1" x14ac:dyDescent="0.25">
      <c r="A1529" s="176"/>
      <c r="B1529" s="177"/>
      <c r="C1529" s="177"/>
      <c r="D1529" s="178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8"/>
    </row>
    <row r="1530" spans="1:17" s="95" customFormat="1" x14ac:dyDescent="0.25">
      <c r="A1530" s="176"/>
      <c r="B1530" s="177"/>
      <c r="C1530" s="177"/>
      <c r="D1530" s="178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8"/>
    </row>
    <row r="1531" spans="1:17" s="95" customFormat="1" x14ac:dyDescent="0.25">
      <c r="A1531" s="176"/>
      <c r="B1531" s="177"/>
      <c r="C1531" s="177"/>
      <c r="D1531" s="178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8"/>
    </row>
    <row r="1532" spans="1:17" s="95" customFormat="1" x14ac:dyDescent="0.25">
      <c r="A1532" s="176"/>
      <c r="B1532" s="177"/>
      <c r="C1532" s="177"/>
      <c r="D1532" s="178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8"/>
    </row>
    <row r="1533" spans="1:17" s="95" customFormat="1" x14ac:dyDescent="0.25">
      <c r="A1533" s="176"/>
      <c r="B1533" s="177"/>
      <c r="C1533" s="177"/>
      <c r="D1533" s="178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8"/>
    </row>
    <row r="1534" spans="1:17" s="95" customFormat="1" x14ac:dyDescent="0.25">
      <c r="A1534" s="176"/>
      <c r="B1534" s="177"/>
      <c r="C1534" s="177"/>
      <c r="D1534" s="178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8"/>
    </row>
    <row r="1535" spans="1:17" s="95" customFormat="1" x14ac:dyDescent="0.25">
      <c r="A1535" s="176"/>
      <c r="B1535" s="177"/>
      <c r="C1535" s="177"/>
      <c r="D1535" s="178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8"/>
    </row>
    <row r="1536" spans="1:17" s="95" customFormat="1" x14ac:dyDescent="0.25">
      <c r="A1536" s="176"/>
      <c r="B1536" s="177"/>
      <c r="C1536" s="177"/>
      <c r="D1536" s="178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8"/>
    </row>
    <row r="1537" spans="1:17" s="95" customFormat="1" x14ac:dyDescent="0.25">
      <c r="A1537" s="176"/>
      <c r="B1537" s="177"/>
      <c r="C1537" s="177"/>
      <c r="D1537" s="178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8"/>
    </row>
    <row r="1538" spans="1:17" s="95" customFormat="1" x14ac:dyDescent="0.25">
      <c r="A1538" s="176"/>
      <c r="B1538" s="177"/>
      <c r="C1538" s="177"/>
      <c r="D1538" s="178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8"/>
    </row>
    <row r="1539" spans="1:17" s="95" customFormat="1" x14ac:dyDescent="0.25">
      <c r="A1539" s="176"/>
      <c r="B1539" s="177"/>
      <c r="C1539" s="177"/>
      <c r="D1539" s="178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8"/>
    </row>
    <row r="1540" spans="1:17" s="95" customFormat="1" x14ac:dyDescent="0.25">
      <c r="A1540" s="176"/>
      <c r="B1540" s="177"/>
      <c r="C1540" s="177"/>
      <c r="D1540" s="178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8"/>
    </row>
    <row r="1541" spans="1:17" s="95" customFormat="1" x14ac:dyDescent="0.25">
      <c r="A1541" s="176"/>
      <c r="B1541" s="177"/>
      <c r="C1541" s="177"/>
      <c r="D1541" s="178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8"/>
    </row>
    <row r="1542" spans="1:17" s="95" customFormat="1" x14ac:dyDescent="0.25">
      <c r="A1542" s="176"/>
      <c r="B1542" s="177"/>
      <c r="C1542" s="177"/>
      <c r="D1542" s="178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8"/>
    </row>
    <row r="1543" spans="1:17" s="95" customFormat="1" x14ac:dyDescent="0.25">
      <c r="A1543" s="176"/>
      <c r="B1543" s="177"/>
      <c r="C1543" s="177"/>
      <c r="D1543" s="178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8"/>
    </row>
    <row r="1544" spans="1:17" s="95" customFormat="1" x14ac:dyDescent="0.25">
      <c r="A1544" s="176"/>
      <c r="B1544" s="177"/>
      <c r="C1544" s="177"/>
      <c r="D1544" s="178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8"/>
    </row>
    <row r="1545" spans="1:17" s="95" customFormat="1" x14ac:dyDescent="0.25">
      <c r="A1545" s="176"/>
      <c r="B1545" s="177"/>
      <c r="C1545" s="177"/>
      <c r="D1545" s="178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8"/>
    </row>
    <row r="1546" spans="1:17" s="95" customFormat="1" x14ac:dyDescent="0.25">
      <c r="A1546" s="176"/>
      <c r="B1546" s="177"/>
      <c r="C1546" s="177"/>
      <c r="D1546" s="178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8"/>
    </row>
    <row r="1547" spans="1:17" s="95" customFormat="1" x14ac:dyDescent="0.25">
      <c r="A1547" s="176"/>
      <c r="B1547" s="177"/>
      <c r="C1547" s="177"/>
      <c r="D1547" s="178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8"/>
    </row>
    <row r="1548" spans="1:17" s="95" customFormat="1" x14ac:dyDescent="0.25">
      <c r="A1548" s="176"/>
      <c r="B1548" s="177"/>
      <c r="C1548" s="177"/>
      <c r="D1548" s="178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8"/>
    </row>
    <row r="1549" spans="1:17" s="95" customFormat="1" x14ac:dyDescent="0.25">
      <c r="A1549" s="176"/>
      <c r="B1549" s="177"/>
      <c r="C1549" s="177"/>
      <c r="D1549" s="178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8"/>
    </row>
    <row r="1550" spans="1:17" s="95" customFormat="1" x14ac:dyDescent="0.25">
      <c r="A1550" s="176"/>
      <c r="B1550" s="177"/>
      <c r="C1550" s="177"/>
      <c r="D1550" s="178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8"/>
    </row>
    <row r="1551" spans="1:17" s="95" customFormat="1" x14ac:dyDescent="0.25">
      <c r="A1551" s="176"/>
      <c r="B1551" s="177"/>
      <c r="C1551" s="177"/>
      <c r="D1551" s="178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8"/>
    </row>
    <row r="1552" spans="1:17" s="95" customFormat="1" x14ac:dyDescent="0.25">
      <c r="A1552" s="176"/>
      <c r="B1552" s="177"/>
      <c r="C1552" s="177"/>
      <c r="D1552" s="178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8"/>
    </row>
    <row r="1553" spans="1:17" s="95" customFormat="1" x14ac:dyDescent="0.25">
      <c r="A1553" s="176"/>
      <c r="B1553" s="177"/>
      <c r="C1553" s="177"/>
      <c r="D1553" s="178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8"/>
    </row>
    <row r="1554" spans="1:17" s="95" customFormat="1" x14ac:dyDescent="0.25">
      <c r="A1554" s="176"/>
      <c r="B1554" s="177"/>
      <c r="C1554" s="177"/>
      <c r="D1554" s="178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8"/>
    </row>
    <row r="1555" spans="1:17" s="95" customFormat="1" x14ac:dyDescent="0.25">
      <c r="A1555" s="176"/>
      <c r="B1555" s="177"/>
      <c r="C1555" s="177"/>
      <c r="D1555" s="178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8"/>
    </row>
    <row r="1556" spans="1:17" s="95" customFormat="1" x14ac:dyDescent="0.25">
      <c r="A1556" s="176"/>
      <c r="B1556" s="177"/>
      <c r="C1556" s="177"/>
      <c r="D1556" s="178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8"/>
    </row>
    <row r="1557" spans="1:17" s="95" customFormat="1" x14ac:dyDescent="0.25">
      <c r="A1557" s="176"/>
      <c r="B1557" s="177"/>
      <c r="C1557" s="177"/>
      <c r="D1557" s="178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8"/>
    </row>
    <row r="1558" spans="1:17" s="95" customFormat="1" x14ac:dyDescent="0.25">
      <c r="A1558" s="176"/>
      <c r="B1558" s="177"/>
      <c r="C1558" s="177"/>
      <c r="D1558" s="178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8"/>
    </row>
    <row r="1559" spans="1:17" s="95" customFormat="1" x14ac:dyDescent="0.25">
      <c r="A1559" s="176"/>
      <c r="B1559" s="177"/>
      <c r="C1559" s="177"/>
      <c r="D1559" s="178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8"/>
    </row>
    <row r="1560" spans="1:17" s="95" customFormat="1" x14ac:dyDescent="0.25">
      <c r="A1560" s="176"/>
      <c r="B1560" s="177"/>
      <c r="C1560" s="177"/>
      <c r="D1560" s="178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8"/>
    </row>
    <row r="1561" spans="1:17" s="95" customFormat="1" x14ac:dyDescent="0.25">
      <c r="A1561" s="176"/>
      <c r="B1561" s="177"/>
      <c r="C1561" s="177"/>
      <c r="D1561" s="178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8"/>
    </row>
    <row r="1562" spans="1:17" s="95" customFormat="1" x14ac:dyDescent="0.25">
      <c r="A1562" s="176"/>
      <c r="B1562" s="177"/>
      <c r="C1562" s="177"/>
      <c r="D1562" s="178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8"/>
    </row>
    <row r="1563" spans="1:17" s="95" customFormat="1" x14ac:dyDescent="0.25">
      <c r="A1563" s="176"/>
      <c r="B1563" s="177"/>
      <c r="C1563" s="177"/>
      <c r="D1563" s="178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8"/>
    </row>
    <row r="1564" spans="1:17" s="95" customFormat="1" x14ac:dyDescent="0.25">
      <c r="A1564" s="176"/>
      <c r="B1564" s="177"/>
      <c r="C1564" s="177"/>
      <c r="D1564" s="178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8"/>
    </row>
    <row r="1565" spans="1:17" s="95" customFormat="1" x14ac:dyDescent="0.25">
      <c r="A1565" s="176"/>
      <c r="B1565" s="177"/>
      <c r="C1565" s="177"/>
      <c r="D1565" s="178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8"/>
    </row>
    <row r="1566" spans="1:17" s="95" customFormat="1" x14ac:dyDescent="0.25">
      <c r="A1566" s="176"/>
      <c r="B1566" s="177"/>
      <c r="C1566" s="177"/>
      <c r="D1566" s="178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8"/>
    </row>
    <row r="1567" spans="1:17" s="95" customFormat="1" x14ac:dyDescent="0.25">
      <c r="A1567" s="176"/>
      <c r="B1567" s="177"/>
      <c r="C1567" s="177"/>
      <c r="D1567" s="178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8"/>
    </row>
    <row r="1568" spans="1:17" s="95" customFormat="1" x14ac:dyDescent="0.25">
      <c r="A1568" s="176"/>
      <c r="B1568" s="177"/>
      <c r="C1568" s="177"/>
      <c r="D1568" s="178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8"/>
    </row>
    <row r="1569" spans="1:17" s="95" customFormat="1" x14ac:dyDescent="0.25">
      <c r="A1569" s="176"/>
      <c r="B1569" s="177"/>
      <c r="C1569" s="177"/>
      <c r="D1569" s="178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8"/>
    </row>
    <row r="1570" spans="1:17" s="95" customFormat="1" x14ac:dyDescent="0.25">
      <c r="A1570" s="176"/>
      <c r="B1570" s="177"/>
      <c r="C1570" s="177"/>
      <c r="D1570" s="178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8"/>
    </row>
    <row r="1571" spans="1:17" s="95" customFormat="1" x14ac:dyDescent="0.25">
      <c r="A1571" s="176"/>
      <c r="B1571" s="177"/>
      <c r="C1571" s="177"/>
      <c r="D1571" s="178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8"/>
    </row>
    <row r="1572" spans="1:17" s="95" customFormat="1" x14ac:dyDescent="0.25">
      <c r="A1572" s="176"/>
      <c r="B1572" s="177"/>
      <c r="C1572" s="177"/>
      <c r="D1572" s="178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8"/>
    </row>
    <row r="1573" spans="1:17" s="95" customFormat="1" x14ac:dyDescent="0.25">
      <c r="A1573" s="176"/>
      <c r="B1573" s="177"/>
      <c r="C1573" s="177"/>
      <c r="D1573" s="178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8"/>
    </row>
    <row r="1574" spans="1:17" s="95" customFormat="1" x14ac:dyDescent="0.25">
      <c r="A1574" s="176"/>
      <c r="B1574" s="177"/>
      <c r="C1574" s="177"/>
      <c r="D1574" s="178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8"/>
    </row>
    <row r="1575" spans="1:17" s="95" customFormat="1" x14ac:dyDescent="0.25">
      <c r="A1575" s="176"/>
      <c r="B1575" s="177"/>
      <c r="C1575" s="177"/>
      <c r="D1575" s="178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8"/>
    </row>
    <row r="1576" spans="1:17" s="95" customFormat="1" x14ac:dyDescent="0.25">
      <c r="A1576" s="176"/>
      <c r="B1576" s="177"/>
      <c r="C1576" s="177"/>
      <c r="D1576" s="178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8"/>
    </row>
    <row r="1577" spans="1:17" s="95" customFormat="1" x14ac:dyDescent="0.25">
      <c r="A1577" s="176"/>
      <c r="B1577" s="177"/>
      <c r="C1577" s="177"/>
      <c r="D1577" s="178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8"/>
    </row>
    <row r="1578" spans="1:17" s="95" customFormat="1" x14ac:dyDescent="0.25">
      <c r="A1578" s="176"/>
      <c r="B1578" s="177"/>
      <c r="C1578" s="177"/>
      <c r="D1578" s="178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8"/>
    </row>
    <row r="1579" spans="1:17" s="95" customFormat="1" x14ac:dyDescent="0.25">
      <c r="A1579" s="176"/>
      <c r="B1579" s="177"/>
      <c r="C1579" s="177"/>
      <c r="D1579" s="178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8"/>
    </row>
    <row r="1580" spans="1:17" s="95" customFormat="1" x14ac:dyDescent="0.25">
      <c r="A1580" s="176"/>
      <c r="B1580" s="177"/>
      <c r="C1580" s="177"/>
      <c r="D1580" s="178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8"/>
    </row>
    <row r="1581" spans="1:17" s="95" customFormat="1" x14ac:dyDescent="0.25">
      <c r="A1581" s="176"/>
      <c r="B1581" s="177"/>
      <c r="C1581" s="177"/>
      <c r="D1581" s="178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8"/>
    </row>
    <row r="1582" spans="1:17" s="95" customFormat="1" x14ac:dyDescent="0.25">
      <c r="A1582" s="176"/>
      <c r="B1582" s="177"/>
      <c r="C1582" s="177"/>
      <c r="D1582" s="178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8"/>
    </row>
    <row r="1583" spans="1:17" s="95" customFormat="1" x14ac:dyDescent="0.25">
      <c r="A1583" s="176"/>
      <c r="B1583" s="177"/>
      <c r="C1583" s="177"/>
      <c r="D1583" s="178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8"/>
    </row>
    <row r="1584" spans="1:17" s="95" customFormat="1" x14ac:dyDescent="0.25">
      <c r="A1584" s="176"/>
      <c r="B1584" s="177"/>
      <c r="C1584" s="177"/>
      <c r="D1584" s="178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8"/>
    </row>
    <row r="1585" spans="1:17" s="95" customFormat="1" x14ac:dyDescent="0.25">
      <c r="A1585" s="176"/>
      <c r="B1585" s="177"/>
      <c r="C1585" s="177"/>
      <c r="D1585" s="178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8"/>
    </row>
    <row r="1586" spans="1:17" s="95" customFormat="1" x14ac:dyDescent="0.25">
      <c r="A1586" s="176"/>
      <c r="B1586" s="177"/>
      <c r="C1586" s="177"/>
      <c r="D1586" s="178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8"/>
    </row>
    <row r="1587" spans="1:17" s="95" customFormat="1" x14ac:dyDescent="0.25">
      <c r="A1587" s="176"/>
      <c r="B1587" s="177"/>
      <c r="C1587" s="177"/>
      <c r="D1587" s="178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8"/>
    </row>
    <row r="1588" spans="1:17" s="95" customFormat="1" x14ac:dyDescent="0.25">
      <c r="A1588" s="176"/>
      <c r="B1588" s="177"/>
      <c r="C1588" s="177"/>
      <c r="D1588" s="178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8"/>
    </row>
    <row r="1589" spans="1:17" s="95" customFormat="1" x14ac:dyDescent="0.25">
      <c r="A1589" s="176"/>
      <c r="B1589" s="177"/>
      <c r="C1589" s="177"/>
      <c r="D1589" s="178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8"/>
    </row>
    <row r="1590" spans="1:17" s="95" customFormat="1" x14ac:dyDescent="0.25">
      <c r="A1590" s="176"/>
      <c r="B1590" s="177"/>
      <c r="C1590" s="177"/>
      <c r="D1590" s="178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8"/>
    </row>
    <row r="1591" spans="1:17" s="95" customFormat="1" x14ac:dyDescent="0.25">
      <c r="A1591" s="176"/>
      <c r="B1591" s="177"/>
      <c r="C1591" s="177"/>
      <c r="D1591" s="178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8"/>
    </row>
    <row r="1592" spans="1:17" s="95" customFormat="1" x14ac:dyDescent="0.25">
      <c r="A1592" s="176"/>
      <c r="B1592" s="177"/>
      <c r="C1592" s="177"/>
      <c r="D1592" s="178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8"/>
    </row>
    <row r="1593" spans="1:17" s="95" customFormat="1" x14ac:dyDescent="0.25">
      <c r="A1593" s="176"/>
      <c r="B1593" s="177"/>
      <c r="C1593" s="177"/>
      <c r="D1593" s="178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8"/>
    </row>
    <row r="1594" spans="1:17" s="95" customFormat="1" x14ac:dyDescent="0.25">
      <c r="A1594" s="176"/>
      <c r="B1594" s="177"/>
      <c r="C1594" s="177"/>
      <c r="D1594" s="178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8"/>
    </row>
    <row r="1595" spans="1:17" s="95" customFormat="1" x14ac:dyDescent="0.25">
      <c r="A1595" s="176"/>
      <c r="B1595" s="177"/>
      <c r="C1595" s="177"/>
      <c r="D1595" s="178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8"/>
    </row>
    <row r="1596" spans="1:17" s="95" customFormat="1" x14ac:dyDescent="0.25">
      <c r="A1596" s="176"/>
      <c r="B1596" s="177"/>
      <c r="C1596" s="177"/>
      <c r="D1596" s="178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8"/>
    </row>
    <row r="1597" spans="1:17" s="95" customFormat="1" x14ac:dyDescent="0.25">
      <c r="A1597" s="176"/>
      <c r="B1597" s="177"/>
      <c r="C1597" s="177"/>
      <c r="D1597" s="178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8"/>
    </row>
    <row r="1598" spans="1:17" s="95" customFormat="1" x14ac:dyDescent="0.25">
      <c r="A1598" s="176"/>
      <c r="B1598" s="177"/>
      <c r="C1598" s="177"/>
      <c r="D1598" s="178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8"/>
    </row>
    <row r="1599" spans="1:17" s="95" customFormat="1" x14ac:dyDescent="0.25">
      <c r="A1599" s="176"/>
      <c r="B1599" s="177"/>
      <c r="C1599" s="177"/>
      <c r="D1599" s="178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8"/>
    </row>
    <row r="1600" spans="1:17" s="95" customFormat="1" x14ac:dyDescent="0.25">
      <c r="A1600" s="176"/>
      <c r="B1600" s="177"/>
      <c r="C1600" s="177"/>
      <c r="D1600" s="178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8"/>
    </row>
    <row r="1601" spans="1:17" s="95" customFormat="1" x14ac:dyDescent="0.25">
      <c r="A1601" s="176"/>
      <c r="B1601" s="177"/>
      <c r="C1601" s="177"/>
      <c r="D1601" s="178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8"/>
    </row>
    <row r="1602" spans="1:17" s="95" customFormat="1" x14ac:dyDescent="0.25">
      <c r="A1602" s="176"/>
      <c r="B1602" s="177"/>
      <c r="C1602" s="177"/>
      <c r="D1602" s="178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8"/>
    </row>
    <row r="1603" spans="1:17" s="95" customFormat="1" x14ac:dyDescent="0.25">
      <c r="A1603" s="176"/>
      <c r="B1603" s="177"/>
      <c r="C1603" s="177"/>
      <c r="D1603" s="178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8"/>
    </row>
    <row r="1604" spans="1:17" s="95" customFormat="1" x14ac:dyDescent="0.25">
      <c r="A1604" s="176"/>
      <c r="B1604" s="177"/>
      <c r="C1604" s="177"/>
      <c r="D1604" s="178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8"/>
    </row>
    <row r="1605" spans="1:17" s="95" customFormat="1" x14ac:dyDescent="0.25">
      <c r="A1605" s="176"/>
      <c r="B1605" s="177"/>
      <c r="C1605" s="177"/>
      <c r="D1605" s="178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8"/>
    </row>
    <row r="1606" spans="1:17" s="95" customFormat="1" x14ac:dyDescent="0.25">
      <c r="A1606" s="176"/>
      <c r="B1606" s="177"/>
      <c r="C1606" s="177"/>
      <c r="D1606" s="178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8"/>
    </row>
    <row r="1607" spans="1:17" s="95" customFormat="1" x14ac:dyDescent="0.25">
      <c r="A1607" s="176"/>
      <c r="B1607" s="177"/>
      <c r="C1607" s="177"/>
      <c r="D1607" s="178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8"/>
    </row>
    <row r="1608" spans="1:17" s="95" customFormat="1" x14ac:dyDescent="0.25">
      <c r="A1608" s="176"/>
      <c r="B1608" s="177"/>
      <c r="C1608" s="177"/>
      <c r="D1608" s="178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8"/>
    </row>
    <row r="1609" spans="1:17" s="95" customFormat="1" x14ac:dyDescent="0.25">
      <c r="A1609" s="176"/>
      <c r="B1609" s="177"/>
      <c r="C1609" s="177"/>
      <c r="D1609" s="178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8"/>
    </row>
    <row r="1610" spans="1:17" s="95" customFormat="1" x14ac:dyDescent="0.25">
      <c r="A1610" s="176"/>
      <c r="B1610" s="177"/>
      <c r="C1610" s="177"/>
      <c r="D1610" s="178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8"/>
    </row>
    <row r="1611" spans="1:17" s="95" customFormat="1" x14ac:dyDescent="0.25">
      <c r="A1611" s="176"/>
      <c r="B1611" s="177"/>
      <c r="C1611" s="177"/>
      <c r="D1611" s="178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8"/>
    </row>
    <row r="1612" spans="1:17" s="95" customFormat="1" x14ac:dyDescent="0.25">
      <c r="A1612" s="176"/>
      <c r="B1612" s="177"/>
      <c r="C1612" s="177"/>
      <c r="D1612" s="178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8"/>
    </row>
    <row r="1613" spans="1:17" s="95" customFormat="1" x14ac:dyDescent="0.25">
      <c r="A1613" s="176"/>
      <c r="B1613" s="177"/>
      <c r="C1613" s="177"/>
      <c r="D1613" s="178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8"/>
    </row>
    <row r="1614" spans="1:17" s="95" customFormat="1" x14ac:dyDescent="0.25">
      <c r="A1614" s="176"/>
      <c r="B1614" s="177"/>
      <c r="C1614" s="177"/>
      <c r="D1614" s="178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8"/>
    </row>
    <row r="1615" spans="1:17" s="95" customFormat="1" x14ac:dyDescent="0.25">
      <c r="A1615" s="176"/>
      <c r="B1615" s="177"/>
      <c r="C1615" s="177"/>
      <c r="D1615" s="178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8"/>
    </row>
    <row r="1616" spans="1:17" s="95" customFormat="1" x14ac:dyDescent="0.25">
      <c r="A1616" s="176"/>
      <c r="B1616" s="177"/>
      <c r="C1616" s="177"/>
      <c r="D1616" s="178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8"/>
    </row>
    <row r="1617" spans="1:17" s="95" customFormat="1" x14ac:dyDescent="0.25">
      <c r="A1617" s="176"/>
      <c r="B1617" s="177"/>
      <c r="C1617" s="177"/>
      <c r="D1617" s="178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8"/>
    </row>
    <row r="1618" spans="1:17" s="95" customFormat="1" x14ac:dyDescent="0.25">
      <c r="A1618" s="176"/>
      <c r="B1618" s="177"/>
      <c r="C1618" s="177"/>
      <c r="D1618" s="178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8"/>
    </row>
    <row r="1619" spans="1:17" s="95" customFormat="1" x14ac:dyDescent="0.25">
      <c r="A1619" s="176"/>
      <c r="B1619" s="177"/>
      <c r="C1619" s="177"/>
      <c r="D1619" s="178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8"/>
    </row>
    <row r="1620" spans="1:17" s="95" customFormat="1" x14ac:dyDescent="0.25">
      <c r="A1620" s="176"/>
      <c r="B1620" s="177"/>
      <c r="C1620" s="177"/>
      <c r="D1620" s="178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8"/>
    </row>
    <row r="1621" spans="1:17" s="95" customFormat="1" x14ac:dyDescent="0.25">
      <c r="A1621" s="176"/>
      <c r="B1621" s="177"/>
      <c r="C1621" s="177"/>
      <c r="D1621" s="178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8"/>
    </row>
    <row r="1622" spans="1:17" s="95" customFormat="1" x14ac:dyDescent="0.25">
      <c r="A1622" s="176"/>
      <c r="B1622" s="177"/>
      <c r="C1622" s="177"/>
      <c r="D1622" s="178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8"/>
    </row>
    <row r="1623" spans="1:17" s="95" customFormat="1" x14ac:dyDescent="0.25">
      <c r="A1623" s="176"/>
      <c r="B1623" s="177"/>
      <c r="C1623" s="177"/>
      <c r="D1623" s="178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8"/>
    </row>
    <row r="1624" spans="1:17" s="95" customFormat="1" x14ac:dyDescent="0.25">
      <c r="A1624" s="176"/>
      <c r="B1624" s="177"/>
      <c r="C1624" s="177"/>
      <c r="D1624" s="178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8"/>
    </row>
    <row r="1625" spans="1:17" s="95" customFormat="1" x14ac:dyDescent="0.25">
      <c r="A1625" s="176"/>
      <c r="B1625" s="177"/>
      <c r="C1625" s="177"/>
      <c r="D1625" s="178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8"/>
    </row>
    <row r="1626" spans="1:17" s="95" customFormat="1" x14ac:dyDescent="0.25">
      <c r="A1626" s="176"/>
      <c r="B1626" s="177"/>
      <c r="C1626" s="177"/>
      <c r="D1626" s="178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8"/>
    </row>
    <row r="1627" spans="1:17" s="95" customFormat="1" x14ac:dyDescent="0.25">
      <c r="A1627" s="176"/>
      <c r="B1627" s="177"/>
      <c r="C1627" s="177"/>
      <c r="D1627" s="178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8"/>
    </row>
    <row r="1628" spans="1:17" s="95" customFormat="1" x14ac:dyDescent="0.25">
      <c r="A1628" s="176"/>
      <c r="B1628" s="177"/>
      <c r="C1628" s="177"/>
      <c r="D1628" s="178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8"/>
    </row>
    <row r="1629" spans="1:17" s="95" customFormat="1" x14ac:dyDescent="0.25">
      <c r="A1629" s="176"/>
      <c r="B1629" s="177"/>
      <c r="C1629" s="177"/>
      <c r="D1629" s="178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8"/>
    </row>
    <row r="1630" spans="1:17" s="95" customFormat="1" x14ac:dyDescent="0.25">
      <c r="A1630" s="176"/>
      <c r="B1630" s="177"/>
      <c r="C1630" s="177"/>
      <c r="D1630" s="178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8"/>
    </row>
    <row r="1631" spans="1:17" s="95" customFormat="1" x14ac:dyDescent="0.25">
      <c r="A1631" s="176"/>
      <c r="B1631" s="177"/>
      <c r="C1631" s="177"/>
      <c r="D1631" s="178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8"/>
    </row>
    <row r="1632" spans="1:17" s="95" customFormat="1" x14ac:dyDescent="0.25">
      <c r="A1632" s="176"/>
      <c r="B1632" s="177"/>
      <c r="C1632" s="177"/>
      <c r="D1632" s="178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8"/>
    </row>
    <row r="1633" spans="1:17" s="95" customFormat="1" x14ac:dyDescent="0.25">
      <c r="A1633" s="176"/>
      <c r="B1633" s="177"/>
      <c r="C1633" s="177"/>
      <c r="D1633" s="178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8"/>
    </row>
    <row r="1634" spans="1:17" s="95" customFormat="1" x14ac:dyDescent="0.25">
      <c r="A1634" s="176"/>
      <c r="B1634" s="177"/>
      <c r="C1634" s="177"/>
      <c r="D1634" s="178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8"/>
    </row>
    <row r="1635" spans="1:17" s="95" customFormat="1" x14ac:dyDescent="0.25">
      <c r="A1635" s="176"/>
      <c r="B1635" s="177"/>
      <c r="C1635" s="177"/>
      <c r="D1635" s="178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8"/>
    </row>
    <row r="1636" spans="1:17" s="95" customFormat="1" x14ac:dyDescent="0.25">
      <c r="A1636" s="176"/>
      <c r="B1636" s="177"/>
      <c r="C1636" s="177"/>
      <c r="D1636" s="178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8"/>
    </row>
    <row r="1637" spans="1:17" s="95" customFormat="1" x14ac:dyDescent="0.25">
      <c r="A1637" s="176"/>
      <c r="B1637" s="177"/>
      <c r="C1637" s="177"/>
      <c r="D1637" s="178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8"/>
    </row>
    <row r="1638" spans="1:17" s="95" customFormat="1" x14ac:dyDescent="0.25">
      <c r="A1638" s="176"/>
      <c r="B1638" s="177"/>
      <c r="C1638" s="177"/>
      <c r="D1638" s="178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8"/>
    </row>
    <row r="1639" spans="1:17" s="95" customFormat="1" x14ac:dyDescent="0.25">
      <c r="A1639" s="176"/>
      <c r="B1639" s="177"/>
      <c r="C1639" s="177"/>
      <c r="D1639" s="178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8"/>
    </row>
    <row r="1640" spans="1:17" s="95" customFormat="1" x14ac:dyDescent="0.25">
      <c r="A1640" s="176"/>
      <c r="B1640" s="177"/>
      <c r="C1640" s="177"/>
      <c r="D1640" s="178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8"/>
    </row>
    <row r="1641" spans="1:17" s="95" customFormat="1" x14ac:dyDescent="0.25">
      <c r="A1641" s="176"/>
      <c r="B1641" s="177"/>
      <c r="C1641" s="177"/>
      <c r="D1641" s="178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8"/>
    </row>
    <row r="1642" spans="1:17" s="95" customFormat="1" x14ac:dyDescent="0.25">
      <c r="A1642" s="176"/>
      <c r="B1642" s="177"/>
      <c r="C1642" s="177"/>
      <c r="D1642" s="178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8"/>
    </row>
    <row r="1643" spans="1:17" s="95" customFormat="1" x14ac:dyDescent="0.25">
      <c r="A1643" s="176"/>
      <c r="B1643" s="177"/>
      <c r="C1643" s="177"/>
      <c r="D1643" s="178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8"/>
    </row>
    <row r="1644" spans="1:17" s="95" customFormat="1" x14ac:dyDescent="0.25">
      <c r="A1644" s="176"/>
      <c r="B1644" s="177"/>
      <c r="C1644" s="177"/>
      <c r="D1644" s="178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8"/>
    </row>
    <row r="1645" spans="1:17" s="95" customFormat="1" x14ac:dyDescent="0.25">
      <c r="A1645" s="176"/>
      <c r="B1645" s="177"/>
      <c r="C1645" s="177"/>
      <c r="D1645" s="178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8"/>
    </row>
    <row r="1646" spans="1:17" s="95" customFormat="1" x14ac:dyDescent="0.25">
      <c r="A1646" s="176"/>
      <c r="B1646" s="177"/>
      <c r="C1646" s="177"/>
      <c r="D1646" s="178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8"/>
    </row>
    <row r="1647" spans="1:17" s="95" customFormat="1" x14ac:dyDescent="0.25">
      <c r="A1647" s="176"/>
      <c r="B1647" s="177"/>
      <c r="C1647" s="177"/>
      <c r="D1647" s="178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8"/>
    </row>
    <row r="1648" spans="1:17" s="95" customFormat="1" x14ac:dyDescent="0.25">
      <c r="A1648" s="176"/>
      <c r="B1648" s="177"/>
      <c r="C1648" s="177"/>
      <c r="D1648" s="178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8"/>
    </row>
    <row r="1649" spans="1:17" s="95" customFormat="1" x14ac:dyDescent="0.25">
      <c r="A1649" s="176"/>
      <c r="B1649" s="177"/>
      <c r="C1649" s="177"/>
      <c r="D1649" s="178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8"/>
    </row>
    <row r="1650" spans="1:17" s="95" customFormat="1" x14ac:dyDescent="0.25">
      <c r="A1650" s="176"/>
      <c r="B1650" s="177"/>
      <c r="C1650" s="177"/>
      <c r="D1650" s="178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8"/>
    </row>
    <row r="1651" spans="1:17" s="95" customFormat="1" x14ac:dyDescent="0.25">
      <c r="A1651" s="176"/>
      <c r="B1651" s="177"/>
      <c r="C1651" s="177"/>
      <c r="D1651" s="178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8"/>
    </row>
    <row r="1652" spans="1:17" s="95" customFormat="1" x14ac:dyDescent="0.25">
      <c r="A1652" s="176"/>
      <c r="B1652" s="177"/>
      <c r="C1652" s="177"/>
      <c r="D1652" s="178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8"/>
    </row>
    <row r="1653" spans="1:17" s="95" customFormat="1" x14ac:dyDescent="0.25">
      <c r="A1653" s="176"/>
      <c r="B1653" s="177"/>
      <c r="C1653" s="177"/>
      <c r="D1653" s="178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8"/>
    </row>
    <row r="1654" spans="1:17" s="95" customFormat="1" x14ac:dyDescent="0.25">
      <c r="A1654" s="176"/>
      <c r="B1654" s="177"/>
      <c r="C1654" s="177"/>
      <c r="D1654" s="178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8"/>
    </row>
    <row r="1655" spans="1:17" s="95" customFormat="1" x14ac:dyDescent="0.25">
      <c r="A1655" s="176"/>
      <c r="B1655" s="177"/>
      <c r="C1655" s="177"/>
      <c r="D1655" s="178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8"/>
    </row>
    <row r="1656" spans="1:17" s="95" customFormat="1" x14ac:dyDescent="0.25">
      <c r="A1656" s="176"/>
      <c r="B1656" s="177"/>
      <c r="C1656" s="177"/>
      <c r="D1656" s="178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8"/>
    </row>
    <row r="1657" spans="1:17" s="95" customFormat="1" x14ac:dyDescent="0.25">
      <c r="A1657" s="176"/>
      <c r="B1657" s="177"/>
      <c r="C1657" s="177"/>
      <c r="D1657" s="178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8"/>
    </row>
    <row r="1658" spans="1:17" s="95" customFormat="1" x14ac:dyDescent="0.25">
      <c r="A1658" s="176"/>
      <c r="B1658" s="177"/>
      <c r="C1658" s="177"/>
      <c r="D1658" s="178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8"/>
    </row>
    <row r="1659" spans="1:17" s="95" customFormat="1" x14ac:dyDescent="0.25">
      <c r="A1659" s="176"/>
      <c r="B1659" s="177"/>
      <c r="C1659" s="177"/>
      <c r="D1659" s="178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8"/>
    </row>
    <row r="1660" spans="1:17" s="95" customFormat="1" x14ac:dyDescent="0.25">
      <c r="A1660" s="176"/>
      <c r="B1660" s="177"/>
      <c r="C1660" s="177"/>
      <c r="D1660" s="178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8"/>
    </row>
    <row r="1661" spans="1:17" s="95" customFormat="1" x14ac:dyDescent="0.25">
      <c r="A1661" s="176"/>
      <c r="B1661" s="177"/>
      <c r="C1661" s="177"/>
      <c r="D1661" s="178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8"/>
    </row>
    <row r="1662" spans="1:17" s="95" customFormat="1" x14ac:dyDescent="0.25">
      <c r="A1662" s="176"/>
      <c r="B1662" s="177"/>
      <c r="C1662" s="177"/>
      <c r="D1662" s="178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8"/>
    </row>
    <row r="1663" spans="1:17" s="95" customFormat="1" x14ac:dyDescent="0.25">
      <c r="A1663" s="176"/>
      <c r="B1663" s="177"/>
      <c r="C1663" s="177"/>
      <c r="D1663" s="178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8"/>
    </row>
    <row r="1664" spans="1:17" s="95" customFormat="1" x14ac:dyDescent="0.25">
      <c r="A1664" s="176"/>
      <c r="B1664" s="177"/>
      <c r="C1664" s="177"/>
      <c r="D1664" s="178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8"/>
    </row>
    <row r="1665" spans="1:17" s="95" customFormat="1" x14ac:dyDescent="0.25">
      <c r="A1665" s="176"/>
      <c r="B1665" s="177"/>
      <c r="C1665" s="177"/>
      <c r="D1665" s="178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8"/>
    </row>
    <row r="1666" spans="1:17" s="95" customFormat="1" x14ac:dyDescent="0.25">
      <c r="A1666" s="176"/>
      <c r="B1666" s="177"/>
      <c r="C1666" s="177"/>
      <c r="D1666" s="178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8"/>
    </row>
    <row r="1667" spans="1:17" s="95" customFormat="1" x14ac:dyDescent="0.25">
      <c r="A1667" s="176"/>
      <c r="B1667" s="177"/>
      <c r="C1667" s="177"/>
      <c r="D1667" s="178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8"/>
    </row>
    <row r="1668" spans="1:17" s="95" customFormat="1" x14ac:dyDescent="0.25">
      <c r="A1668" s="176"/>
      <c r="B1668" s="177"/>
      <c r="C1668" s="177"/>
      <c r="D1668" s="178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8"/>
    </row>
    <row r="1669" spans="1:17" s="95" customFormat="1" x14ac:dyDescent="0.25">
      <c r="A1669" s="176"/>
      <c r="B1669" s="177"/>
      <c r="C1669" s="177"/>
      <c r="D1669" s="178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8"/>
    </row>
    <row r="1670" spans="1:17" s="95" customFormat="1" x14ac:dyDescent="0.25">
      <c r="A1670" s="176"/>
      <c r="B1670" s="177"/>
      <c r="C1670" s="177"/>
      <c r="D1670" s="178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8"/>
    </row>
    <row r="1671" spans="1:17" s="95" customFormat="1" x14ac:dyDescent="0.25">
      <c r="A1671" s="176"/>
      <c r="B1671" s="177"/>
      <c r="C1671" s="177"/>
      <c r="D1671" s="178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8"/>
    </row>
    <row r="1672" spans="1:17" s="95" customFormat="1" x14ac:dyDescent="0.25">
      <c r="A1672" s="176"/>
      <c r="B1672" s="177"/>
      <c r="C1672" s="177"/>
      <c r="D1672" s="178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8"/>
    </row>
    <row r="1673" spans="1:17" s="95" customFormat="1" x14ac:dyDescent="0.25">
      <c r="A1673" s="176"/>
      <c r="B1673" s="177"/>
      <c r="C1673" s="177"/>
      <c r="D1673" s="178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8"/>
    </row>
    <row r="1674" spans="1:17" s="95" customFormat="1" x14ac:dyDescent="0.25">
      <c r="A1674" s="176"/>
      <c r="B1674" s="177"/>
      <c r="C1674" s="177"/>
      <c r="D1674" s="178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8"/>
    </row>
    <row r="1675" spans="1:17" s="95" customFormat="1" x14ac:dyDescent="0.25">
      <c r="A1675" s="176"/>
      <c r="B1675" s="177"/>
      <c r="C1675" s="177"/>
      <c r="D1675" s="178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8"/>
    </row>
    <row r="1676" spans="1:17" s="95" customFormat="1" x14ac:dyDescent="0.25">
      <c r="A1676" s="176"/>
      <c r="B1676" s="177"/>
      <c r="C1676" s="177"/>
      <c r="D1676" s="178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8"/>
    </row>
    <row r="1677" spans="1:17" s="95" customFormat="1" x14ac:dyDescent="0.25">
      <c r="A1677" s="176"/>
      <c r="B1677" s="177"/>
      <c r="C1677" s="177"/>
      <c r="D1677" s="178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8"/>
    </row>
    <row r="1678" spans="1:17" s="95" customFormat="1" x14ac:dyDescent="0.25">
      <c r="A1678" s="176"/>
      <c r="B1678" s="177"/>
      <c r="C1678" s="177"/>
      <c r="D1678" s="178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8"/>
    </row>
    <row r="1679" spans="1:17" s="95" customFormat="1" x14ac:dyDescent="0.25">
      <c r="A1679" s="176"/>
      <c r="B1679" s="177"/>
      <c r="C1679" s="177"/>
      <c r="D1679" s="178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8"/>
    </row>
    <row r="1680" spans="1:17" s="95" customFormat="1" x14ac:dyDescent="0.25">
      <c r="A1680" s="176"/>
      <c r="B1680" s="177"/>
      <c r="C1680" s="177"/>
      <c r="D1680" s="178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8"/>
    </row>
    <row r="1681" spans="1:17" s="95" customFormat="1" x14ac:dyDescent="0.25">
      <c r="A1681" s="176"/>
      <c r="B1681" s="177"/>
      <c r="C1681" s="177"/>
      <c r="D1681" s="178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8"/>
    </row>
    <row r="1682" spans="1:17" s="95" customFormat="1" x14ac:dyDescent="0.25">
      <c r="A1682" s="176"/>
      <c r="B1682" s="177"/>
      <c r="C1682" s="177"/>
      <c r="D1682" s="178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8"/>
    </row>
    <row r="1683" spans="1:17" s="95" customFormat="1" x14ac:dyDescent="0.25">
      <c r="A1683" s="176"/>
      <c r="B1683" s="177"/>
      <c r="C1683" s="177"/>
      <c r="D1683" s="178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8"/>
    </row>
    <row r="1684" spans="1:17" s="95" customFormat="1" x14ac:dyDescent="0.25">
      <c r="A1684" s="176"/>
      <c r="B1684" s="177"/>
      <c r="C1684" s="177"/>
      <c r="D1684" s="178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8"/>
    </row>
    <row r="1685" spans="1:17" s="95" customFormat="1" x14ac:dyDescent="0.25">
      <c r="A1685" s="176"/>
      <c r="B1685" s="177"/>
      <c r="C1685" s="177"/>
      <c r="D1685" s="178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8"/>
    </row>
    <row r="1686" spans="1:17" s="95" customFormat="1" x14ac:dyDescent="0.25">
      <c r="A1686" s="176"/>
      <c r="B1686" s="177"/>
      <c r="C1686" s="177"/>
      <c r="D1686" s="178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8"/>
    </row>
    <row r="1687" spans="1:17" s="95" customFormat="1" x14ac:dyDescent="0.25">
      <c r="A1687" s="176"/>
      <c r="B1687" s="177"/>
      <c r="C1687" s="177"/>
      <c r="D1687" s="178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8"/>
    </row>
    <row r="1688" spans="1:17" s="95" customFormat="1" x14ac:dyDescent="0.25">
      <c r="A1688" s="176"/>
      <c r="B1688" s="177"/>
      <c r="C1688" s="177"/>
      <c r="D1688" s="178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8"/>
    </row>
    <row r="1689" spans="1:17" s="95" customFormat="1" x14ac:dyDescent="0.25">
      <c r="A1689" s="176"/>
      <c r="B1689" s="177"/>
      <c r="C1689" s="177"/>
      <c r="D1689" s="178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8"/>
    </row>
    <row r="1690" spans="1:17" s="95" customFormat="1" x14ac:dyDescent="0.25">
      <c r="A1690" s="176"/>
      <c r="B1690" s="177"/>
      <c r="C1690" s="177"/>
      <c r="D1690" s="178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8"/>
    </row>
    <row r="1691" spans="1:17" s="95" customFormat="1" x14ac:dyDescent="0.25">
      <c r="A1691" s="176"/>
      <c r="B1691" s="177"/>
      <c r="C1691" s="177"/>
      <c r="D1691" s="178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8"/>
    </row>
    <row r="1692" spans="1:17" s="95" customFormat="1" x14ac:dyDescent="0.25">
      <c r="A1692" s="176"/>
      <c r="B1692" s="177"/>
      <c r="C1692" s="177"/>
      <c r="D1692" s="178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8"/>
    </row>
    <row r="1693" spans="1:17" s="95" customFormat="1" x14ac:dyDescent="0.25">
      <c r="A1693" s="176"/>
      <c r="B1693" s="177"/>
      <c r="C1693" s="177"/>
      <c r="D1693" s="178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8"/>
    </row>
    <row r="1694" spans="1:17" s="95" customFormat="1" x14ac:dyDescent="0.25">
      <c r="A1694" s="176"/>
      <c r="B1694" s="177"/>
      <c r="C1694" s="177"/>
      <c r="D1694" s="178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8"/>
    </row>
    <row r="1695" spans="1:17" s="95" customFormat="1" x14ac:dyDescent="0.25">
      <c r="A1695" s="176"/>
      <c r="B1695" s="177"/>
      <c r="C1695" s="177"/>
      <c r="D1695" s="178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8"/>
    </row>
    <row r="1696" spans="1:17" s="95" customFormat="1" x14ac:dyDescent="0.25">
      <c r="A1696" s="176"/>
      <c r="B1696" s="177"/>
      <c r="C1696" s="177"/>
      <c r="D1696" s="178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8"/>
    </row>
    <row r="1697" spans="1:17" s="95" customFormat="1" x14ac:dyDescent="0.25">
      <c r="A1697" s="176"/>
      <c r="B1697" s="177"/>
      <c r="C1697" s="177"/>
      <c r="D1697" s="178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8"/>
    </row>
    <row r="1698" spans="1:17" s="95" customFormat="1" x14ac:dyDescent="0.25">
      <c r="A1698" s="176"/>
      <c r="B1698" s="177"/>
      <c r="C1698" s="177"/>
      <c r="D1698" s="178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8"/>
    </row>
    <row r="1699" spans="1:17" s="95" customFormat="1" x14ac:dyDescent="0.25">
      <c r="A1699" s="176"/>
      <c r="B1699" s="177"/>
      <c r="C1699" s="177"/>
      <c r="D1699" s="178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8"/>
    </row>
    <row r="1700" spans="1:17" s="95" customFormat="1" x14ac:dyDescent="0.25">
      <c r="A1700" s="176"/>
      <c r="B1700" s="177"/>
      <c r="C1700" s="177"/>
      <c r="D1700" s="178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8"/>
    </row>
    <row r="1701" spans="1:17" s="95" customFormat="1" x14ac:dyDescent="0.25">
      <c r="A1701" s="176"/>
      <c r="B1701" s="177"/>
      <c r="C1701" s="177"/>
      <c r="D1701" s="178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8"/>
    </row>
    <row r="1702" spans="1:17" s="95" customFormat="1" x14ac:dyDescent="0.25">
      <c r="A1702" s="176"/>
      <c r="B1702" s="177"/>
      <c r="C1702" s="177"/>
      <c r="D1702" s="178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8"/>
    </row>
    <row r="1703" spans="1:17" s="95" customFormat="1" x14ac:dyDescent="0.25">
      <c r="A1703" s="176"/>
      <c r="B1703" s="177"/>
      <c r="C1703" s="177"/>
      <c r="D1703" s="178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8"/>
    </row>
    <row r="1704" spans="1:17" s="95" customFormat="1" x14ac:dyDescent="0.25">
      <c r="A1704" s="176"/>
      <c r="B1704" s="177"/>
      <c r="C1704" s="177"/>
      <c r="D1704" s="178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8"/>
    </row>
    <row r="1705" spans="1:17" s="95" customFormat="1" x14ac:dyDescent="0.25">
      <c r="A1705" s="176"/>
      <c r="B1705" s="177"/>
      <c r="C1705" s="177"/>
      <c r="D1705" s="178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8"/>
    </row>
    <row r="1706" spans="1:17" s="95" customFormat="1" x14ac:dyDescent="0.25">
      <c r="A1706" s="176"/>
      <c r="B1706" s="177"/>
      <c r="C1706" s="177"/>
      <c r="D1706" s="178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8"/>
    </row>
    <row r="1707" spans="1:17" s="95" customFormat="1" x14ac:dyDescent="0.25">
      <c r="A1707" s="176"/>
      <c r="B1707" s="177"/>
      <c r="C1707" s="177"/>
      <c r="D1707" s="178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8"/>
    </row>
    <row r="1708" spans="1:17" s="95" customFormat="1" x14ac:dyDescent="0.25">
      <c r="A1708" s="176"/>
      <c r="B1708" s="177"/>
      <c r="C1708" s="177"/>
      <c r="D1708" s="178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8"/>
    </row>
    <row r="1709" spans="1:17" s="95" customFormat="1" x14ac:dyDescent="0.25">
      <c r="A1709" s="176"/>
      <c r="B1709" s="177"/>
      <c r="C1709" s="177"/>
      <c r="D1709" s="178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8"/>
    </row>
    <row r="1710" spans="1:17" s="95" customFormat="1" x14ac:dyDescent="0.25">
      <c r="A1710" s="176"/>
      <c r="B1710" s="177"/>
      <c r="C1710" s="177"/>
      <c r="D1710" s="178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8"/>
    </row>
    <row r="1711" spans="1:17" s="95" customFormat="1" x14ac:dyDescent="0.25">
      <c r="A1711" s="176"/>
      <c r="B1711" s="177"/>
      <c r="C1711" s="177"/>
      <c r="D1711" s="178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8"/>
    </row>
    <row r="1712" spans="1:17" s="95" customFormat="1" x14ac:dyDescent="0.25">
      <c r="A1712" s="176"/>
      <c r="B1712" s="177"/>
      <c r="C1712" s="177"/>
      <c r="D1712" s="178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8"/>
    </row>
    <row r="1713" spans="1:17" s="95" customFormat="1" x14ac:dyDescent="0.25">
      <c r="A1713" s="176"/>
      <c r="B1713" s="177"/>
      <c r="C1713" s="177"/>
      <c r="D1713" s="178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8"/>
    </row>
    <row r="1714" spans="1:17" s="95" customFormat="1" x14ac:dyDescent="0.25">
      <c r="A1714" s="176"/>
      <c r="B1714" s="177"/>
      <c r="C1714" s="177"/>
      <c r="D1714" s="178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8"/>
    </row>
    <row r="1715" spans="1:17" s="95" customFormat="1" x14ac:dyDescent="0.25">
      <c r="A1715" s="176"/>
      <c r="B1715" s="177"/>
      <c r="C1715" s="177"/>
      <c r="D1715" s="178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8"/>
    </row>
    <row r="1716" spans="1:17" s="95" customFormat="1" x14ac:dyDescent="0.25">
      <c r="A1716" s="176"/>
      <c r="B1716" s="177"/>
      <c r="C1716" s="177"/>
      <c r="D1716" s="178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8"/>
    </row>
    <row r="1717" spans="1:17" s="95" customFormat="1" x14ac:dyDescent="0.25">
      <c r="A1717" s="176"/>
      <c r="B1717" s="177"/>
      <c r="C1717" s="177"/>
      <c r="D1717" s="178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8"/>
    </row>
    <row r="1718" spans="1:17" s="95" customFormat="1" x14ac:dyDescent="0.25">
      <c r="A1718" s="176"/>
      <c r="B1718" s="177"/>
      <c r="C1718" s="177"/>
      <c r="D1718" s="178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8"/>
    </row>
    <row r="1719" spans="1:17" s="95" customFormat="1" x14ac:dyDescent="0.25">
      <c r="A1719" s="176"/>
      <c r="B1719" s="177"/>
      <c r="C1719" s="177"/>
      <c r="D1719" s="178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8"/>
    </row>
    <row r="1720" spans="1:17" s="95" customFormat="1" x14ac:dyDescent="0.25">
      <c r="A1720" s="176"/>
      <c r="B1720" s="177"/>
      <c r="C1720" s="177"/>
      <c r="D1720" s="178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8"/>
    </row>
    <row r="1721" spans="1:17" s="95" customFormat="1" x14ac:dyDescent="0.25">
      <c r="A1721" s="176"/>
      <c r="B1721" s="177"/>
      <c r="C1721" s="177"/>
      <c r="D1721" s="178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8"/>
    </row>
    <row r="1722" spans="1:17" s="95" customFormat="1" x14ac:dyDescent="0.25">
      <c r="A1722" s="176"/>
      <c r="B1722" s="177"/>
      <c r="C1722" s="177"/>
      <c r="D1722" s="178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8"/>
    </row>
    <row r="1723" spans="1:17" s="95" customFormat="1" x14ac:dyDescent="0.25">
      <c r="A1723" s="176"/>
      <c r="B1723" s="177"/>
      <c r="C1723" s="177"/>
      <c r="D1723" s="178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8"/>
    </row>
    <row r="1724" spans="1:17" s="95" customFormat="1" x14ac:dyDescent="0.25">
      <c r="A1724" s="176"/>
      <c r="B1724" s="177"/>
      <c r="C1724" s="177"/>
      <c r="D1724" s="178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8"/>
    </row>
    <row r="1725" spans="1:17" s="95" customFormat="1" x14ac:dyDescent="0.25">
      <c r="A1725" s="176"/>
      <c r="B1725" s="177"/>
      <c r="C1725" s="177"/>
      <c r="D1725" s="178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8"/>
    </row>
    <row r="1726" spans="1:17" s="95" customFormat="1" x14ac:dyDescent="0.25">
      <c r="A1726" s="176"/>
      <c r="B1726" s="177"/>
      <c r="C1726" s="177"/>
      <c r="D1726" s="178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8"/>
    </row>
    <row r="1727" spans="1:17" s="95" customFormat="1" x14ac:dyDescent="0.25">
      <c r="A1727" s="176"/>
      <c r="B1727" s="177"/>
      <c r="C1727" s="177"/>
      <c r="D1727" s="178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8"/>
    </row>
    <row r="1728" spans="1:17" s="95" customFormat="1" x14ac:dyDescent="0.25">
      <c r="A1728" s="176"/>
      <c r="B1728" s="177"/>
      <c r="C1728" s="177"/>
      <c r="D1728" s="178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8"/>
    </row>
    <row r="1729" spans="1:17" s="95" customFormat="1" x14ac:dyDescent="0.25">
      <c r="A1729" s="176"/>
      <c r="B1729" s="177"/>
      <c r="C1729" s="177"/>
      <c r="D1729" s="178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8"/>
    </row>
    <row r="1730" spans="1:17" s="95" customFormat="1" x14ac:dyDescent="0.25">
      <c r="A1730" s="176"/>
      <c r="B1730" s="177"/>
      <c r="C1730" s="177"/>
      <c r="D1730" s="178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8"/>
    </row>
    <row r="1731" spans="1:17" s="95" customFormat="1" x14ac:dyDescent="0.25">
      <c r="A1731" s="176"/>
      <c r="B1731" s="177"/>
      <c r="C1731" s="177"/>
      <c r="D1731" s="178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8"/>
    </row>
    <row r="1732" spans="1:17" s="95" customFormat="1" x14ac:dyDescent="0.25">
      <c r="A1732" s="176"/>
      <c r="B1732" s="177"/>
      <c r="C1732" s="177"/>
      <c r="D1732" s="178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8"/>
    </row>
    <row r="1733" spans="1:17" s="95" customFormat="1" x14ac:dyDescent="0.25">
      <c r="A1733" s="176"/>
      <c r="B1733" s="177"/>
      <c r="C1733" s="177"/>
      <c r="D1733" s="178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8"/>
    </row>
    <row r="1734" spans="1:17" s="95" customFormat="1" x14ac:dyDescent="0.25">
      <c r="A1734" s="176"/>
      <c r="B1734" s="177"/>
      <c r="C1734" s="177"/>
      <c r="D1734" s="178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8"/>
    </row>
    <row r="1735" spans="1:17" s="95" customFormat="1" x14ac:dyDescent="0.25">
      <c r="A1735" s="176"/>
      <c r="B1735" s="177"/>
      <c r="C1735" s="177"/>
      <c r="D1735" s="178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8"/>
    </row>
    <row r="1736" spans="1:17" s="95" customFormat="1" x14ac:dyDescent="0.25">
      <c r="A1736" s="176"/>
      <c r="B1736" s="177"/>
      <c r="C1736" s="177"/>
      <c r="D1736" s="178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8"/>
    </row>
    <row r="1737" spans="1:17" s="95" customFormat="1" x14ac:dyDescent="0.25">
      <c r="A1737" s="176"/>
      <c r="B1737" s="177"/>
      <c r="C1737" s="177"/>
      <c r="D1737" s="178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8"/>
    </row>
    <row r="1738" spans="1:17" s="95" customFormat="1" x14ac:dyDescent="0.25">
      <c r="A1738" s="176"/>
      <c r="B1738" s="177"/>
      <c r="C1738" s="177"/>
      <c r="D1738" s="178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8"/>
    </row>
    <row r="1739" spans="1:17" s="95" customFormat="1" x14ac:dyDescent="0.25">
      <c r="A1739" s="176"/>
      <c r="B1739" s="177"/>
      <c r="C1739" s="177"/>
      <c r="D1739" s="178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8"/>
    </row>
    <row r="1740" spans="1:17" s="95" customFormat="1" x14ac:dyDescent="0.25">
      <c r="A1740" s="176"/>
      <c r="B1740" s="177"/>
      <c r="C1740" s="177"/>
      <c r="D1740" s="178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8"/>
    </row>
    <row r="1741" spans="1:17" s="95" customFormat="1" x14ac:dyDescent="0.25">
      <c r="A1741" s="176"/>
      <c r="B1741" s="177"/>
      <c r="C1741" s="177"/>
      <c r="D1741" s="178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8"/>
    </row>
    <row r="1742" spans="1:17" s="95" customFormat="1" x14ac:dyDescent="0.25">
      <c r="A1742" s="176"/>
      <c r="B1742" s="177"/>
      <c r="C1742" s="177"/>
      <c r="D1742" s="178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8"/>
    </row>
    <row r="1743" spans="1:17" s="95" customFormat="1" x14ac:dyDescent="0.25">
      <c r="A1743" s="176"/>
      <c r="B1743" s="177"/>
      <c r="C1743" s="177"/>
      <c r="D1743" s="178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8"/>
    </row>
    <row r="1744" spans="1:17" s="95" customFormat="1" x14ac:dyDescent="0.25">
      <c r="A1744" s="176"/>
      <c r="B1744" s="177"/>
      <c r="C1744" s="177"/>
      <c r="D1744" s="178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8"/>
    </row>
    <row r="1745" spans="1:17" s="95" customFormat="1" x14ac:dyDescent="0.25">
      <c r="A1745" s="176"/>
      <c r="B1745" s="177"/>
      <c r="C1745" s="177"/>
      <c r="D1745" s="178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8"/>
    </row>
    <row r="1746" spans="1:17" s="95" customFormat="1" x14ac:dyDescent="0.25">
      <c r="A1746" s="176"/>
      <c r="B1746" s="177"/>
      <c r="C1746" s="177"/>
      <c r="D1746" s="178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8"/>
    </row>
    <row r="1747" spans="1:17" s="95" customFormat="1" x14ac:dyDescent="0.25">
      <c r="A1747" s="176"/>
      <c r="B1747" s="177"/>
      <c r="C1747" s="177"/>
      <c r="D1747" s="178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8"/>
    </row>
    <row r="1748" spans="1:17" s="95" customFormat="1" x14ac:dyDescent="0.25">
      <c r="A1748" s="176"/>
      <c r="B1748" s="177"/>
      <c r="C1748" s="177"/>
      <c r="D1748" s="178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8"/>
    </row>
    <row r="1749" spans="1:17" s="95" customFormat="1" x14ac:dyDescent="0.25">
      <c r="A1749" s="176"/>
      <c r="B1749" s="177"/>
      <c r="C1749" s="177"/>
      <c r="D1749" s="178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8"/>
    </row>
    <row r="1750" spans="1:17" s="95" customFormat="1" x14ac:dyDescent="0.25">
      <c r="A1750" s="176"/>
      <c r="B1750" s="177"/>
      <c r="C1750" s="177"/>
      <c r="D1750" s="178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8"/>
    </row>
    <row r="1751" spans="1:17" s="95" customFormat="1" x14ac:dyDescent="0.25">
      <c r="A1751" s="176"/>
      <c r="B1751" s="177"/>
      <c r="C1751" s="177"/>
      <c r="D1751" s="178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8"/>
    </row>
    <row r="1752" spans="1:17" s="95" customFormat="1" x14ac:dyDescent="0.25">
      <c r="A1752" s="176"/>
      <c r="B1752" s="177"/>
      <c r="C1752" s="177"/>
      <c r="D1752" s="178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8"/>
    </row>
    <row r="1753" spans="1:17" s="95" customFormat="1" x14ac:dyDescent="0.25">
      <c r="A1753" s="176"/>
      <c r="B1753" s="177"/>
      <c r="C1753" s="177"/>
      <c r="D1753" s="178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8"/>
    </row>
    <row r="1754" spans="1:17" s="95" customFormat="1" x14ac:dyDescent="0.25">
      <c r="A1754" s="176"/>
      <c r="B1754" s="177"/>
      <c r="C1754" s="177"/>
      <c r="D1754" s="178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8"/>
    </row>
    <row r="1755" spans="1:17" s="95" customFormat="1" x14ac:dyDescent="0.25">
      <c r="A1755" s="176"/>
      <c r="B1755" s="177"/>
      <c r="C1755" s="177"/>
      <c r="D1755" s="178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8"/>
    </row>
    <row r="1756" spans="1:17" s="95" customFormat="1" x14ac:dyDescent="0.25">
      <c r="A1756" s="176"/>
      <c r="B1756" s="177"/>
      <c r="C1756" s="177"/>
      <c r="D1756" s="178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8"/>
    </row>
    <row r="1757" spans="1:17" s="95" customFormat="1" x14ac:dyDescent="0.25">
      <c r="A1757" s="176"/>
      <c r="B1757" s="177"/>
      <c r="C1757" s="177"/>
      <c r="D1757" s="178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8"/>
    </row>
    <row r="1758" spans="1:17" s="95" customFormat="1" x14ac:dyDescent="0.25">
      <c r="A1758" s="176"/>
      <c r="B1758" s="177"/>
      <c r="C1758" s="177"/>
      <c r="D1758" s="178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8"/>
    </row>
    <row r="1759" spans="1:17" s="95" customFormat="1" x14ac:dyDescent="0.25">
      <c r="A1759" s="176"/>
      <c r="B1759" s="177"/>
      <c r="C1759" s="177"/>
      <c r="D1759" s="178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8"/>
    </row>
    <row r="1760" spans="1:17" s="95" customFormat="1" x14ac:dyDescent="0.25">
      <c r="A1760" s="176"/>
      <c r="B1760" s="177"/>
      <c r="C1760" s="177"/>
      <c r="D1760" s="178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8"/>
    </row>
    <row r="1761" spans="1:17" s="95" customFormat="1" x14ac:dyDescent="0.25">
      <c r="A1761" s="176"/>
      <c r="B1761" s="177"/>
      <c r="C1761" s="177"/>
      <c r="D1761" s="178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8"/>
    </row>
    <row r="1762" spans="1:17" s="95" customFormat="1" x14ac:dyDescent="0.25">
      <c r="A1762" s="176"/>
      <c r="B1762" s="177"/>
      <c r="C1762" s="177"/>
      <c r="D1762" s="178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8"/>
    </row>
    <row r="1763" spans="1:17" s="95" customFormat="1" x14ac:dyDescent="0.25">
      <c r="A1763" s="176"/>
      <c r="B1763" s="177"/>
      <c r="C1763" s="177"/>
      <c r="D1763" s="178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8"/>
    </row>
    <row r="1764" spans="1:17" s="95" customFormat="1" x14ac:dyDescent="0.25">
      <c r="A1764" s="176"/>
      <c r="B1764" s="177"/>
      <c r="C1764" s="177"/>
      <c r="D1764" s="178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8"/>
    </row>
    <row r="1765" spans="1:17" s="95" customFormat="1" x14ac:dyDescent="0.25">
      <c r="A1765" s="176"/>
      <c r="B1765" s="177"/>
      <c r="C1765" s="177"/>
      <c r="D1765" s="178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8"/>
    </row>
    <row r="1766" spans="1:17" s="95" customFormat="1" x14ac:dyDescent="0.25">
      <c r="A1766" s="176"/>
      <c r="B1766" s="177"/>
      <c r="C1766" s="177"/>
      <c r="D1766" s="178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8"/>
    </row>
    <row r="1767" spans="1:17" s="95" customFormat="1" x14ac:dyDescent="0.25">
      <c r="A1767" s="176"/>
      <c r="B1767" s="177"/>
      <c r="C1767" s="177"/>
      <c r="D1767" s="178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8"/>
    </row>
    <row r="1768" spans="1:17" s="95" customFormat="1" x14ac:dyDescent="0.25">
      <c r="A1768" s="176"/>
      <c r="B1768" s="177"/>
      <c r="C1768" s="177"/>
      <c r="D1768" s="178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8"/>
    </row>
    <row r="1769" spans="1:17" s="95" customFormat="1" x14ac:dyDescent="0.25">
      <c r="A1769" s="176"/>
      <c r="B1769" s="177"/>
      <c r="C1769" s="177"/>
      <c r="D1769" s="178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8"/>
    </row>
    <row r="1770" spans="1:17" s="95" customFormat="1" x14ac:dyDescent="0.25">
      <c r="A1770" s="176"/>
      <c r="B1770" s="177"/>
      <c r="C1770" s="177"/>
      <c r="D1770" s="178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8"/>
    </row>
    <row r="1771" spans="1:17" s="95" customFormat="1" x14ac:dyDescent="0.25">
      <c r="A1771" s="176"/>
      <c r="B1771" s="177"/>
      <c r="C1771" s="177"/>
      <c r="D1771" s="178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8"/>
    </row>
    <row r="1772" spans="1:17" s="95" customFormat="1" x14ac:dyDescent="0.25">
      <c r="A1772" s="176"/>
      <c r="B1772" s="177"/>
      <c r="C1772" s="177"/>
      <c r="D1772" s="178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8"/>
    </row>
    <row r="1773" spans="1:17" s="95" customFormat="1" x14ac:dyDescent="0.25">
      <c r="A1773" s="176"/>
      <c r="B1773" s="177"/>
      <c r="C1773" s="177"/>
      <c r="D1773" s="178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8"/>
    </row>
    <row r="1774" spans="1:17" s="95" customFormat="1" x14ac:dyDescent="0.25">
      <c r="A1774" s="176"/>
      <c r="B1774" s="177"/>
      <c r="C1774" s="177"/>
      <c r="D1774" s="178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8"/>
    </row>
    <row r="1775" spans="1:17" s="95" customFormat="1" x14ac:dyDescent="0.25">
      <c r="A1775" s="176"/>
      <c r="B1775" s="177"/>
      <c r="C1775" s="177"/>
      <c r="D1775" s="178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8"/>
    </row>
    <row r="1776" spans="1:17" s="95" customFormat="1" x14ac:dyDescent="0.25">
      <c r="A1776" s="176"/>
      <c r="B1776" s="177"/>
      <c r="C1776" s="177"/>
      <c r="D1776" s="178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8"/>
    </row>
    <row r="1777" spans="1:17" s="95" customFormat="1" x14ac:dyDescent="0.25">
      <c r="A1777" s="176"/>
      <c r="B1777" s="177"/>
      <c r="C1777" s="177"/>
      <c r="D1777" s="178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8"/>
    </row>
    <row r="1778" spans="1:17" s="95" customFormat="1" x14ac:dyDescent="0.25">
      <c r="A1778" s="176"/>
      <c r="B1778" s="177"/>
      <c r="C1778" s="177"/>
      <c r="D1778" s="178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8"/>
    </row>
    <row r="1779" spans="1:17" s="95" customFormat="1" x14ac:dyDescent="0.25">
      <c r="A1779" s="176"/>
      <c r="B1779" s="177"/>
      <c r="C1779" s="177"/>
      <c r="D1779" s="178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8"/>
    </row>
    <row r="1780" spans="1:17" s="95" customFormat="1" x14ac:dyDescent="0.25">
      <c r="A1780" s="176"/>
      <c r="B1780" s="177"/>
      <c r="C1780" s="177"/>
      <c r="D1780" s="178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8"/>
    </row>
    <row r="1781" spans="1:17" s="95" customFormat="1" x14ac:dyDescent="0.25">
      <c r="A1781" s="176"/>
      <c r="B1781" s="177"/>
      <c r="C1781" s="177"/>
      <c r="D1781" s="178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8"/>
    </row>
    <row r="1782" spans="1:17" s="95" customFormat="1" x14ac:dyDescent="0.25">
      <c r="A1782" s="176"/>
      <c r="B1782" s="177"/>
      <c r="C1782" s="177"/>
      <c r="D1782" s="178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8"/>
    </row>
    <row r="1783" spans="1:17" s="95" customFormat="1" x14ac:dyDescent="0.25">
      <c r="A1783" s="176"/>
      <c r="B1783" s="177"/>
      <c r="C1783" s="177"/>
      <c r="D1783" s="178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8"/>
    </row>
  </sheetData>
  <mergeCells count="51">
    <mergeCell ref="A457:D457"/>
    <mergeCell ref="K3:N3"/>
    <mergeCell ref="Q411:Q457"/>
    <mergeCell ref="Q366:Q410"/>
    <mergeCell ref="Q313:Q361"/>
    <mergeCell ref="A8:P8"/>
    <mergeCell ref="M11:N11"/>
    <mergeCell ref="O11:O12"/>
    <mergeCell ref="F11:F12"/>
    <mergeCell ref="E10:I10"/>
    <mergeCell ref="L11:L12"/>
    <mergeCell ref="D425:D428"/>
    <mergeCell ref="H430:I430"/>
    <mergeCell ref="H431:I431"/>
    <mergeCell ref="H432:I432"/>
    <mergeCell ref="H433:I433"/>
    <mergeCell ref="F432:F433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H449:I449"/>
    <mergeCell ref="H442:I442"/>
    <mergeCell ref="H443:I443"/>
    <mergeCell ref="H444:I444"/>
    <mergeCell ref="H445:I445"/>
    <mergeCell ref="H446:I446"/>
    <mergeCell ref="H447:I447"/>
    <mergeCell ref="H448:I448"/>
    <mergeCell ref="H434:I434"/>
    <mergeCell ref="H436:I436"/>
    <mergeCell ref="H437:I437"/>
    <mergeCell ref="H440:I440"/>
    <mergeCell ref="H441:I441"/>
    <mergeCell ref="H435:I435"/>
    <mergeCell ref="Q1:Q35"/>
    <mergeCell ref="Q36:Q70"/>
    <mergeCell ref="Q83:Q108"/>
    <mergeCell ref="Q109:Q200"/>
    <mergeCell ref="Q201:Q239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showGridLines="0" showZeros="0" tabSelected="1" view="pageBreakPreview" zoomScale="55" zoomScaleNormal="87" zoomScaleSheetLayoutView="55" workbookViewId="0">
      <selection activeCell="L18" sqref="L18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736</v>
      </c>
      <c r="K1" s="69"/>
      <c r="L1" s="69"/>
      <c r="M1" s="69"/>
      <c r="N1" s="69"/>
      <c r="O1" s="69"/>
      <c r="P1" s="284">
        <v>45</v>
      </c>
      <c r="Q1" s="284">
        <v>52</v>
      </c>
    </row>
    <row r="2" spans="1:17" ht="27.75" customHeight="1" x14ac:dyDescent="0.25">
      <c r="J2" s="251" t="s">
        <v>744</v>
      </c>
      <c r="K2" s="251"/>
      <c r="L2" s="251"/>
      <c r="M2" s="251"/>
      <c r="N2" s="251"/>
      <c r="O2" s="251"/>
      <c r="P2" s="284"/>
      <c r="Q2" s="284"/>
    </row>
    <row r="3" spans="1:17" ht="27.75" customHeight="1" x14ac:dyDescent="0.25">
      <c r="J3" s="277" t="s">
        <v>743</v>
      </c>
      <c r="K3" s="277"/>
      <c r="L3" s="277"/>
      <c r="M3" s="277"/>
      <c r="N3" s="251"/>
      <c r="O3" s="251"/>
      <c r="P3" s="284"/>
      <c r="Q3" s="284"/>
    </row>
    <row r="4" spans="1:17" ht="26.25" customHeight="1" x14ac:dyDescent="0.4">
      <c r="J4" s="267" t="s">
        <v>742</v>
      </c>
      <c r="K4" s="267"/>
      <c r="L4" s="267"/>
      <c r="M4" s="267"/>
      <c r="N4" s="267"/>
      <c r="O4" s="267"/>
      <c r="P4" s="284"/>
      <c r="Q4" s="284"/>
    </row>
    <row r="5" spans="1:17" ht="26.25" customHeight="1" x14ac:dyDescent="0.4">
      <c r="J5" s="275" t="s">
        <v>740</v>
      </c>
      <c r="K5" s="275"/>
      <c r="L5" s="275"/>
      <c r="M5" s="275"/>
      <c r="N5" s="94"/>
      <c r="O5" s="94"/>
      <c r="P5" s="284"/>
      <c r="Q5" s="284"/>
    </row>
    <row r="6" spans="1:17" ht="26.25" customHeight="1" x14ac:dyDescent="0.4">
      <c r="J6" s="69"/>
      <c r="K6" s="69"/>
      <c r="L6" s="69"/>
      <c r="M6" s="69"/>
      <c r="N6" s="69"/>
      <c r="O6" s="69"/>
      <c r="P6" s="284"/>
      <c r="Q6" s="284"/>
    </row>
    <row r="7" spans="1:17" ht="105.75" customHeight="1" x14ac:dyDescent="0.25">
      <c r="A7" s="289" t="s">
        <v>607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4"/>
      <c r="Q7" s="284"/>
    </row>
    <row r="8" spans="1:17" ht="23.25" customHeight="1" x14ac:dyDescent="0.25">
      <c r="A8" s="287" t="s">
        <v>691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4"/>
      <c r="Q8" s="284"/>
    </row>
    <row r="9" spans="1:17" ht="21" customHeight="1" x14ac:dyDescent="0.25">
      <c r="A9" s="288" t="s">
        <v>534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4"/>
      <c r="Q9" s="284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4"/>
      <c r="Q10" s="284"/>
    </row>
    <row r="11" spans="1:17" s="26" customFormat="1" ht="21.75" customHeight="1" x14ac:dyDescent="0.25">
      <c r="A11" s="290" t="s">
        <v>332</v>
      </c>
      <c r="B11" s="290" t="s">
        <v>322</v>
      </c>
      <c r="C11" s="290" t="s">
        <v>334</v>
      </c>
      <c r="D11" s="286" t="s">
        <v>221</v>
      </c>
      <c r="E11" s="286"/>
      <c r="F11" s="286"/>
      <c r="G11" s="286"/>
      <c r="H11" s="286"/>
      <c r="I11" s="286" t="s">
        <v>222</v>
      </c>
      <c r="J11" s="286"/>
      <c r="K11" s="286"/>
      <c r="L11" s="286"/>
      <c r="M11" s="286"/>
      <c r="N11" s="286"/>
      <c r="O11" s="286" t="s">
        <v>223</v>
      </c>
      <c r="P11" s="284"/>
      <c r="Q11" s="284"/>
    </row>
    <row r="12" spans="1:17" s="26" customFormat="1" ht="29.25" customHeight="1" x14ac:dyDescent="0.25">
      <c r="A12" s="290"/>
      <c r="B12" s="290"/>
      <c r="C12" s="290"/>
      <c r="D12" s="285" t="s">
        <v>323</v>
      </c>
      <c r="E12" s="285" t="s">
        <v>224</v>
      </c>
      <c r="F12" s="291" t="s">
        <v>225</v>
      </c>
      <c r="G12" s="291"/>
      <c r="H12" s="285" t="s">
        <v>226</v>
      </c>
      <c r="I12" s="285" t="s">
        <v>323</v>
      </c>
      <c r="J12" s="285" t="s">
        <v>324</v>
      </c>
      <c r="K12" s="285" t="s">
        <v>224</v>
      </c>
      <c r="L12" s="291" t="s">
        <v>225</v>
      </c>
      <c r="M12" s="291"/>
      <c r="N12" s="285" t="s">
        <v>226</v>
      </c>
      <c r="O12" s="286"/>
      <c r="P12" s="284"/>
      <c r="Q12" s="284"/>
    </row>
    <row r="13" spans="1:17" s="26" customFormat="1" ht="60.75" customHeight="1" x14ac:dyDescent="0.25">
      <c r="A13" s="290"/>
      <c r="B13" s="290"/>
      <c r="C13" s="290"/>
      <c r="D13" s="285"/>
      <c r="E13" s="285"/>
      <c r="F13" s="70" t="s">
        <v>227</v>
      </c>
      <c r="G13" s="70" t="s">
        <v>228</v>
      </c>
      <c r="H13" s="285"/>
      <c r="I13" s="285"/>
      <c r="J13" s="285"/>
      <c r="K13" s="285"/>
      <c r="L13" s="70" t="s">
        <v>227</v>
      </c>
      <c r="M13" s="70" t="s">
        <v>228</v>
      </c>
      <c r="N13" s="285"/>
      <c r="O13" s="286"/>
      <c r="P13" s="284"/>
      <c r="Q13" s="284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263848874.44000003</v>
      </c>
      <c r="E14" s="25">
        <f t="shared" ref="E14:O14" si="0">E16+E17+E18+E19</f>
        <v>263848874.44000003</v>
      </c>
      <c r="F14" s="25">
        <f>F16+F17+F18+F19</f>
        <v>194106499.28</v>
      </c>
      <c r="G14" s="25">
        <f t="shared" si="0"/>
        <v>8667947.2899999991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267574880.44000003</v>
      </c>
      <c r="P14" s="284"/>
      <c r="Q14" s="284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4"/>
      <c r="Q15" s="284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3 '!E17+'дод 3 '!E83+'дод 3 '!E162+'дод 3 '!E198+'дод 3 '!E239+'дод 3 '!E247+'дод 3 '!E267+'дод 3 '!E323+'дод 3 '!E333+'дод 3 '!E360+'дод 3 '!E368+'дод 3 '!E375+'дод 3 '!E402+'дод 3 '!E326+'дод 3 '!E383+'дод 3 '!E391+'дод 3 '!E371</f>
        <v>261042774.44000003</v>
      </c>
      <c r="E16" s="66">
        <f>'дод 3 '!F17+'дод 3 '!F83+'дод 3 '!F162+'дод 3 '!F198+'дод 3 '!F239+'дод 3 '!F247+'дод 3 '!F267+'дод 3 '!F323+'дод 3 '!F333+'дод 3 '!F360+'дод 3 '!F368+'дод 3 '!F375+'дод 3 '!F402+'дод 3 '!F326+'дод 3 '!F383+'дод 3 '!F391+'дод 3 '!F371</f>
        <v>261042774.44000003</v>
      </c>
      <c r="F16" s="66">
        <f>'дод 3 '!G17+'дод 3 '!G83+'дод 3 '!G162+'дод 3 '!G198+'дод 3 '!G239+'дод 3 '!G247+'дод 3 '!G267+'дод 3 '!G323+'дод 3 '!G333+'дод 3 '!G360+'дод 3 '!G368+'дод 3 '!G375+'дод 3 '!G402+'дод 3 '!G326+'дод 3 '!G383+'дод 3 '!G391+'дод 3 '!G371</f>
        <v>194106499.28</v>
      </c>
      <c r="G16" s="66">
        <f>'дод 3 '!H17+'дод 3 '!H83+'дод 3 '!H162+'дод 3 '!H198+'дод 3 '!H239+'дод 3 '!H247+'дод 3 '!H267+'дод 3 '!H323+'дод 3 '!H333+'дод 3 '!H360+'дод 3 '!H368+'дод 3 '!H375+'дод 3 '!H402+'дод 3 '!H326+'дод 3 '!H383+'дод 3 '!H391+'дод 3 '!H371</f>
        <v>8667947.2899999991</v>
      </c>
      <c r="H16" s="66">
        <f>'дод 3 '!I17+'дод 3 '!I83+'дод 3 '!I162+'дод 3 '!I198+'дод 3 '!I239+'дод 3 '!I247+'дод 3 '!I267+'дод 3 '!I323+'дод 3 '!I333+'дод 3 '!I360+'дод 3 '!I368+'дод 3 '!I375+'дод 3 '!I402+'дод 3 '!I326+'дод 3 '!I383+'дод 3 '!I391+'дод 3 '!I371</f>
        <v>0</v>
      </c>
      <c r="I16" s="66">
        <f>'дод 3 '!J17+'дод 3 '!J83+'дод 3 '!J162+'дод 3 '!J198+'дод 3 '!J239+'дод 3 '!J247+'дод 3 '!J267+'дод 3 '!J323+'дод 3 '!J333+'дод 3 '!J360+'дод 3 '!J368+'дод 3 '!J375+'дод 3 '!J402+'дод 3 '!J326+'дод 3 '!J383+'дод 3 '!J391+'дод 3 '!J371</f>
        <v>3726006</v>
      </c>
      <c r="J16" s="66">
        <f>'дод 3 '!K17+'дод 3 '!K83+'дод 3 '!K162+'дод 3 '!K198+'дод 3 '!K239+'дод 3 '!K247+'дод 3 '!K267+'дод 3 '!K323+'дод 3 '!K333+'дод 3 '!K360+'дод 3 '!K368+'дод 3 '!K375+'дод 3 '!K402+'дод 3 '!K326+'дод 3 '!K383+'дод 3 '!K391+'дод 3 '!K371</f>
        <v>3573506</v>
      </c>
      <c r="K16" s="66">
        <f>'дод 3 '!L17+'дод 3 '!L83+'дод 3 '!L162+'дод 3 '!L198+'дод 3 '!L239+'дод 3 '!L247+'дод 3 '!L267+'дод 3 '!L323+'дод 3 '!L333+'дод 3 '!L360+'дод 3 '!L368+'дод 3 '!L375+'дод 3 '!L402+'дод 3 '!L326+'дод 3 '!L383+'дод 3 '!L391+'дод 3 '!L371</f>
        <v>152500</v>
      </c>
      <c r="L16" s="66">
        <f>'дод 3 '!M17+'дод 3 '!M83+'дод 3 '!M162+'дод 3 '!M198+'дод 3 '!M239+'дод 3 '!M247+'дод 3 '!M267+'дод 3 '!M323+'дод 3 '!M333+'дод 3 '!M360+'дод 3 '!M368+'дод 3 '!M375+'дод 3 '!M402+'дод 3 '!M326+'дод 3 '!M383+'дод 3 '!M391+'дод 3 '!M371</f>
        <v>0</v>
      </c>
      <c r="M16" s="66">
        <f>'дод 3 '!N17+'дод 3 '!N83+'дод 3 '!N162+'дод 3 '!N198+'дод 3 '!N239+'дод 3 '!N247+'дод 3 '!N267+'дод 3 '!N323+'дод 3 '!N333+'дод 3 '!N360+'дод 3 '!N368+'дод 3 '!N375+'дод 3 '!N402+'дод 3 '!N326+'дод 3 '!N383+'дод 3 '!N391+'дод 3 '!N371</f>
        <v>0</v>
      </c>
      <c r="N16" s="66">
        <f>'дод 3 '!O17+'дод 3 '!O83+'дод 3 '!O162+'дод 3 '!O198+'дод 3 '!O239+'дод 3 '!O247+'дод 3 '!O267+'дод 3 '!O323+'дод 3 '!O333+'дод 3 '!O360+'дод 3 '!O368+'дод 3 '!O375+'дод 3 '!O402+'дод 3 '!O326+'дод 3 '!O383+'дод 3 '!O391+'дод 3 '!O371</f>
        <v>3573506</v>
      </c>
      <c r="O16" s="66">
        <f>'дод 3 '!P17+'дод 3 '!P83+'дод 3 '!P162+'дод 3 '!P198+'дод 3 '!P239+'дод 3 '!P247+'дод 3 '!P267+'дод 3 '!P323+'дод 3 '!P333+'дод 3 '!P360+'дод 3 '!P368+'дод 3 '!P375+'дод 3 '!P402+'дод 3 '!P326+'дод 3 '!P383+'дод 3 '!P391+'дод 3 '!P371</f>
        <v>264768780.44000003</v>
      </c>
      <c r="P16" s="284"/>
      <c r="Q16" s="284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3 '!E18</f>
        <v>0</v>
      </c>
      <c r="E17" s="66">
        <f>'дод 3 '!F18</f>
        <v>0</v>
      </c>
      <c r="F17" s="66">
        <f>'дод 3 '!G18</f>
        <v>0</v>
      </c>
      <c r="G17" s="66">
        <f>'дод 3 '!H18</f>
        <v>0</v>
      </c>
      <c r="H17" s="66">
        <f>'дод 3 '!I18</f>
        <v>0</v>
      </c>
      <c r="I17" s="66">
        <f>'дод 3 '!J18</f>
        <v>0</v>
      </c>
      <c r="J17" s="66">
        <f>'дод 3 '!K18</f>
        <v>0</v>
      </c>
      <c r="K17" s="66">
        <f>'дод 3 '!L18</f>
        <v>0</v>
      </c>
      <c r="L17" s="66">
        <f>'дод 3 '!M18</f>
        <v>0</v>
      </c>
      <c r="M17" s="66">
        <f>'дод 3 '!N18</f>
        <v>0</v>
      </c>
      <c r="N17" s="66">
        <f>'дод 3 '!O18</f>
        <v>0</v>
      </c>
      <c r="O17" s="66">
        <f>'дод 3 '!P18</f>
        <v>0</v>
      </c>
      <c r="P17" s="284"/>
      <c r="Q17" s="284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3 '!E19+'дод 3 '!E199+'дод 3 '!E268</f>
        <v>2806100</v>
      </c>
      <c r="E18" s="66">
        <f>'дод 3 '!F19+'дод 3 '!F199+'дод 3 '!F268</f>
        <v>2806100</v>
      </c>
      <c r="F18" s="66">
        <f>'дод 3 '!G19+'дод 3 '!G199+'дод 3 '!G268</f>
        <v>0</v>
      </c>
      <c r="G18" s="66">
        <f>'дод 3 '!H19+'дод 3 '!H199+'дод 3 '!H268</f>
        <v>0</v>
      </c>
      <c r="H18" s="66">
        <f>'дод 3 '!I19+'дод 3 '!I199+'дод 3 '!I268</f>
        <v>0</v>
      </c>
      <c r="I18" s="66">
        <f>'дод 3 '!J19+'дод 3 '!J199+'дод 3 '!J268</f>
        <v>0</v>
      </c>
      <c r="J18" s="66">
        <f>'дод 3 '!K19+'дод 3 '!K199+'дод 3 '!K268</f>
        <v>0</v>
      </c>
      <c r="K18" s="66">
        <f>'дод 3 '!L19+'дод 3 '!L199+'дод 3 '!L268</f>
        <v>0</v>
      </c>
      <c r="L18" s="66">
        <f>'дод 3 '!M19+'дод 3 '!M199+'дод 3 '!M268</f>
        <v>0</v>
      </c>
      <c r="M18" s="66">
        <f>'дод 3 '!N19+'дод 3 '!N199+'дод 3 '!N268</f>
        <v>0</v>
      </c>
      <c r="N18" s="66">
        <f>'дод 3 '!O19+'дод 3 '!O199+'дод 3 '!O268</f>
        <v>0</v>
      </c>
      <c r="O18" s="66">
        <f>'дод 3 '!P19+'дод 3 '!P199+'дод 3 '!P268</f>
        <v>2806100</v>
      </c>
      <c r="P18" s="284"/>
      <c r="Q18" s="284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3 '!E20</f>
        <v>0</v>
      </c>
      <c r="E19" s="66">
        <f>'дод 3 '!F20</f>
        <v>0</v>
      </c>
      <c r="F19" s="66">
        <f>'дод 3 '!G20</f>
        <v>0</v>
      </c>
      <c r="G19" s="66">
        <f>'дод 3 '!H20</f>
        <v>0</v>
      </c>
      <c r="H19" s="66">
        <f>'дод 3 '!I20</f>
        <v>0</v>
      </c>
      <c r="I19" s="66">
        <f>'дод 3 '!J20</f>
        <v>0</v>
      </c>
      <c r="J19" s="66">
        <f>'дод 3 '!K20</f>
        <v>0</v>
      </c>
      <c r="K19" s="66">
        <f>'дод 3 '!L20</f>
        <v>0</v>
      </c>
      <c r="L19" s="66">
        <f>'дод 3 '!M20</f>
        <v>0</v>
      </c>
      <c r="M19" s="66">
        <f>'дод 3 '!N20</f>
        <v>0</v>
      </c>
      <c r="N19" s="66">
        <f>'дод 3 '!O20</f>
        <v>0</v>
      </c>
      <c r="O19" s="66">
        <f>'дод 3 '!P20</f>
        <v>0</v>
      </c>
      <c r="P19" s="284"/>
      <c r="Q19" s="284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3 '!E21</f>
        <v>0</v>
      </c>
      <c r="E20" s="67">
        <f>'дод 3 '!F21</f>
        <v>0</v>
      </c>
      <c r="F20" s="67">
        <f>'дод 3 '!G21</f>
        <v>0</v>
      </c>
      <c r="G20" s="67">
        <f>'дод 3 '!H21</f>
        <v>0</v>
      </c>
      <c r="H20" s="67">
        <f>'дод 3 '!I21</f>
        <v>0</v>
      </c>
      <c r="I20" s="67">
        <f>'дод 3 '!J21</f>
        <v>0</v>
      </c>
      <c r="J20" s="67">
        <f>'дод 3 '!K21</f>
        <v>0</v>
      </c>
      <c r="K20" s="67">
        <f>'дод 3 '!L21</f>
        <v>0</v>
      </c>
      <c r="L20" s="67">
        <f>'дод 3 '!M21</f>
        <v>0</v>
      </c>
      <c r="M20" s="67">
        <f>'дод 3 '!N21</f>
        <v>0</v>
      </c>
      <c r="N20" s="67">
        <f>'дод 3 '!O21</f>
        <v>0</v>
      </c>
      <c r="O20" s="67">
        <f>'дод 3 '!P21</f>
        <v>0</v>
      </c>
      <c r="P20" s="284"/>
      <c r="Q20" s="284"/>
    </row>
    <row r="21" spans="1:17" s="26" customFormat="1" ht="18.75" customHeight="1" x14ac:dyDescent="0.25">
      <c r="A21" s="20" t="s">
        <v>46</v>
      </c>
      <c r="B21" s="21"/>
      <c r="C21" s="9" t="s">
        <v>670</v>
      </c>
      <c r="D21" s="25">
        <f>D36+D38+D46+D48+D49+D52+D54+D56+D59+D61+D62+D67+D68+D69+D70+D72+D73+D74+D76+D78+D80+D82+D63+D65+D84+D85+D87+D88</f>
        <v>1334359519.3099999</v>
      </c>
      <c r="E21" s="25">
        <f t="shared" ref="E21:O21" si="2">E36+E38+E46+E48+E49+E52+E54+E56+E59+E61+E62+E67+E68+E69+E70+E72+E73+E74+E76+E78+E80+E82+E63+E65+E84+E85+E87+E88</f>
        <v>1334359519.3099999</v>
      </c>
      <c r="F21" s="25">
        <f t="shared" si="2"/>
        <v>928022328</v>
      </c>
      <c r="G21" s="25">
        <f t="shared" si="2"/>
        <v>116639870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1602455447.3299999</v>
      </c>
      <c r="P21" s="284"/>
      <c r="Q21" s="284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389019340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4"/>
      <c r="Q22" s="284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4"/>
      <c r="Q23" s="284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4"/>
      <c r="Q24" s="284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4"/>
      <c r="Q25" s="284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4"/>
      <c r="Q26" s="284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4"/>
      <c r="Q27" s="284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4"/>
      <c r="Q28" s="284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4"/>
      <c r="Q29" s="284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4"/>
      <c r="Q30" s="284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4"/>
      <c r="Q31" s="284"/>
    </row>
    <row r="32" spans="1:17" s="27" customFormat="1" ht="47.25" hidden="1" x14ac:dyDescent="0.25">
      <c r="A32" s="32"/>
      <c r="B32" s="32"/>
      <c r="C32" s="37" t="str">
        <f>'дод 3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0</v>
      </c>
      <c r="J32" s="68">
        <f t="shared" si="11"/>
        <v>0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0</v>
      </c>
      <c r="O32" s="68">
        <f t="shared" si="11"/>
        <v>0</v>
      </c>
      <c r="P32" s="284"/>
      <c r="Q32" s="284"/>
    </row>
    <row r="33" spans="1:17" s="27" customFormat="1" ht="48.75" customHeight="1" x14ac:dyDescent="0.25">
      <c r="A33" s="32"/>
      <c r="B33" s="32"/>
      <c r="C33" s="37" t="s">
        <v>705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4"/>
      <c r="Q33" s="284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4"/>
      <c r="Q34" s="284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4"/>
      <c r="Q35" s="284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3 '!E84+'дод 3 '!E334</f>
        <v>329249223</v>
      </c>
      <c r="E36" s="66">
        <f>'дод 3 '!F84+'дод 3 '!F334</f>
        <v>329249223</v>
      </c>
      <c r="F36" s="66">
        <f>'дод 3 '!G84+'дод 3 '!G334</f>
        <v>225823282</v>
      </c>
      <c r="G36" s="66">
        <f>'дод 3 '!H84+'дод 3 '!H334</f>
        <v>36678640</v>
      </c>
      <c r="H36" s="66">
        <f>'дод 3 '!I84+'дод 3 '!I334</f>
        <v>0</v>
      </c>
      <c r="I36" s="66">
        <f>'дод 3 '!J84+'дод 3 '!J334</f>
        <v>110555558</v>
      </c>
      <c r="J36" s="66">
        <f>'дод 3 '!K84+'дод 3 '!K334</f>
        <v>90501758</v>
      </c>
      <c r="K36" s="66">
        <f>'дод 3 '!L84+'дод 3 '!L334</f>
        <v>20053800</v>
      </c>
      <c r="L36" s="66">
        <f>'дод 3 '!M84+'дод 3 '!M334</f>
        <v>0</v>
      </c>
      <c r="M36" s="66">
        <f>'дод 3 '!N84+'дод 3 '!N334</f>
        <v>0</v>
      </c>
      <c r="N36" s="66">
        <f>'дод 3 '!O84+'дод 3 '!O334</f>
        <v>90501758</v>
      </c>
      <c r="O36" s="66">
        <f>'дод 3 '!P84+'дод 3 '!P334</f>
        <v>439804781</v>
      </c>
      <c r="P36" s="284"/>
      <c r="Q36" s="284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4"/>
      <c r="Q37" s="284"/>
    </row>
    <row r="38" spans="1:17" ht="38.25" customHeight="1" x14ac:dyDescent="0.25">
      <c r="A38" s="19">
        <v>1021</v>
      </c>
      <c r="B38" s="19" t="s">
        <v>50</v>
      </c>
      <c r="C38" s="31" t="s">
        <v>671</v>
      </c>
      <c r="D38" s="66">
        <f>'дод 3 '!E85+'дод 3 '!E335</f>
        <v>240403457</v>
      </c>
      <c r="E38" s="66">
        <f>'дод 3 '!F85+'дод 3 '!F335</f>
        <v>240403457</v>
      </c>
      <c r="F38" s="66">
        <f>'дод 3 '!G85+'дод 3 '!G335</f>
        <v>135074000</v>
      </c>
      <c r="G38" s="66">
        <f>'дод 3 '!H85+'дод 3 '!H335</f>
        <v>51541630</v>
      </c>
      <c r="H38" s="66">
        <f>'дод 3 '!I85+'дод 3 '!I335</f>
        <v>0</v>
      </c>
      <c r="I38" s="66">
        <f>'дод 3 '!J85+'дод 3 '!J335</f>
        <v>93498556.020000011</v>
      </c>
      <c r="J38" s="66">
        <f>'дод 3 '!K85+'дод 3 '!K335</f>
        <v>34388316.020000003</v>
      </c>
      <c r="K38" s="66">
        <f>'дод 3 '!L85+'дод 3 '!L335</f>
        <v>59110240</v>
      </c>
      <c r="L38" s="66">
        <f>'дод 3 '!M85+'дод 3 '!M335</f>
        <v>3250000</v>
      </c>
      <c r="M38" s="66">
        <f>'дод 3 '!N85+'дод 3 '!N335</f>
        <v>1318160</v>
      </c>
      <c r="N38" s="66">
        <f>'дод 3 '!O85+'дод 3 '!O335</f>
        <v>34388316.020000003</v>
      </c>
      <c r="O38" s="66">
        <f>'дод 3 '!P85+'дод 3 '!P335</f>
        <v>333902013.01999998</v>
      </c>
      <c r="P38" s="284"/>
      <c r="Q38" s="284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4"/>
      <c r="Q39" s="284"/>
    </row>
    <row r="40" spans="1:17" s="28" customFormat="1" ht="50.25" hidden="1" customHeight="1" x14ac:dyDescent="0.25">
      <c r="A40" s="38"/>
      <c r="B40" s="38"/>
      <c r="C40" s="46" t="str">
        <f>'дод 3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3 '!E86</f>
        <v>0</v>
      </c>
      <c r="E40" s="67">
        <f>'дод 3 '!F86</f>
        <v>0</v>
      </c>
      <c r="F40" s="67">
        <f>'дод 3 '!G86</f>
        <v>0</v>
      </c>
      <c r="G40" s="67">
        <f>'дод 3 '!H86</f>
        <v>0</v>
      </c>
      <c r="H40" s="67">
        <f>'дод 3 '!I86</f>
        <v>0</v>
      </c>
      <c r="I40" s="67">
        <f>'дод 3 '!J86</f>
        <v>0</v>
      </c>
      <c r="J40" s="67">
        <f>'дод 3 '!K86</f>
        <v>0</v>
      </c>
      <c r="K40" s="67">
        <f>'дод 3 '!L86</f>
        <v>0</v>
      </c>
      <c r="L40" s="67">
        <f>'дод 3 '!M86</f>
        <v>0</v>
      </c>
      <c r="M40" s="67">
        <f>'дод 3 '!N86</f>
        <v>0</v>
      </c>
      <c r="N40" s="67">
        <f>'дод 3 '!O86</f>
        <v>0</v>
      </c>
      <c r="O40" s="67">
        <f>'дод 3 '!P86</f>
        <v>0</v>
      </c>
      <c r="P40" s="284"/>
      <c r="Q40" s="284"/>
    </row>
    <row r="41" spans="1:17" s="28" customFormat="1" ht="47.25" hidden="1" customHeight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4"/>
      <c r="Q41" s="284"/>
    </row>
    <row r="42" spans="1:17" s="28" customFormat="1" ht="47.25" hidden="1" customHeight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4"/>
      <c r="Q42" s="284"/>
    </row>
    <row r="43" spans="1:17" s="28" customFormat="1" ht="58.5" hidden="1" customHeight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4"/>
      <c r="Q43" s="284"/>
    </row>
    <row r="44" spans="1:17" s="28" customFormat="1" ht="31.5" hidden="1" customHeight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4"/>
      <c r="Q44" s="284"/>
    </row>
    <row r="45" spans="1:17" s="28" customFormat="1" ht="63" hidden="1" customHeight="1" x14ac:dyDescent="0.25">
      <c r="A45" s="38"/>
      <c r="B45" s="38"/>
      <c r="C45" s="39" t="s">
        <v>380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284"/>
      <c r="Q45" s="284"/>
    </row>
    <row r="46" spans="1:17" ht="74.25" customHeight="1" x14ac:dyDescent="0.25">
      <c r="A46" s="19">
        <v>1022</v>
      </c>
      <c r="B46" s="30" t="s">
        <v>54</v>
      </c>
      <c r="C46" s="18" t="s">
        <v>672</v>
      </c>
      <c r="D46" s="66">
        <f>'дод 3 '!E87+'дод 3 '!E336</f>
        <v>16255341</v>
      </c>
      <c r="E46" s="66">
        <f>'дод 3 '!F87+'дод 3 '!F336</f>
        <v>16255341</v>
      </c>
      <c r="F46" s="66">
        <f>'дод 3 '!G87+'дод 3 '!G336</f>
        <v>10152900</v>
      </c>
      <c r="G46" s="66">
        <f>'дод 3 '!H87+'дод 3 '!H336</f>
        <v>2289300</v>
      </c>
      <c r="H46" s="66">
        <f>'дод 3 '!I87+'дод 3 '!I336</f>
        <v>0</v>
      </c>
      <c r="I46" s="66">
        <f>'дод 3 '!J87+'дод 3 '!J336</f>
        <v>0</v>
      </c>
      <c r="J46" s="66">
        <f>'дод 3 '!K87+'дод 3 '!K336</f>
        <v>0</v>
      </c>
      <c r="K46" s="66">
        <f>'дод 3 '!L87+'дод 3 '!L336</f>
        <v>0</v>
      </c>
      <c r="L46" s="66">
        <f>'дод 3 '!M87+'дод 3 '!M336</f>
        <v>0</v>
      </c>
      <c r="M46" s="66">
        <f>'дод 3 '!N87+'дод 3 '!N336</f>
        <v>0</v>
      </c>
      <c r="N46" s="66">
        <f>'дод 3 '!O87+'дод 3 '!O336</f>
        <v>0</v>
      </c>
      <c r="O46" s="66">
        <f>'дод 3 '!P87+'дод 3 '!P336</f>
        <v>16255341</v>
      </c>
      <c r="P46" s="284"/>
      <c r="Q46" s="284"/>
    </row>
    <row r="47" spans="1:17" ht="78.7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4"/>
      <c r="Q47" s="284"/>
    </row>
    <row r="48" spans="1:17" ht="68.25" customHeight="1" x14ac:dyDescent="0.25">
      <c r="A48" s="19">
        <v>1025</v>
      </c>
      <c r="B48" s="19" t="s">
        <v>54</v>
      </c>
      <c r="C48" s="3" t="s">
        <v>673</v>
      </c>
      <c r="D48" s="66">
        <f>'дод 3 '!E88</f>
        <v>12011900</v>
      </c>
      <c r="E48" s="66">
        <f>'дод 3 '!F88</f>
        <v>12011900</v>
      </c>
      <c r="F48" s="66">
        <f>'дод 3 '!G88</f>
        <v>8367700</v>
      </c>
      <c r="G48" s="66">
        <f>'дод 3 '!H88</f>
        <v>1106800</v>
      </c>
      <c r="H48" s="66">
        <f>'дод 3 '!I88</f>
        <v>0</v>
      </c>
      <c r="I48" s="66">
        <f>'дод 3 '!J88</f>
        <v>0</v>
      </c>
      <c r="J48" s="66">
        <f>'дод 3 '!K88</f>
        <v>0</v>
      </c>
      <c r="K48" s="66">
        <f>'дод 3 '!L88</f>
        <v>0</v>
      </c>
      <c r="L48" s="66">
        <f>'дод 3 '!M88</f>
        <v>0</v>
      </c>
      <c r="M48" s="66">
        <f>'дод 3 '!N88</f>
        <v>0</v>
      </c>
      <c r="N48" s="66">
        <f>'дод 3 '!O88</f>
        <v>0</v>
      </c>
      <c r="O48" s="66">
        <f>'дод 3 '!P88</f>
        <v>12011900</v>
      </c>
      <c r="P48" s="284"/>
      <c r="Q48" s="284"/>
    </row>
    <row r="49" spans="1:17" s="28" customFormat="1" ht="47.25" x14ac:dyDescent="0.25">
      <c r="A49" s="51">
        <v>1031</v>
      </c>
      <c r="B49" s="30" t="s">
        <v>50</v>
      </c>
      <c r="C49" s="31" t="s">
        <v>674</v>
      </c>
      <c r="D49" s="66">
        <f>'дод 3 '!E89</f>
        <v>439541077.94</v>
      </c>
      <c r="E49" s="66">
        <f>'дод 3 '!F89</f>
        <v>439541077.94</v>
      </c>
      <c r="F49" s="66">
        <f>'дод 3 '!G89</f>
        <v>359569340</v>
      </c>
      <c r="G49" s="66">
        <f>'дод 3 '!H89</f>
        <v>0</v>
      </c>
      <c r="H49" s="66">
        <f>'дод 3 '!I89</f>
        <v>0</v>
      </c>
      <c r="I49" s="66">
        <f>'дод 3 '!J89</f>
        <v>0</v>
      </c>
      <c r="J49" s="66">
        <f>'дод 3 '!K89</f>
        <v>0</v>
      </c>
      <c r="K49" s="66">
        <f>'дод 3 '!L89</f>
        <v>0</v>
      </c>
      <c r="L49" s="66">
        <f>'дод 3 '!M89</f>
        <v>0</v>
      </c>
      <c r="M49" s="66">
        <f>'дод 3 '!N89</f>
        <v>0</v>
      </c>
      <c r="N49" s="66">
        <f>'дод 3 '!O89</f>
        <v>0</v>
      </c>
      <c r="O49" s="66">
        <f>'дод 3 '!P89</f>
        <v>439541077.94</v>
      </c>
      <c r="P49" s="284"/>
      <c r="Q49" s="284"/>
    </row>
    <row r="50" spans="1:17" s="28" customFormat="1" ht="35.25" customHeight="1" x14ac:dyDescent="0.25">
      <c r="A50" s="38"/>
      <c r="B50" s="38"/>
      <c r="C50" s="46" t="s">
        <v>384</v>
      </c>
      <c r="D50" s="67">
        <f>'дод 3 '!E90</f>
        <v>437936360</v>
      </c>
      <c r="E50" s="67">
        <f>'дод 3 '!F90</f>
        <v>437936360</v>
      </c>
      <c r="F50" s="67">
        <f>'дод 3 '!G90</f>
        <v>359569340</v>
      </c>
      <c r="G50" s="67">
        <f>'дод 3 '!H90</f>
        <v>0</v>
      </c>
      <c r="H50" s="67">
        <f>'дод 3 '!I90</f>
        <v>0</v>
      </c>
      <c r="I50" s="67">
        <f>'дод 3 '!J90</f>
        <v>0</v>
      </c>
      <c r="J50" s="67">
        <f>'дод 3 '!K90</f>
        <v>0</v>
      </c>
      <c r="K50" s="67">
        <f>'дод 3 '!L90</f>
        <v>0</v>
      </c>
      <c r="L50" s="67">
        <f>'дод 3 '!M90</f>
        <v>0</v>
      </c>
      <c r="M50" s="67">
        <f>'дод 3 '!N90</f>
        <v>0</v>
      </c>
      <c r="N50" s="67">
        <f>'дод 3 '!O90</f>
        <v>0</v>
      </c>
      <c r="O50" s="67">
        <f>'дод 3 '!P90</f>
        <v>437936360</v>
      </c>
      <c r="P50" s="284"/>
      <c r="Q50" s="284"/>
    </row>
    <row r="51" spans="1:17" ht="58.5" customHeight="1" x14ac:dyDescent="0.25">
      <c r="A51" s="19"/>
      <c r="B51" s="19"/>
      <c r="C51" s="46" t="s">
        <v>379</v>
      </c>
      <c r="D51" s="67">
        <f>'дод 3 '!E91</f>
        <v>1604717.94</v>
      </c>
      <c r="E51" s="67">
        <f>'дод 3 '!F91</f>
        <v>1604717.94</v>
      </c>
      <c r="F51" s="67">
        <f>'дод 3 '!G91</f>
        <v>0</v>
      </c>
      <c r="G51" s="67">
        <f>'дод 3 '!H91</f>
        <v>0</v>
      </c>
      <c r="H51" s="67">
        <f>'дод 3 '!I91</f>
        <v>0</v>
      </c>
      <c r="I51" s="67">
        <f>'дод 3 '!J91</f>
        <v>0</v>
      </c>
      <c r="J51" s="67">
        <f>'дод 3 '!K91</f>
        <v>0</v>
      </c>
      <c r="K51" s="67">
        <f>'дод 3 '!L91</f>
        <v>0</v>
      </c>
      <c r="L51" s="67">
        <f>'дод 3 '!M91</f>
        <v>0</v>
      </c>
      <c r="M51" s="67">
        <f>'дод 3 '!N91</f>
        <v>0</v>
      </c>
      <c r="N51" s="67">
        <f>'дод 3 '!O91</f>
        <v>0</v>
      </c>
      <c r="O51" s="67">
        <f>'дод 3 '!P91</f>
        <v>1604717.94</v>
      </c>
      <c r="P51" s="284"/>
      <c r="Q51" s="284"/>
    </row>
    <row r="52" spans="1:17" ht="76.5" customHeight="1" x14ac:dyDescent="0.25">
      <c r="A52" s="30" t="s">
        <v>454</v>
      </c>
      <c r="B52" s="30" t="s">
        <v>54</v>
      </c>
      <c r="C52" s="31" t="s">
        <v>675</v>
      </c>
      <c r="D52" s="66">
        <f>'дод 3 '!E92</f>
        <v>15956780</v>
      </c>
      <c r="E52" s="66">
        <f>'дод 3 '!F92</f>
        <v>15956780</v>
      </c>
      <c r="F52" s="66">
        <f>'дод 3 '!G92</f>
        <v>13076000</v>
      </c>
      <c r="G52" s="66">
        <f>'дод 3 '!H92</f>
        <v>0</v>
      </c>
      <c r="H52" s="66">
        <f>'дод 3 '!I92</f>
        <v>0</v>
      </c>
      <c r="I52" s="66">
        <f>'дод 3 '!J92</f>
        <v>0</v>
      </c>
      <c r="J52" s="66">
        <f>'дод 3 '!K92</f>
        <v>0</v>
      </c>
      <c r="K52" s="66">
        <f>'дод 3 '!L92</f>
        <v>0</v>
      </c>
      <c r="L52" s="66">
        <f>'дод 3 '!M92</f>
        <v>0</v>
      </c>
      <c r="M52" s="66">
        <f>'дод 3 '!N92</f>
        <v>0</v>
      </c>
      <c r="N52" s="66">
        <f>'дод 3 '!O92</f>
        <v>0</v>
      </c>
      <c r="O52" s="66">
        <f>'дод 3 '!P92</f>
        <v>15956780</v>
      </c>
      <c r="P52" s="284"/>
      <c r="Q52" s="284"/>
    </row>
    <row r="53" spans="1:17" ht="31.5" customHeight="1" x14ac:dyDescent="0.25">
      <c r="A53" s="19"/>
      <c r="B53" s="19"/>
      <c r="C53" s="46" t="s">
        <v>384</v>
      </c>
      <c r="D53" s="67">
        <f>'дод 3 '!E93</f>
        <v>15956780</v>
      </c>
      <c r="E53" s="67">
        <f>'дод 3 '!F93</f>
        <v>15956780</v>
      </c>
      <c r="F53" s="67">
        <f>'дод 3 '!G93</f>
        <v>13076000</v>
      </c>
      <c r="G53" s="67">
        <f>'дод 3 '!H93</f>
        <v>0</v>
      </c>
      <c r="H53" s="67">
        <f>'дод 3 '!I93</f>
        <v>0</v>
      </c>
      <c r="I53" s="67">
        <f>'дод 3 '!J93</f>
        <v>0</v>
      </c>
      <c r="J53" s="67">
        <f>'дод 3 '!K93</f>
        <v>0</v>
      </c>
      <c r="K53" s="67">
        <f>'дод 3 '!L93</f>
        <v>0</v>
      </c>
      <c r="L53" s="67">
        <f>'дод 3 '!M93</f>
        <v>0</v>
      </c>
      <c r="M53" s="67">
        <f>'дод 3 '!N93</f>
        <v>0</v>
      </c>
      <c r="N53" s="67">
        <f>'дод 3 '!O93</f>
        <v>0</v>
      </c>
      <c r="O53" s="67">
        <f>'дод 3 '!P93</f>
        <v>15956780</v>
      </c>
      <c r="P53" s="283">
        <v>46</v>
      </c>
      <c r="Q53" s="284"/>
    </row>
    <row r="54" spans="1:17" ht="70.5" customHeight="1" x14ac:dyDescent="0.25">
      <c r="A54" s="19">
        <v>1035</v>
      </c>
      <c r="B54" s="19" t="s">
        <v>54</v>
      </c>
      <c r="C54" s="18" t="s">
        <v>676</v>
      </c>
      <c r="D54" s="66">
        <f>'дод 3 '!E94</f>
        <v>1176620</v>
      </c>
      <c r="E54" s="66">
        <f>'дод 3 '!F94</f>
        <v>1176620</v>
      </c>
      <c r="F54" s="66">
        <f>'дод 3 '!G94</f>
        <v>976000</v>
      </c>
      <c r="G54" s="66">
        <f>'дод 3 '!H94</f>
        <v>0</v>
      </c>
      <c r="H54" s="66">
        <f>'дод 3 '!I94</f>
        <v>0</v>
      </c>
      <c r="I54" s="66">
        <f>'дод 3 '!J94</f>
        <v>0</v>
      </c>
      <c r="J54" s="66">
        <f>'дод 3 '!K94</f>
        <v>0</v>
      </c>
      <c r="K54" s="66">
        <f>'дод 3 '!L94</f>
        <v>0</v>
      </c>
      <c r="L54" s="66">
        <f>'дод 3 '!M94</f>
        <v>0</v>
      </c>
      <c r="M54" s="66">
        <f>'дод 3 '!N94</f>
        <v>0</v>
      </c>
      <c r="N54" s="66">
        <f>'дод 3 '!O94</f>
        <v>0</v>
      </c>
      <c r="O54" s="66">
        <f>'дод 3 '!P94</f>
        <v>1176620</v>
      </c>
      <c r="P54" s="283"/>
      <c r="Q54" s="284"/>
    </row>
    <row r="55" spans="1:17" ht="31.5" customHeight="1" x14ac:dyDescent="0.25">
      <c r="A55" s="19"/>
      <c r="B55" s="19"/>
      <c r="C55" s="46" t="s">
        <v>384</v>
      </c>
      <c r="D55" s="67">
        <f>'дод 3 '!E95</f>
        <v>1176620</v>
      </c>
      <c r="E55" s="67">
        <f>'дод 3 '!F95</f>
        <v>1176620</v>
      </c>
      <c r="F55" s="67">
        <f>'дод 3 '!G95</f>
        <v>976000</v>
      </c>
      <c r="G55" s="67">
        <f>'дод 3 '!H95</f>
        <v>0</v>
      </c>
      <c r="H55" s="67">
        <f>'дод 3 '!I95</f>
        <v>0</v>
      </c>
      <c r="I55" s="67">
        <f>'дод 3 '!J95</f>
        <v>0</v>
      </c>
      <c r="J55" s="67">
        <f>'дод 3 '!K95</f>
        <v>0</v>
      </c>
      <c r="K55" s="67">
        <f>'дод 3 '!L95</f>
        <v>0</v>
      </c>
      <c r="L55" s="67">
        <f>'дод 3 '!M95</f>
        <v>0</v>
      </c>
      <c r="M55" s="67">
        <f>'дод 3 '!N95</f>
        <v>0</v>
      </c>
      <c r="N55" s="67">
        <f>'дод 3 '!O95</f>
        <v>0</v>
      </c>
      <c r="O55" s="67">
        <f>'дод 3 '!P95</f>
        <v>1176620</v>
      </c>
      <c r="P55" s="283"/>
      <c r="Q55" s="284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3 '!E96</f>
        <v>0</v>
      </c>
      <c r="E56" s="66">
        <f>'дод 3 '!F96</f>
        <v>0</v>
      </c>
      <c r="F56" s="66">
        <f>'дод 3 '!G96</f>
        <v>0</v>
      </c>
      <c r="G56" s="66">
        <f>'дод 3 '!H96</f>
        <v>0</v>
      </c>
      <c r="H56" s="66">
        <f>'дод 3 '!I96</f>
        <v>0</v>
      </c>
      <c r="I56" s="66">
        <f>'дод 3 '!J96</f>
        <v>0</v>
      </c>
      <c r="J56" s="66">
        <f>'дод 3 '!K96</f>
        <v>0</v>
      </c>
      <c r="K56" s="66">
        <f>'дод 3 '!L96</f>
        <v>0</v>
      </c>
      <c r="L56" s="66">
        <f>'дод 3 '!M96</f>
        <v>0</v>
      </c>
      <c r="M56" s="66">
        <f>'дод 3 '!N96</f>
        <v>0</v>
      </c>
      <c r="N56" s="66">
        <f>'дод 3 '!O96</f>
        <v>0</v>
      </c>
      <c r="O56" s="66">
        <f>'дод 3 '!P96</f>
        <v>0</v>
      </c>
      <c r="P56" s="283"/>
      <c r="Q56" s="284"/>
    </row>
    <row r="57" spans="1:17" ht="47.25" hidden="1" customHeight="1" x14ac:dyDescent="0.25">
      <c r="A57" s="19"/>
      <c r="B57" s="30"/>
      <c r="C57" s="46" t="s">
        <v>508</v>
      </c>
      <c r="D57" s="67">
        <f>'дод 3 '!E97</f>
        <v>0</v>
      </c>
      <c r="E57" s="67">
        <f>'дод 3 '!F97</f>
        <v>0</v>
      </c>
      <c r="F57" s="67">
        <f>'дод 3 '!G97</f>
        <v>0</v>
      </c>
      <c r="G57" s="67">
        <f>'дод 3 '!H97</f>
        <v>0</v>
      </c>
      <c r="H57" s="67">
        <f>'дод 3 '!I97</f>
        <v>0</v>
      </c>
      <c r="I57" s="67">
        <f>'дод 3 '!J97</f>
        <v>0</v>
      </c>
      <c r="J57" s="67">
        <f>'дод 3 '!K97</f>
        <v>0</v>
      </c>
      <c r="K57" s="67">
        <f>'дод 3 '!L97</f>
        <v>0</v>
      </c>
      <c r="L57" s="67">
        <f>'дод 3 '!M97</f>
        <v>0</v>
      </c>
      <c r="M57" s="67">
        <f>'дод 3 '!N97</f>
        <v>0</v>
      </c>
      <c r="N57" s="67">
        <f>'дод 3 '!O97</f>
        <v>0</v>
      </c>
      <c r="O57" s="67">
        <f>'дод 3 '!P97</f>
        <v>0</v>
      </c>
      <c r="P57" s="283"/>
      <c r="Q57" s="284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3 '!E98</f>
        <v>0</v>
      </c>
      <c r="E58" s="67">
        <f>'дод 3 '!F98</f>
        <v>0</v>
      </c>
      <c r="F58" s="67">
        <f>'дод 3 '!G98</f>
        <v>0</v>
      </c>
      <c r="G58" s="67">
        <f>'дод 3 '!H98</f>
        <v>0</v>
      </c>
      <c r="H58" s="67">
        <f>'дод 3 '!I98</f>
        <v>0</v>
      </c>
      <c r="I58" s="67">
        <f>'дод 3 '!J98</f>
        <v>0</v>
      </c>
      <c r="J58" s="67">
        <f>'дод 3 '!K98</f>
        <v>0</v>
      </c>
      <c r="K58" s="67">
        <f>'дод 3 '!L98</f>
        <v>0</v>
      </c>
      <c r="L58" s="67">
        <f>'дод 3 '!M98</f>
        <v>0</v>
      </c>
      <c r="M58" s="67">
        <f>'дод 3 '!N98</f>
        <v>0</v>
      </c>
      <c r="N58" s="67">
        <f>'дод 3 '!O98</f>
        <v>0</v>
      </c>
      <c r="O58" s="67">
        <f>'дод 3 '!P98</f>
        <v>0</v>
      </c>
      <c r="P58" s="283"/>
      <c r="Q58" s="284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3 '!E99</f>
        <v>0</v>
      </c>
      <c r="E59" s="66">
        <f>'дод 3 '!F99</f>
        <v>0</v>
      </c>
      <c r="F59" s="66">
        <f>'дод 3 '!G99</f>
        <v>0</v>
      </c>
      <c r="G59" s="66">
        <f>'дод 3 '!H99</f>
        <v>0</v>
      </c>
      <c r="H59" s="66">
        <f>'дод 3 '!I99</f>
        <v>0</v>
      </c>
      <c r="I59" s="66">
        <f>'дод 3 '!J99</f>
        <v>0</v>
      </c>
      <c r="J59" s="66">
        <f>'дод 3 '!K99</f>
        <v>0</v>
      </c>
      <c r="K59" s="66">
        <f>'дод 3 '!L99</f>
        <v>0</v>
      </c>
      <c r="L59" s="66">
        <f>'дод 3 '!M99</f>
        <v>0</v>
      </c>
      <c r="M59" s="66">
        <f>'дод 3 '!N99</f>
        <v>0</v>
      </c>
      <c r="N59" s="66">
        <f>'дод 3 '!O99</f>
        <v>0</v>
      </c>
      <c r="O59" s="66">
        <f>'дод 3 '!P99</f>
        <v>0</v>
      </c>
      <c r="P59" s="283"/>
      <c r="Q59" s="284"/>
    </row>
    <row r="60" spans="1:17" s="28" customFormat="1" ht="31.5" hidden="1" customHeight="1" x14ac:dyDescent="0.25">
      <c r="A60" s="38"/>
      <c r="B60" s="43"/>
      <c r="C60" s="46" t="str">
        <f>'дод 3 '!D100</f>
        <v>залишку коштів освітньої субвенції , що утворився на початок бюджетного періоду</v>
      </c>
      <c r="D60" s="67">
        <f>'дод 3 '!E100</f>
        <v>0</v>
      </c>
      <c r="E60" s="67">
        <f>'дод 3 '!F100</f>
        <v>0</v>
      </c>
      <c r="F60" s="67">
        <f>'дод 3 '!G100</f>
        <v>0</v>
      </c>
      <c r="G60" s="67">
        <f>'дод 3 '!H100</f>
        <v>0</v>
      </c>
      <c r="H60" s="67">
        <f>'дод 3 '!I100</f>
        <v>0</v>
      </c>
      <c r="I60" s="67">
        <f>'дод 3 '!J100</f>
        <v>0</v>
      </c>
      <c r="J60" s="67">
        <f>'дод 3 '!K100</f>
        <v>0</v>
      </c>
      <c r="K60" s="67">
        <f>'дод 3 '!L100</f>
        <v>0</v>
      </c>
      <c r="L60" s="67">
        <f>'дод 3 '!M100</f>
        <v>0</v>
      </c>
      <c r="M60" s="67">
        <f>'дод 3 '!N100</f>
        <v>0</v>
      </c>
      <c r="N60" s="67">
        <f>'дод 3 '!O100</f>
        <v>0</v>
      </c>
      <c r="O60" s="67">
        <f>'дод 3 '!P100</f>
        <v>0</v>
      </c>
      <c r="P60" s="283"/>
      <c r="Q60" s="284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3 '!E101</f>
        <v>41812800</v>
      </c>
      <c r="E61" s="66">
        <f>'дод 3 '!F101</f>
        <v>41812800</v>
      </c>
      <c r="F61" s="66">
        <f>'дод 3 '!G101</f>
        <v>29446000</v>
      </c>
      <c r="G61" s="66">
        <f>'дод 3 '!H101</f>
        <v>4926000</v>
      </c>
      <c r="H61" s="66">
        <f>'дод 3 '!I101</f>
        <v>0</v>
      </c>
      <c r="I61" s="66">
        <f>'дод 3 '!J101</f>
        <v>3200000</v>
      </c>
      <c r="J61" s="66">
        <f>'дод 3 '!K101</f>
        <v>3200000</v>
      </c>
      <c r="K61" s="66">
        <f>'дод 3 '!L101</f>
        <v>0</v>
      </c>
      <c r="L61" s="66">
        <f>'дод 3 '!M101</f>
        <v>0</v>
      </c>
      <c r="M61" s="66">
        <f>'дод 3 '!N101</f>
        <v>0</v>
      </c>
      <c r="N61" s="66">
        <f>'дод 3 '!O101</f>
        <v>3200000</v>
      </c>
      <c r="O61" s="66">
        <f>'дод 3 '!P101</f>
        <v>45012800</v>
      </c>
      <c r="P61" s="283"/>
      <c r="Q61" s="284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3 '!E248</f>
        <v>49333300</v>
      </c>
      <c r="E62" s="66">
        <f>'дод 3 '!F248</f>
        <v>49333300</v>
      </c>
      <c r="F62" s="66">
        <f>'дод 3 '!G248</f>
        <v>38763800</v>
      </c>
      <c r="G62" s="66">
        <f>'дод 3 '!H248</f>
        <v>1458100</v>
      </c>
      <c r="H62" s="66">
        <f>'дод 3 '!I248</f>
        <v>0</v>
      </c>
      <c r="I62" s="66">
        <f>'дод 3 '!J248</f>
        <v>3183090</v>
      </c>
      <c r="J62" s="66">
        <f>'дод 3 '!K248</f>
        <v>250000</v>
      </c>
      <c r="K62" s="66">
        <f>'дод 3 '!L248</f>
        <v>2930890</v>
      </c>
      <c r="L62" s="66">
        <f>'дод 3 '!M248</f>
        <v>2397600</v>
      </c>
      <c r="M62" s="66">
        <f>'дод 3 '!N248</f>
        <v>0</v>
      </c>
      <c r="N62" s="66">
        <f>'дод 3 '!O248</f>
        <v>252200</v>
      </c>
      <c r="O62" s="66">
        <f>'дод 3 '!P248</f>
        <v>52516390</v>
      </c>
      <c r="P62" s="283"/>
      <c r="Q62" s="284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3 '!E102</f>
        <v>149141967</v>
      </c>
      <c r="E63" s="66">
        <f>'дод 3 '!F102</f>
        <v>149141967</v>
      </c>
      <c r="F63" s="66">
        <f>'дод 3 '!G102</f>
        <v>77072200</v>
      </c>
      <c r="G63" s="66">
        <f>'дод 3 '!H102</f>
        <v>17201300</v>
      </c>
      <c r="H63" s="66">
        <f>'дод 3 '!I102</f>
        <v>0</v>
      </c>
      <c r="I63" s="66">
        <f>'дод 3 '!J102</f>
        <v>13007038</v>
      </c>
      <c r="J63" s="66">
        <f>'дод 3 '!K102</f>
        <v>980400</v>
      </c>
      <c r="K63" s="66">
        <f>'дод 3 '!L102</f>
        <v>11878258</v>
      </c>
      <c r="L63" s="66">
        <f>'дод 3 '!M102</f>
        <v>3115502</v>
      </c>
      <c r="M63" s="66">
        <f>'дод 3 '!N102</f>
        <v>5138695</v>
      </c>
      <c r="N63" s="66">
        <f>'дод 3 '!O102</f>
        <v>1128780</v>
      </c>
      <c r="O63" s="66">
        <f>'дод 3 '!P102</f>
        <v>162149005</v>
      </c>
      <c r="P63" s="283"/>
      <c r="Q63" s="284"/>
    </row>
    <row r="64" spans="1:17" s="28" customFormat="1" x14ac:dyDescent="0.25">
      <c r="A64" s="51"/>
      <c r="B64" s="30"/>
      <c r="C64" s="244" t="str">
        <f>'дод 3 '!D103</f>
        <v>іншої субвенції з місцевого бюджету</v>
      </c>
      <c r="D64" s="245">
        <f>'дод 3 '!E103</f>
        <v>199919</v>
      </c>
      <c r="E64" s="245">
        <f>'дод 3 '!F103</f>
        <v>199919</v>
      </c>
      <c r="F64" s="245">
        <f>'дод 3 '!G103</f>
        <v>0</v>
      </c>
      <c r="G64" s="245">
        <f>'дод 3 '!H103</f>
        <v>0</v>
      </c>
      <c r="H64" s="245">
        <f>'дод 3 '!I103</f>
        <v>0</v>
      </c>
      <c r="I64" s="245">
        <f>'дод 3 '!J103</f>
        <v>980400</v>
      </c>
      <c r="J64" s="245">
        <f>'дод 3 '!K103</f>
        <v>980400</v>
      </c>
      <c r="K64" s="245">
        <f>'дод 3 '!L103</f>
        <v>0</v>
      </c>
      <c r="L64" s="245">
        <f>'дод 3 '!M103</f>
        <v>0</v>
      </c>
      <c r="M64" s="245">
        <f>'дод 3 '!N103</f>
        <v>0</v>
      </c>
      <c r="N64" s="245">
        <f>'дод 3 '!O103</f>
        <v>980400</v>
      </c>
      <c r="O64" s="245">
        <f>'дод 3 '!P103</f>
        <v>1180319</v>
      </c>
      <c r="P64" s="283"/>
      <c r="Q64" s="284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3 '!E104</f>
        <v>18750040</v>
      </c>
      <c r="E65" s="66">
        <f>'дод 3 '!F104</f>
        <v>18750040</v>
      </c>
      <c r="F65" s="66">
        <f>'дод 3 '!G104</f>
        <v>15398000</v>
      </c>
      <c r="G65" s="66">
        <f>'дод 3 '!H104</f>
        <v>0</v>
      </c>
      <c r="H65" s="66">
        <f>'дод 3 '!I104</f>
        <v>0</v>
      </c>
      <c r="I65" s="66">
        <f>'дод 3 '!J104</f>
        <v>0</v>
      </c>
      <c r="J65" s="66">
        <f>'дод 3 '!K104</f>
        <v>0</v>
      </c>
      <c r="K65" s="66">
        <f>'дод 3 '!L104</f>
        <v>0</v>
      </c>
      <c r="L65" s="66">
        <f>'дод 3 '!M104</f>
        <v>0</v>
      </c>
      <c r="M65" s="66">
        <f>'дод 3 '!N104</f>
        <v>0</v>
      </c>
      <c r="N65" s="66">
        <f>'дод 3 '!O104</f>
        <v>0</v>
      </c>
      <c r="O65" s="66">
        <f>'дод 3 '!P104</f>
        <v>18750040</v>
      </c>
      <c r="P65" s="283"/>
      <c r="Q65" s="284"/>
    </row>
    <row r="66" spans="1:17" s="28" customFormat="1" ht="31.5" customHeight="1" x14ac:dyDescent="0.25">
      <c r="A66" s="57"/>
      <c r="B66" s="43"/>
      <c r="C66" s="46" t="s">
        <v>384</v>
      </c>
      <c r="D66" s="67">
        <f>'дод 3 '!E105</f>
        <v>18750040</v>
      </c>
      <c r="E66" s="67">
        <f>'дод 3 '!F105</f>
        <v>18750040</v>
      </c>
      <c r="F66" s="67">
        <f>'дод 3 '!G105</f>
        <v>15398000</v>
      </c>
      <c r="G66" s="67">
        <f>'дод 3 '!H105</f>
        <v>0</v>
      </c>
      <c r="H66" s="67">
        <f>'дод 3 '!I105</f>
        <v>0</v>
      </c>
      <c r="I66" s="67">
        <f>'дод 3 '!J105</f>
        <v>0</v>
      </c>
      <c r="J66" s="67">
        <f>'дод 3 '!K105</f>
        <v>0</v>
      </c>
      <c r="K66" s="67">
        <f>'дод 3 '!L105</f>
        <v>0</v>
      </c>
      <c r="L66" s="67">
        <f>'дод 3 '!M105</f>
        <v>0</v>
      </c>
      <c r="M66" s="67">
        <f>'дод 3 '!N105</f>
        <v>0</v>
      </c>
      <c r="N66" s="67">
        <f>'дод 3 '!O105</f>
        <v>0</v>
      </c>
      <c r="O66" s="67">
        <f>'дод 3 '!P105</f>
        <v>18750040</v>
      </c>
      <c r="P66" s="283"/>
      <c r="Q66" s="284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3 '!E106</f>
        <v>12601000</v>
      </c>
      <c r="E67" s="66">
        <f>'дод 3 '!F106</f>
        <v>12601000</v>
      </c>
      <c r="F67" s="66">
        <f>'дод 3 '!G106</f>
        <v>8889800</v>
      </c>
      <c r="G67" s="66">
        <f>'дод 3 '!H106</f>
        <v>1071700</v>
      </c>
      <c r="H67" s="66">
        <f>'дод 3 '!I106</f>
        <v>0</v>
      </c>
      <c r="I67" s="66">
        <f>'дод 3 '!J106</f>
        <v>0</v>
      </c>
      <c r="J67" s="66">
        <f>'дод 3 '!K106</f>
        <v>0</v>
      </c>
      <c r="K67" s="66">
        <f>'дод 3 '!L106</f>
        <v>0</v>
      </c>
      <c r="L67" s="66">
        <f>'дод 3 '!M106</f>
        <v>0</v>
      </c>
      <c r="M67" s="66">
        <f>'дод 3 '!N106</f>
        <v>0</v>
      </c>
      <c r="N67" s="66">
        <f>'дод 3 '!O106</f>
        <v>0</v>
      </c>
      <c r="O67" s="66">
        <f>'дод 3 '!P106</f>
        <v>12601000</v>
      </c>
      <c r="P67" s="283"/>
      <c r="Q67" s="284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3 '!E107</f>
        <v>119000</v>
      </c>
      <c r="E68" s="66">
        <f>'дод 3 '!F107</f>
        <v>119000</v>
      </c>
      <c r="F68" s="66">
        <f>'дод 3 '!G107</f>
        <v>0</v>
      </c>
      <c r="G68" s="66">
        <f>'дод 3 '!H107</f>
        <v>0</v>
      </c>
      <c r="H68" s="66">
        <f>'дод 3 '!I107</f>
        <v>0</v>
      </c>
      <c r="I68" s="66">
        <f>'дод 3 '!J107</f>
        <v>0</v>
      </c>
      <c r="J68" s="66">
        <f>'дод 3 '!K107</f>
        <v>0</v>
      </c>
      <c r="K68" s="66">
        <f>'дод 3 '!L107</f>
        <v>0</v>
      </c>
      <c r="L68" s="66">
        <f>'дод 3 '!M107</f>
        <v>0</v>
      </c>
      <c r="M68" s="66">
        <f>'дод 3 '!N107</f>
        <v>0</v>
      </c>
      <c r="N68" s="66">
        <f>'дод 3 '!O107</f>
        <v>0</v>
      </c>
      <c r="O68" s="66">
        <f>'дод 3 '!P107</f>
        <v>119000</v>
      </c>
      <c r="P68" s="283"/>
      <c r="Q68" s="284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3 '!E108</f>
        <v>527800</v>
      </c>
      <c r="E69" s="66">
        <f>'дод 3 '!F108</f>
        <v>527800</v>
      </c>
      <c r="F69" s="66">
        <f>'дод 3 '!G108</f>
        <v>319800</v>
      </c>
      <c r="G69" s="66">
        <f>'дод 3 '!H108</f>
        <v>86800</v>
      </c>
      <c r="H69" s="66">
        <f>'дод 3 '!I108</f>
        <v>0</v>
      </c>
      <c r="I69" s="66">
        <f>'дод 3 '!J108</f>
        <v>0</v>
      </c>
      <c r="J69" s="66">
        <f>'дод 3 '!K108</f>
        <v>0</v>
      </c>
      <c r="K69" s="66">
        <f>'дод 3 '!L108</f>
        <v>0</v>
      </c>
      <c r="L69" s="66">
        <f>'дод 3 '!M108</f>
        <v>0</v>
      </c>
      <c r="M69" s="66">
        <f>'дод 3 '!N108</f>
        <v>0</v>
      </c>
      <c r="N69" s="66">
        <f>'дод 3 '!O108</f>
        <v>0</v>
      </c>
      <c r="O69" s="66">
        <f>'дод 3 '!P108</f>
        <v>527800</v>
      </c>
      <c r="P69" s="283"/>
      <c r="Q69" s="284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3 '!E109</f>
        <v>1743560</v>
      </c>
      <c r="E70" s="66">
        <f>'дод 3 '!F109</f>
        <v>1743560</v>
      </c>
      <c r="F70" s="66">
        <f>'дод 3 '!G109</f>
        <v>1429160</v>
      </c>
      <c r="G70" s="66">
        <f>'дод 3 '!H109</f>
        <v>0</v>
      </c>
      <c r="H70" s="66">
        <f>'дод 3 '!I109</f>
        <v>0</v>
      </c>
      <c r="I70" s="66">
        <f>'дод 3 '!J109</f>
        <v>0</v>
      </c>
      <c r="J70" s="66">
        <f>'дод 3 '!K109</f>
        <v>0</v>
      </c>
      <c r="K70" s="66">
        <f>'дод 3 '!L109</f>
        <v>0</v>
      </c>
      <c r="L70" s="66">
        <f>'дод 3 '!M109</f>
        <v>0</v>
      </c>
      <c r="M70" s="66">
        <f>'дод 3 '!N109</f>
        <v>0</v>
      </c>
      <c r="N70" s="66">
        <f>'дод 3 '!O109</f>
        <v>0</v>
      </c>
      <c r="O70" s="66">
        <f>'дод 3 '!P109</f>
        <v>1743560</v>
      </c>
      <c r="P70" s="283"/>
      <c r="Q70" s="284"/>
    </row>
    <row r="71" spans="1:17" ht="45" customHeight="1" x14ac:dyDescent="0.25">
      <c r="A71" s="19"/>
      <c r="B71" s="19"/>
      <c r="C71" s="46" t="s">
        <v>379</v>
      </c>
      <c r="D71" s="67">
        <f>'дод 3 '!E110</f>
        <v>1743560</v>
      </c>
      <c r="E71" s="67">
        <f>'дод 3 '!F110</f>
        <v>1743560</v>
      </c>
      <c r="F71" s="67">
        <f>'дод 3 '!G110</f>
        <v>1429160</v>
      </c>
      <c r="G71" s="67">
        <f>'дод 3 '!H110</f>
        <v>0</v>
      </c>
      <c r="H71" s="67">
        <f>'дод 3 '!I110</f>
        <v>0</v>
      </c>
      <c r="I71" s="67">
        <f>'дод 3 '!J110</f>
        <v>0</v>
      </c>
      <c r="J71" s="67">
        <f>'дод 3 '!K110</f>
        <v>0</v>
      </c>
      <c r="K71" s="67">
        <f>'дод 3 '!L110</f>
        <v>0</v>
      </c>
      <c r="L71" s="67">
        <f>'дод 3 '!M110</f>
        <v>0</v>
      </c>
      <c r="M71" s="67">
        <f>'дод 3 '!N110</f>
        <v>0</v>
      </c>
      <c r="N71" s="67">
        <f>'дод 3 '!O110</f>
        <v>0</v>
      </c>
      <c r="O71" s="67">
        <f>'дод 3 '!P110</f>
        <v>1743560</v>
      </c>
      <c r="P71" s="283"/>
      <c r="Q71" s="284"/>
    </row>
    <row r="72" spans="1:17" s="28" customFormat="1" ht="31.5" x14ac:dyDescent="0.25">
      <c r="A72" s="30" t="s">
        <v>466</v>
      </c>
      <c r="B72" s="30" t="str">
        <f>'дод 7'!A16</f>
        <v>0160</v>
      </c>
      <c r="C72" s="31" t="s">
        <v>467</v>
      </c>
      <c r="D72" s="66">
        <f>'дод 3 '!E111</f>
        <v>2880400</v>
      </c>
      <c r="E72" s="66">
        <f>'дод 3 '!F111</f>
        <v>2880400</v>
      </c>
      <c r="F72" s="66">
        <f>'дод 3 '!G111</f>
        <v>1999300</v>
      </c>
      <c r="G72" s="66">
        <f>'дод 3 '!H111</f>
        <v>279600</v>
      </c>
      <c r="H72" s="66">
        <f>'дод 3 '!I111</f>
        <v>0</v>
      </c>
      <c r="I72" s="66">
        <f>'дод 3 '!J111</f>
        <v>0</v>
      </c>
      <c r="J72" s="66">
        <f>'дод 3 '!K111</f>
        <v>0</v>
      </c>
      <c r="K72" s="66">
        <f>'дод 3 '!L111</f>
        <v>0</v>
      </c>
      <c r="L72" s="66">
        <f>'дод 3 '!M111</f>
        <v>0</v>
      </c>
      <c r="M72" s="66">
        <f>'дод 3 '!N111</f>
        <v>0</v>
      </c>
      <c r="N72" s="66">
        <f>'дод 3 '!O111</f>
        <v>0</v>
      </c>
      <c r="O72" s="66">
        <f>'дод 3 '!P111</f>
        <v>2880400</v>
      </c>
      <c r="P72" s="283"/>
      <c r="Q72" s="284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3 '!E112</f>
        <v>0</v>
      </c>
      <c r="E73" s="66">
        <f>'дод 3 '!F112</f>
        <v>0</v>
      </c>
      <c r="F73" s="66">
        <f>'дод 3 '!G112</f>
        <v>0</v>
      </c>
      <c r="G73" s="66">
        <f>'дод 3 '!H112</f>
        <v>0</v>
      </c>
      <c r="H73" s="66">
        <f>'дод 3 '!I112</f>
        <v>0</v>
      </c>
      <c r="I73" s="66">
        <f>'дод 3 '!J112</f>
        <v>0</v>
      </c>
      <c r="J73" s="66">
        <f>'дод 3 '!K112</f>
        <v>0</v>
      </c>
      <c r="K73" s="66">
        <f>'дод 3 '!L112</f>
        <v>0</v>
      </c>
      <c r="L73" s="66">
        <f>'дод 3 '!M112</f>
        <v>0</v>
      </c>
      <c r="M73" s="66">
        <f>'дод 3 '!N112</f>
        <v>0</v>
      </c>
      <c r="N73" s="66">
        <f>'дод 3 '!O112</f>
        <v>0</v>
      </c>
      <c r="O73" s="66">
        <f>'дод 3 '!P112</f>
        <v>0</v>
      </c>
      <c r="P73" s="283"/>
      <c r="Q73" s="284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3 '!E113</f>
        <v>0</v>
      </c>
      <c r="E74" s="62">
        <f>'дод 3 '!F113</f>
        <v>0</v>
      </c>
      <c r="F74" s="62">
        <f>'дод 3 '!G113</f>
        <v>0</v>
      </c>
      <c r="G74" s="62">
        <f>'дод 3 '!H113</f>
        <v>0</v>
      </c>
      <c r="H74" s="62">
        <f>'дод 3 '!I113</f>
        <v>0</v>
      </c>
      <c r="I74" s="62">
        <f>'дод 3 '!J113</f>
        <v>0</v>
      </c>
      <c r="J74" s="62">
        <f>'дод 3 '!K113</f>
        <v>0</v>
      </c>
      <c r="K74" s="62">
        <f>'дод 3 '!L113</f>
        <v>0</v>
      </c>
      <c r="L74" s="62">
        <f>'дод 3 '!M113</f>
        <v>0</v>
      </c>
      <c r="M74" s="62">
        <f>'дод 3 '!N113</f>
        <v>0</v>
      </c>
      <c r="N74" s="62">
        <f>'дод 3 '!O113</f>
        <v>0</v>
      </c>
      <c r="O74" s="62">
        <f>'дод 3 '!P113</f>
        <v>0</v>
      </c>
      <c r="P74" s="283"/>
      <c r="Q74" s="284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83"/>
      <c r="Q75" s="284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3 '!E115</f>
        <v>0</v>
      </c>
      <c r="E76" s="62">
        <f>'дод 3 '!F115</f>
        <v>0</v>
      </c>
      <c r="F76" s="62">
        <f>'дод 3 '!G115</f>
        <v>0</v>
      </c>
      <c r="G76" s="62">
        <f>'дод 3 '!H115</f>
        <v>0</v>
      </c>
      <c r="H76" s="62">
        <f>'дод 3 '!I115</f>
        <v>0</v>
      </c>
      <c r="I76" s="62">
        <f>'дод 3 '!J115</f>
        <v>0</v>
      </c>
      <c r="J76" s="62">
        <f>'дод 3 '!K115</f>
        <v>0</v>
      </c>
      <c r="K76" s="62">
        <f>'дод 3 '!L115</f>
        <v>0</v>
      </c>
      <c r="L76" s="62">
        <f>'дод 3 '!M115</f>
        <v>0</v>
      </c>
      <c r="M76" s="62">
        <f>'дод 3 '!N115</f>
        <v>0</v>
      </c>
      <c r="N76" s="62">
        <f>'дод 3 '!O115</f>
        <v>0</v>
      </c>
      <c r="O76" s="62">
        <f>'дод 3 '!P115</f>
        <v>0</v>
      </c>
      <c r="P76" s="283"/>
      <c r="Q76" s="284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83"/>
      <c r="Q77" s="284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3 '!E117</f>
        <v>0</v>
      </c>
      <c r="E78" s="66">
        <f>'дод 3 '!F117</f>
        <v>0</v>
      </c>
      <c r="F78" s="66">
        <f>'дод 3 '!G117</f>
        <v>0</v>
      </c>
      <c r="G78" s="66">
        <f>'дод 3 '!H117</f>
        <v>0</v>
      </c>
      <c r="H78" s="66">
        <f>'дод 3 '!I117</f>
        <v>0</v>
      </c>
      <c r="I78" s="66">
        <f>'дод 3 '!J117</f>
        <v>0</v>
      </c>
      <c r="J78" s="66">
        <f>'дод 3 '!K117</f>
        <v>0</v>
      </c>
      <c r="K78" s="66">
        <f>'дод 3 '!L117</f>
        <v>0</v>
      </c>
      <c r="L78" s="66">
        <f>'дод 3 '!M117</f>
        <v>0</v>
      </c>
      <c r="M78" s="66">
        <f>'дод 3 '!N117</f>
        <v>0</v>
      </c>
      <c r="N78" s="66">
        <f>'дод 3 '!O117</f>
        <v>0</v>
      </c>
      <c r="O78" s="66">
        <f>'дод 3 '!P117</f>
        <v>0</v>
      </c>
      <c r="P78" s="283"/>
      <c r="Q78" s="284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3 '!E118</f>
        <v>0</v>
      </c>
      <c r="E79" s="67">
        <f>'дод 3 '!F118</f>
        <v>0</v>
      </c>
      <c r="F79" s="67">
        <f>'дод 3 '!G118</f>
        <v>0</v>
      </c>
      <c r="G79" s="67">
        <f>'дод 3 '!H118</f>
        <v>0</v>
      </c>
      <c r="H79" s="67">
        <f>'дод 3 '!I118</f>
        <v>0</v>
      </c>
      <c r="I79" s="67">
        <f>'дод 3 '!J118</f>
        <v>0</v>
      </c>
      <c r="J79" s="67">
        <f>'дод 3 '!K118</f>
        <v>0</v>
      </c>
      <c r="K79" s="67">
        <f>'дод 3 '!L118</f>
        <v>0</v>
      </c>
      <c r="L79" s="67">
        <f>'дод 3 '!M118</f>
        <v>0</v>
      </c>
      <c r="M79" s="67">
        <f>'дод 3 '!N118</f>
        <v>0</v>
      </c>
      <c r="N79" s="67">
        <f>'дод 3 '!O118</f>
        <v>0</v>
      </c>
      <c r="O79" s="67">
        <f>'дод 3 '!P118</f>
        <v>0</v>
      </c>
      <c r="P79" s="283"/>
      <c r="Q79" s="284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3 '!E119</f>
        <v>1822724</v>
      </c>
      <c r="E80" s="66">
        <f>'дод 3 '!F119</f>
        <v>1822724</v>
      </c>
      <c r="F80" s="66">
        <f>'дод 3 '!G119</f>
        <v>1494036</v>
      </c>
      <c r="G80" s="66">
        <f>'дод 3 '!H119</f>
        <v>0</v>
      </c>
      <c r="H80" s="66">
        <f>'дод 3 '!I119</f>
        <v>0</v>
      </c>
      <c r="I80" s="66">
        <f>'дод 3 '!J119</f>
        <v>0</v>
      </c>
      <c r="J80" s="66">
        <f>'дод 3 '!K119</f>
        <v>0</v>
      </c>
      <c r="K80" s="66">
        <f>'дод 3 '!L119</f>
        <v>0</v>
      </c>
      <c r="L80" s="66">
        <f>'дод 3 '!M119</f>
        <v>0</v>
      </c>
      <c r="M80" s="66">
        <f>'дод 3 '!N119</f>
        <v>0</v>
      </c>
      <c r="N80" s="66">
        <f>'дод 3 '!O119</f>
        <v>0</v>
      </c>
      <c r="O80" s="66">
        <f>'дод 3 '!P119</f>
        <v>1822724</v>
      </c>
      <c r="P80" s="283"/>
      <c r="Q80" s="284"/>
    </row>
    <row r="81" spans="1:17" s="28" customFormat="1" ht="65.25" customHeight="1" x14ac:dyDescent="0.25">
      <c r="A81" s="30"/>
      <c r="B81" s="30"/>
      <c r="C81" s="46" t="s">
        <v>378</v>
      </c>
      <c r="D81" s="67">
        <f>'дод 3 '!E120</f>
        <v>1822724</v>
      </c>
      <c r="E81" s="67">
        <f>'дод 3 '!F120</f>
        <v>1822724</v>
      </c>
      <c r="F81" s="67">
        <f>'дод 3 '!G120</f>
        <v>1494036</v>
      </c>
      <c r="G81" s="67">
        <f>'дод 3 '!H120</f>
        <v>0</v>
      </c>
      <c r="H81" s="67">
        <f>'дод 3 '!I120</f>
        <v>0</v>
      </c>
      <c r="I81" s="67">
        <f>'дод 3 '!J120</f>
        <v>0</v>
      </c>
      <c r="J81" s="67">
        <f>'дод 3 '!K120</f>
        <v>0</v>
      </c>
      <c r="K81" s="67">
        <f>'дод 3 '!L120</f>
        <v>0</v>
      </c>
      <c r="L81" s="67">
        <f>'дод 3 '!M120</f>
        <v>0</v>
      </c>
      <c r="M81" s="67">
        <f>'дод 3 '!N120</f>
        <v>0</v>
      </c>
      <c r="N81" s="67">
        <f>'дод 3 '!O120</f>
        <v>0</v>
      </c>
      <c r="O81" s="67">
        <f>'дод 3 '!P120</f>
        <v>1822724</v>
      </c>
      <c r="P81" s="283"/>
      <c r="Q81" s="284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3 '!E121</f>
        <v>208630.37</v>
      </c>
      <c r="E82" s="66">
        <f>'дод 3 '!F121</f>
        <v>208630.37</v>
      </c>
      <c r="F82" s="66">
        <f>'дод 3 '!G121</f>
        <v>171010</v>
      </c>
      <c r="G82" s="66">
        <f>'дод 3 '!H121</f>
        <v>0</v>
      </c>
      <c r="H82" s="66">
        <f>'дод 3 '!I121</f>
        <v>0</v>
      </c>
      <c r="I82" s="66">
        <f>'дод 3 '!J121</f>
        <v>0</v>
      </c>
      <c r="J82" s="66">
        <f>'дод 3 '!K121</f>
        <v>0</v>
      </c>
      <c r="K82" s="66">
        <f>'дод 3 '!L121</f>
        <v>0</v>
      </c>
      <c r="L82" s="66">
        <f>'дод 3 '!M121</f>
        <v>0</v>
      </c>
      <c r="M82" s="66">
        <f>'дод 3 '!N121</f>
        <v>0</v>
      </c>
      <c r="N82" s="66">
        <f>'дод 3 '!O121</f>
        <v>0</v>
      </c>
      <c r="O82" s="66">
        <f>'дод 3 '!P121</f>
        <v>208630.37</v>
      </c>
      <c r="P82" s="283"/>
      <c r="Q82" s="284"/>
    </row>
    <row r="83" spans="1:17" s="28" customFormat="1" ht="63" customHeight="1" x14ac:dyDescent="0.25">
      <c r="A83" s="30"/>
      <c r="B83" s="30"/>
      <c r="C83" s="46" t="s">
        <v>491</v>
      </c>
      <c r="D83" s="67">
        <f>'дод 3 '!E122</f>
        <v>208630.37</v>
      </c>
      <c r="E83" s="67">
        <f>'дод 3 '!F122</f>
        <v>208630.37</v>
      </c>
      <c r="F83" s="67">
        <f>'дод 3 '!G122</f>
        <v>171010</v>
      </c>
      <c r="G83" s="67">
        <f>'дод 3 '!H122</f>
        <v>0</v>
      </c>
      <c r="H83" s="67">
        <f>'дод 3 '!I122</f>
        <v>0</v>
      </c>
      <c r="I83" s="67">
        <f>'дод 3 '!J122</f>
        <v>0</v>
      </c>
      <c r="J83" s="67">
        <f>'дод 3 '!K122</f>
        <v>0</v>
      </c>
      <c r="K83" s="67">
        <f>'дод 3 '!L122</f>
        <v>0</v>
      </c>
      <c r="L83" s="67">
        <f>'дод 3 '!M122</f>
        <v>0</v>
      </c>
      <c r="M83" s="67">
        <f>'дод 3 '!N122</f>
        <v>0</v>
      </c>
      <c r="N83" s="67">
        <f>'дод 3 '!O122</f>
        <v>0</v>
      </c>
      <c r="O83" s="67">
        <f>'дод 3 '!P122</f>
        <v>208630.37</v>
      </c>
      <c r="P83" s="283"/>
      <c r="Q83" s="284"/>
    </row>
    <row r="84" spans="1:17" s="28" customFormat="1" ht="63" customHeight="1" x14ac:dyDescent="0.25">
      <c r="A84" s="30" t="s">
        <v>706</v>
      </c>
      <c r="B84" s="30" t="s">
        <v>57</v>
      </c>
      <c r="C84" s="18" t="s">
        <v>701</v>
      </c>
      <c r="D84" s="67">
        <f>'дод 3 '!E124+'дод 3 '!E339</f>
        <v>0</v>
      </c>
      <c r="E84" s="67">
        <f>'дод 3 '!F124+'дод 3 '!F339</f>
        <v>0</v>
      </c>
      <c r="F84" s="67">
        <f>'дод 3 '!G124+'дод 3 '!G339</f>
        <v>0</v>
      </c>
      <c r="G84" s="67">
        <f>'дод 3 '!H124+'дод 3 '!H339</f>
        <v>0</v>
      </c>
      <c r="H84" s="67">
        <f>'дод 3 '!I124+'дод 3 '!I339</f>
        <v>0</v>
      </c>
      <c r="I84" s="66">
        <f>'дод 3 '!J124+'дод 3 '!J339</f>
        <v>12642560</v>
      </c>
      <c r="J84" s="66">
        <f>'дод 3 '!K124+'дод 3 '!K339</f>
        <v>12642560</v>
      </c>
      <c r="K84" s="66">
        <f>'дод 3 '!L124+'дод 3 '!L339</f>
        <v>0</v>
      </c>
      <c r="L84" s="66">
        <f>'дод 3 '!M124+'дод 3 '!M339</f>
        <v>0</v>
      </c>
      <c r="M84" s="66">
        <f>'дод 3 '!N124+'дод 3 '!N339</f>
        <v>0</v>
      </c>
      <c r="N84" s="66">
        <f>'дод 3 '!O124+'дод 3 '!O339</f>
        <v>12642560</v>
      </c>
      <c r="O84" s="66">
        <f>'дод 3 '!P124+'дод 3 '!P339</f>
        <v>12642560</v>
      </c>
      <c r="P84" s="283"/>
      <c r="Q84" s="284"/>
    </row>
    <row r="85" spans="1:17" s="28" customFormat="1" ht="48" customHeight="1" x14ac:dyDescent="0.25">
      <c r="A85" s="30" t="s">
        <v>707</v>
      </c>
      <c r="B85" s="30" t="s">
        <v>57</v>
      </c>
      <c r="C85" s="209" t="s">
        <v>704</v>
      </c>
      <c r="D85" s="67">
        <f>'дод 3 '!E125+'дод 3 '!E340</f>
        <v>0</v>
      </c>
      <c r="E85" s="67">
        <f>'дод 3 '!F125+'дод 3 '!F340</f>
        <v>0</v>
      </c>
      <c r="F85" s="67">
        <f>'дод 3 '!G125+'дод 3 '!G340</f>
        <v>0</v>
      </c>
      <c r="G85" s="67">
        <f>'дод 3 '!H125+'дод 3 '!H340</f>
        <v>0</v>
      </c>
      <c r="H85" s="67">
        <f>'дод 3 '!I125+'дод 3 '!I340</f>
        <v>0</v>
      </c>
      <c r="I85" s="66">
        <f>'дод 3 '!J125+'дод 3 '!J340</f>
        <v>28975500</v>
      </c>
      <c r="J85" s="66">
        <f>'дод 3 '!K125+'дод 3 '!K340</f>
        <v>28975500</v>
      </c>
      <c r="K85" s="66">
        <f>'дод 3 '!L125+'дод 3 '!L340</f>
        <v>0</v>
      </c>
      <c r="L85" s="66">
        <f>'дод 3 '!M125+'дод 3 '!M340</f>
        <v>0</v>
      </c>
      <c r="M85" s="66">
        <f>'дод 3 '!N125+'дод 3 '!N340</f>
        <v>0</v>
      </c>
      <c r="N85" s="66">
        <f>'дод 3 '!O125+'дод 3 '!O340</f>
        <v>28975500</v>
      </c>
      <c r="O85" s="66">
        <f>'дод 3 '!P125+'дод 3 '!P340</f>
        <v>28975500</v>
      </c>
      <c r="P85" s="283"/>
      <c r="Q85" s="284"/>
    </row>
    <row r="86" spans="1:17" s="28" customFormat="1" ht="63" customHeight="1" x14ac:dyDescent="0.25">
      <c r="A86" s="30"/>
      <c r="B86" s="30"/>
      <c r="C86" s="46" t="s">
        <v>705</v>
      </c>
      <c r="D86" s="67">
        <f>'дод 3 '!E126+'дод 3 '!E341</f>
        <v>0</v>
      </c>
      <c r="E86" s="67">
        <f>'дод 3 '!F126+'дод 3 '!F341</f>
        <v>0</v>
      </c>
      <c r="F86" s="67">
        <f>'дод 3 '!G126+'дод 3 '!G341</f>
        <v>0</v>
      </c>
      <c r="G86" s="67">
        <f>'дод 3 '!H126+'дод 3 '!H341</f>
        <v>0</v>
      </c>
      <c r="H86" s="67">
        <f>'дод 3 '!I126+'дод 3 '!I341</f>
        <v>0</v>
      </c>
      <c r="I86" s="67">
        <f>'дод 3 '!J126+'дод 3 '!J341</f>
        <v>28975500</v>
      </c>
      <c r="J86" s="67">
        <f>'дод 3 '!K126+'дод 3 '!K341</f>
        <v>28975500</v>
      </c>
      <c r="K86" s="67">
        <f>'дод 3 '!L126+'дод 3 '!L341</f>
        <v>0</v>
      </c>
      <c r="L86" s="67">
        <f>'дод 3 '!M126+'дод 3 '!M341</f>
        <v>0</v>
      </c>
      <c r="M86" s="67">
        <f>'дод 3 '!N126+'дод 3 '!N341</f>
        <v>0</v>
      </c>
      <c r="N86" s="67">
        <f>'дод 3 '!O126+'дод 3 '!O341</f>
        <v>28975500</v>
      </c>
      <c r="O86" s="67">
        <f>'дод 3 '!P126+'дод 3 '!P341</f>
        <v>28975500</v>
      </c>
      <c r="P86" s="283"/>
      <c r="Q86" s="284"/>
    </row>
    <row r="87" spans="1:17" s="28" customFormat="1" ht="47.25" customHeight="1" x14ac:dyDescent="0.25">
      <c r="A87" s="30" t="s">
        <v>730</v>
      </c>
      <c r="B87" s="30" t="s">
        <v>57</v>
      </c>
      <c r="C87" s="18" t="s">
        <v>732</v>
      </c>
      <c r="D87" s="66">
        <f>'дод 3 '!E127</f>
        <v>823899</v>
      </c>
      <c r="E87" s="66">
        <f>'дод 3 '!F127</f>
        <v>823899</v>
      </c>
      <c r="F87" s="66">
        <f>'дод 3 '!G127</f>
        <v>0</v>
      </c>
      <c r="G87" s="66">
        <f>'дод 3 '!H127</f>
        <v>0</v>
      </c>
      <c r="H87" s="66">
        <f>'дод 3 '!I127</f>
        <v>0</v>
      </c>
      <c r="I87" s="66">
        <f>'дод 3 '!J127</f>
        <v>235714</v>
      </c>
      <c r="J87" s="66">
        <f>'дод 3 '!K127</f>
        <v>235714</v>
      </c>
      <c r="K87" s="66">
        <f>'дод 3 '!L127</f>
        <v>0</v>
      </c>
      <c r="L87" s="66">
        <f>'дод 3 '!M127</f>
        <v>0</v>
      </c>
      <c r="M87" s="66">
        <f>'дод 3 '!N127</f>
        <v>0</v>
      </c>
      <c r="N87" s="66">
        <f>'дод 3 '!O127</f>
        <v>235714</v>
      </c>
      <c r="O87" s="66">
        <f>'дод 3 '!P127</f>
        <v>1059613</v>
      </c>
      <c r="P87" s="283"/>
      <c r="Q87" s="284"/>
    </row>
    <row r="88" spans="1:17" s="28" customFormat="1" ht="48.75" customHeight="1" x14ac:dyDescent="0.25">
      <c r="A88" s="30" t="s">
        <v>731</v>
      </c>
      <c r="B88" s="30" t="s">
        <v>57</v>
      </c>
      <c r="C88" s="18" t="s">
        <v>735</v>
      </c>
      <c r="D88" s="67">
        <f>'дод 3 '!E128</f>
        <v>0</v>
      </c>
      <c r="E88" s="67">
        <f>'дод 3 '!F128</f>
        <v>0</v>
      </c>
      <c r="F88" s="66">
        <f>'дод 3 '!G128</f>
        <v>0</v>
      </c>
      <c r="G88" s="66">
        <f>'дод 3 '!H128</f>
        <v>0</v>
      </c>
      <c r="H88" s="66">
        <f>'дод 3 '!I128</f>
        <v>0</v>
      </c>
      <c r="I88" s="66">
        <f>'дод 3 '!J128</f>
        <v>2797912</v>
      </c>
      <c r="J88" s="66">
        <f>'дод 3 '!K128</f>
        <v>0</v>
      </c>
      <c r="K88" s="66">
        <f>'дод 3 '!L128</f>
        <v>1922428</v>
      </c>
      <c r="L88" s="66">
        <f>'дод 3 '!M128</f>
        <v>0</v>
      </c>
      <c r="M88" s="66">
        <f>'дод 3 '!N128</f>
        <v>0</v>
      </c>
      <c r="N88" s="66">
        <f>'дод 3 '!O128</f>
        <v>875484</v>
      </c>
      <c r="O88" s="66">
        <f>'дод 3 '!P128</f>
        <v>2797912</v>
      </c>
      <c r="P88" s="283"/>
      <c r="Q88" s="284"/>
    </row>
    <row r="89" spans="1:17" s="28" customFormat="1" ht="48.75" customHeight="1" x14ac:dyDescent="0.25">
      <c r="A89" s="30"/>
      <c r="B89" s="30"/>
      <c r="C89" s="46" t="s">
        <v>379</v>
      </c>
      <c r="D89" s="67">
        <f>'дод 3 '!E129</f>
        <v>0</v>
      </c>
      <c r="E89" s="67">
        <f>'дод 3 '!F129</f>
        <v>0</v>
      </c>
      <c r="F89" s="67">
        <f>'дод 3 '!G129</f>
        <v>0</v>
      </c>
      <c r="G89" s="67">
        <f>'дод 3 '!H129</f>
        <v>0</v>
      </c>
      <c r="H89" s="67">
        <f>'дод 3 '!I129</f>
        <v>0</v>
      </c>
      <c r="I89" s="67">
        <f>'дод 3 '!J129</f>
        <v>2797912</v>
      </c>
      <c r="J89" s="67">
        <f>'дод 3 '!K129</f>
        <v>0</v>
      </c>
      <c r="K89" s="67">
        <f>'дод 3 '!L129</f>
        <v>1922428</v>
      </c>
      <c r="L89" s="67">
        <f>'дод 3 '!M129</f>
        <v>0</v>
      </c>
      <c r="M89" s="67">
        <f>'дод 3 '!N129</f>
        <v>0</v>
      </c>
      <c r="N89" s="67">
        <f>'дод 3 '!O129</f>
        <v>875484</v>
      </c>
      <c r="O89" s="67">
        <f>'дод 3 '!P129</f>
        <v>2797912</v>
      </c>
      <c r="P89" s="283"/>
      <c r="Q89" s="284"/>
    </row>
    <row r="90" spans="1:17" s="26" customFormat="1" ht="19.5" customHeight="1" x14ac:dyDescent="0.25">
      <c r="A90" s="20" t="s">
        <v>58</v>
      </c>
      <c r="B90" s="21"/>
      <c r="C90" s="9" t="s">
        <v>663</v>
      </c>
      <c r="D90" s="25">
        <f>D97+D103+D106+D108+D110+D113+D114+D101+D105</f>
        <v>112586156</v>
      </c>
      <c r="E90" s="25">
        <f t="shared" ref="E90:O90" si="15">E97+E103+E106+E108+E110+E113+E114+E101+E105</f>
        <v>112586156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358767437</v>
      </c>
      <c r="P90" s="283"/>
      <c r="Q90" s="284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3"/>
      <c r="Q91" s="284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3"/>
      <c r="Q92" s="284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3"/>
      <c r="Q93" s="284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34600</v>
      </c>
      <c r="E94" s="68">
        <f t="shared" ref="E94:O94" si="19">E100</f>
        <v>34600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34600</v>
      </c>
      <c r="P94" s="283"/>
      <c r="Q94" s="284"/>
    </row>
    <row r="95" spans="1:17" s="27" customFormat="1" ht="15.75" hidden="1" customHeight="1" x14ac:dyDescent="0.25">
      <c r="A95" s="32"/>
      <c r="B95" s="35"/>
      <c r="C95" s="72" t="str">
        <f>'дод 3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3"/>
      <c r="Q95" s="284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3"/>
      <c r="Q96" s="284"/>
    </row>
    <row r="97" spans="1:17" ht="33" customHeight="1" x14ac:dyDescent="0.25">
      <c r="A97" s="19" t="s">
        <v>59</v>
      </c>
      <c r="B97" s="19" t="s">
        <v>60</v>
      </c>
      <c r="C97" s="6" t="s">
        <v>560</v>
      </c>
      <c r="D97" s="66">
        <f>'дод 3 '!E163+'дод 3 '!E337</f>
        <v>63484190</v>
      </c>
      <c r="E97" s="66">
        <f>'дод 3 '!F163+'дод 3 '!F337</f>
        <v>63484190</v>
      </c>
      <c r="F97" s="66">
        <f>'дод 3 '!G163+'дод 3 '!G337</f>
        <v>0</v>
      </c>
      <c r="G97" s="66">
        <f>'дод 3 '!H163+'дод 3 '!H337</f>
        <v>0</v>
      </c>
      <c r="H97" s="66">
        <f>'дод 3 '!I163+'дод 3 '!I337</f>
        <v>0</v>
      </c>
      <c r="I97" s="66">
        <f>'дод 3 '!J163+'дод 3 '!J337</f>
        <v>125693391</v>
      </c>
      <c r="J97" s="66">
        <f>'дод 3 '!K163+'дод 3 '!K337</f>
        <v>125693391</v>
      </c>
      <c r="K97" s="66">
        <f>'дод 3 '!L163+'дод 3 '!L337</f>
        <v>0</v>
      </c>
      <c r="L97" s="66">
        <f>'дод 3 '!M163+'дод 3 '!M337</f>
        <v>0</v>
      </c>
      <c r="M97" s="66">
        <f>'дод 3 '!N163+'дод 3 '!N337</f>
        <v>0</v>
      </c>
      <c r="N97" s="66">
        <f>'дод 3 '!O163+'дод 3 '!O337</f>
        <v>125693391</v>
      </c>
      <c r="O97" s="66">
        <f>'дод 3 '!P163+'дод 3 '!P337</f>
        <v>189177581</v>
      </c>
      <c r="P97" s="283"/>
      <c r="Q97" s="284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3 '!E164</f>
        <v>0</v>
      </c>
      <c r="E98" s="67">
        <f>'дод 3 '!F164</f>
        <v>0</v>
      </c>
      <c r="F98" s="67">
        <f>'дод 3 '!G164</f>
        <v>0</v>
      </c>
      <c r="G98" s="67">
        <f>'дод 3 '!H164</f>
        <v>0</v>
      </c>
      <c r="H98" s="67">
        <f>'дод 3 '!I164</f>
        <v>0</v>
      </c>
      <c r="I98" s="67">
        <f>'дод 3 '!J164</f>
        <v>0</v>
      </c>
      <c r="J98" s="67">
        <f>'дод 3 '!K164</f>
        <v>0</v>
      </c>
      <c r="K98" s="67">
        <f>'дод 3 '!L164</f>
        <v>0</v>
      </c>
      <c r="L98" s="67">
        <f>'дод 3 '!M164</f>
        <v>0</v>
      </c>
      <c r="M98" s="67">
        <f>'дод 3 '!N164</f>
        <v>0</v>
      </c>
      <c r="N98" s="67">
        <f>'дод 3 '!O164</f>
        <v>0</v>
      </c>
      <c r="O98" s="67">
        <f>'дод 3 '!P164</f>
        <v>0</v>
      </c>
      <c r="P98" s="283"/>
      <c r="Q98" s="284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3 '!E165</f>
        <v>0</v>
      </c>
      <c r="E99" s="67">
        <f>'дод 3 '!F165</f>
        <v>0</v>
      </c>
      <c r="F99" s="67">
        <f>'дод 3 '!G165</f>
        <v>0</v>
      </c>
      <c r="G99" s="67">
        <f>'дод 3 '!H165</f>
        <v>0</v>
      </c>
      <c r="H99" s="67">
        <f>'дод 3 '!I165</f>
        <v>0</v>
      </c>
      <c r="I99" s="67">
        <f>'дод 3 '!J165</f>
        <v>0</v>
      </c>
      <c r="J99" s="67">
        <f>'дод 3 '!K165</f>
        <v>0</v>
      </c>
      <c r="K99" s="67">
        <f>'дод 3 '!L165</f>
        <v>0</v>
      </c>
      <c r="L99" s="67">
        <f>'дод 3 '!M165</f>
        <v>0</v>
      </c>
      <c r="M99" s="67">
        <f>'дод 3 '!N165</f>
        <v>0</v>
      </c>
      <c r="N99" s="67">
        <f>'дод 3 '!O165</f>
        <v>0</v>
      </c>
      <c r="O99" s="67">
        <f>'дод 3 '!P165</f>
        <v>0</v>
      </c>
      <c r="P99" s="283"/>
      <c r="Q99" s="284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3 '!E166+'дод 3 '!E169</f>
        <v>34600</v>
      </c>
      <c r="E100" s="67">
        <f>'дод 3 '!F166+'дод 3 '!F169</f>
        <v>34600</v>
      </c>
      <c r="F100" s="67">
        <f>'дод 3 '!G166+'дод 3 '!G169</f>
        <v>0</v>
      </c>
      <c r="G100" s="67">
        <f>'дод 3 '!H166+'дод 3 '!H169</f>
        <v>0</v>
      </c>
      <c r="H100" s="67">
        <f>'дод 3 '!I166+'дод 3 '!I169</f>
        <v>0</v>
      </c>
      <c r="I100" s="67">
        <f>'дод 3 '!J166+'дод 3 '!J169</f>
        <v>0</v>
      </c>
      <c r="J100" s="67">
        <f>'дод 3 '!K166+'дод 3 '!K169</f>
        <v>0</v>
      </c>
      <c r="K100" s="67">
        <f>'дод 3 '!L166+'дод 3 '!L169</f>
        <v>0</v>
      </c>
      <c r="L100" s="67">
        <f>'дод 3 '!M166+'дод 3 '!M169</f>
        <v>0</v>
      </c>
      <c r="M100" s="67">
        <f>'дод 3 '!N166+'дод 3 '!N169</f>
        <v>0</v>
      </c>
      <c r="N100" s="67">
        <f>'дод 3 '!O166+'дод 3 '!O169</f>
        <v>0</v>
      </c>
      <c r="O100" s="67">
        <f>'дод 3 '!P166+'дод 3 '!P169</f>
        <v>34600</v>
      </c>
      <c r="P100" s="283"/>
      <c r="Q100" s="284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3 '!E168</f>
        <v>0</v>
      </c>
      <c r="E101" s="66">
        <f>'дод 3 '!F168</f>
        <v>0</v>
      </c>
      <c r="F101" s="66">
        <f>'дод 3 '!G168</f>
        <v>0</v>
      </c>
      <c r="G101" s="66">
        <f>'дод 3 '!H168</f>
        <v>0</v>
      </c>
      <c r="H101" s="66">
        <f>'дод 3 '!I168</f>
        <v>0</v>
      </c>
      <c r="I101" s="66">
        <f>'дод 3 '!J168</f>
        <v>0</v>
      </c>
      <c r="J101" s="66">
        <f>'дод 3 '!K168</f>
        <v>0</v>
      </c>
      <c r="K101" s="66">
        <f>'дод 3 '!L168</f>
        <v>0</v>
      </c>
      <c r="L101" s="66">
        <f>'дод 3 '!M168</f>
        <v>0</v>
      </c>
      <c r="M101" s="66">
        <f>'дод 3 '!N168</f>
        <v>0</v>
      </c>
      <c r="N101" s="66">
        <f>'дод 3 '!O168</f>
        <v>0</v>
      </c>
      <c r="O101" s="66">
        <f>'дод 3 '!P168</f>
        <v>0</v>
      </c>
      <c r="P101" s="283"/>
      <c r="Q101" s="284"/>
    </row>
    <row r="102" spans="1:17" s="28" customFormat="1" ht="96.75" hidden="1" customHeight="1" x14ac:dyDescent="0.25">
      <c r="A102" s="38"/>
      <c r="B102" s="48"/>
      <c r="C102" s="73" t="str">
        <f>'дод 3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3 '!E167</f>
        <v>0</v>
      </c>
      <c r="E102" s="67">
        <f>'дод 3 '!F167</f>
        <v>0</v>
      </c>
      <c r="F102" s="67">
        <f>'дод 3 '!G167</f>
        <v>0</v>
      </c>
      <c r="G102" s="67">
        <f>'дод 3 '!H167</f>
        <v>0</v>
      </c>
      <c r="H102" s="67">
        <f>'дод 3 '!I167</f>
        <v>0</v>
      </c>
      <c r="I102" s="67">
        <f>'дод 3 '!J167</f>
        <v>0</v>
      </c>
      <c r="J102" s="67">
        <f>'дод 3 '!K167</f>
        <v>0</v>
      </c>
      <c r="K102" s="67">
        <f>'дод 3 '!L167</f>
        <v>0</v>
      </c>
      <c r="L102" s="67">
        <f>'дод 3 '!M167</f>
        <v>0</v>
      </c>
      <c r="M102" s="67">
        <f>'дод 3 '!N167</f>
        <v>0</v>
      </c>
      <c r="N102" s="67">
        <f>'дод 3 '!O167</f>
        <v>0</v>
      </c>
      <c r="O102" s="67">
        <f>'дод 3 '!P167</f>
        <v>0</v>
      </c>
      <c r="P102" s="283"/>
      <c r="Q102" s="284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3 '!E170</f>
        <v>4512700</v>
      </c>
      <c r="E103" s="66">
        <f>'дод 3 '!F170</f>
        <v>4512700</v>
      </c>
      <c r="F103" s="66">
        <f>'дод 3 '!G170</f>
        <v>0</v>
      </c>
      <c r="G103" s="66">
        <f>'дод 3 '!H170</f>
        <v>0</v>
      </c>
      <c r="H103" s="66">
        <f>'дод 3 '!I170</f>
        <v>0</v>
      </c>
      <c r="I103" s="66">
        <f>'дод 3 '!J170</f>
        <v>0</v>
      </c>
      <c r="J103" s="66">
        <f>'дод 3 '!K170</f>
        <v>0</v>
      </c>
      <c r="K103" s="66">
        <f>'дод 3 '!L170</f>
        <v>0</v>
      </c>
      <c r="L103" s="66">
        <f>'дод 3 '!M170</f>
        <v>0</v>
      </c>
      <c r="M103" s="66">
        <f>'дод 3 '!N170</f>
        <v>0</v>
      </c>
      <c r="N103" s="66">
        <f>'дод 3 '!O170</f>
        <v>0</v>
      </c>
      <c r="O103" s="66">
        <f>'дод 3 '!P170</f>
        <v>4512700</v>
      </c>
      <c r="P103" s="283"/>
      <c r="Q103" s="284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3 '!E171</f>
        <v>0</v>
      </c>
      <c r="E104" s="67">
        <f>'дод 3 '!F171</f>
        <v>0</v>
      </c>
      <c r="F104" s="67">
        <f>'дод 3 '!G171</f>
        <v>0</v>
      </c>
      <c r="G104" s="67">
        <f>'дод 3 '!H171</f>
        <v>0</v>
      </c>
      <c r="H104" s="67">
        <f>'дод 3 '!I171</f>
        <v>0</v>
      </c>
      <c r="I104" s="67">
        <f>'дод 3 '!J171</f>
        <v>0</v>
      </c>
      <c r="J104" s="67">
        <f>'дод 3 '!K171</f>
        <v>0</v>
      </c>
      <c r="K104" s="67">
        <f>'дод 3 '!L171</f>
        <v>0</v>
      </c>
      <c r="L104" s="67">
        <f>'дод 3 '!M171</f>
        <v>0</v>
      </c>
      <c r="M104" s="67">
        <f>'дод 3 '!N171</f>
        <v>0</v>
      </c>
      <c r="N104" s="67">
        <f>'дод 3 '!O171</f>
        <v>0</v>
      </c>
      <c r="O104" s="67">
        <f>'дод 3 '!P171</f>
        <v>0</v>
      </c>
      <c r="P104" s="283"/>
      <c r="Q104" s="284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3 '!E172</f>
        <v>0</v>
      </c>
      <c r="E105" s="66">
        <f>'дод 3 '!F172</f>
        <v>0</v>
      </c>
      <c r="F105" s="66">
        <f>'дод 3 '!G172</f>
        <v>0</v>
      </c>
      <c r="G105" s="66">
        <f>'дод 3 '!H172</f>
        <v>0</v>
      </c>
      <c r="H105" s="66">
        <f>'дод 3 '!I172</f>
        <v>0</v>
      </c>
      <c r="I105" s="66">
        <f>'дод 3 '!J172</f>
        <v>0</v>
      </c>
      <c r="J105" s="66">
        <f>'дод 3 '!K172</f>
        <v>0</v>
      </c>
      <c r="K105" s="66">
        <f>'дод 3 '!L172</f>
        <v>0</v>
      </c>
      <c r="L105" s="66">
        <f>'дод 3 '!M172</f>
        <v>0</v>
      </c>
      <c r="M105" s="66">
        <f>'дод 3 '!N172</f>
        <v>0</v>
      </c>
      <c r="N105" s="66">
        <f>'дод 3 '!O172</f>
        <v>0</v>
      </c>
      <c r="O105" s="66">
        <f>'дод 3 '!P172</f>
        <v>0</v>
      </c>
      <c r="P105" s="283"/>
      <c r="Q105" s="284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3 '!E173</f>
        <v>12666900</v>
      </c>
      <c r="E106" s="66">
        <f>'дод 3 '!F173</f>
        <v>12666900</v>
      </c>
      <c r="F106" s="66">
        <f>'дод 3 '!G173</f>
        <v>0</v>
      </c>
      <c r="G106" s="66">
        <f>'дод 3 '!H173</f>
        <v>0</v>
      </c>
      <c r="H106" s="66">
        <f>'дод 3 '!I173</f>
        <v>0</v>
      </c>
      <c r="I106" s="66">
        <f>'дод 3 '!J173</f>
        <v>200000</v>
      </c>
      <c r="J106" s="66">
        <f>'дод 3 '!K173</f>
        <v>200000</v>
      </c>
      <c r="K106" s="66">
        <f>'дод 3 '!L173</f>
        <v>0</v>
      </c>
      <c r="L106" s="66">
        <f>'дод 3 '!M173</f>
        <v>0</v>
      </c>
      <c r="M106" s="66">
        <f>'дод 3 '!N173</f>
        <v>0</v>
      </c>
      <c r="N106" s="66">
        <f>'дод 3 '!O173</f>
        <v>200000</v>
      </c>
      <c r="O106" s="66">
        <f>'дод 3 '!P173</f>
        <v>12866900</v>
      </c>
      <c r="P106" s="283"/>
      <c r="Q106" s="284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3 '!E174</f>
        <v>0</v>
      </c>
      <c r="E107" s="67">
        <f>'дод 3 '!F174</f>
        <v>0</v>
      </c>
      <c r="F107" s="67">
        <f>'дод 3 '!G174</f>
        <v>0</v>
      </c>
      <c r="G107" s="67">
        <f>'дод 3 '!H174</f>
        <v>0</v>
      </c>
      <c r="H107" s="67">
        <f>'дод 3 '!I174</f>
        <v>0</v>
      </c>
      <c r="I107" s="67">
        <f>'дод 3 '!J174</f>
        <v>0</v>
      </c>
      <c r="J107" s="67">
        <f>'дод 3 '!K174</f>
        <v>0</v>
      </c>
      <c r="K107" s="67">
        <f>'дод 3 '!L174</f>
        <v>0</v>
      </c>
      <c r="L107" s="67">
        <f>'дод 3 '!M174</f>
        <v>0</v>
      </c>
      <c r="M107" s="67">
        <f>'дод 3 '!N174</f>
        <v>0</v>
      </c>
      <c r="N107" s="67">
        <f>'дод 3 '!O174</f>
        <v>0</v>
      </c>
      <c r="O107" s="67">
        <f>'дод 3 '!P174</f>
        <v>0</v>
      </c>
      <c r="P107" s="283"/>
      <c r="Q107" s="284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3 '!E175</f>
        <v>4777400</v>
      </c>
      <c r="E108" s="66">
        <f>'дод 3 '!F175</f>
        <v>4777400</v>
      </c>
      <c r="F108" s="66">
        <f>'дод 3 '!G175</f>
        <v>0</v>
      </c>
      <c r="G108" s="66">
        <f>'дод 3 '!H175</f>
        <v>0</v>
      </c>
      <c r="H108" s="66">
        <f>'дод 3 '!I175</f>
        <v>0</v>
      </c>
      <c r="I108" s="66">
        <f>'дод 3 '!J175</f>
        <v>8841300</v>
      </c>
      <c r="J108" s="66">
        <f>'дод 3 '!K175</f>
        <v>8841300</v>
      </c>
      <c r="K108" s="66">
        <f>'дод 3 '!L175</f>
        <v>0</v>
      </c>
      <c r="L108" s="66">
        <f>'дод 3 '!M175</f>
        <v>0</v>
      </c>
      <c r="M108" s="66">
        <f>'дод 3 '!N175</f>
        <v>0</v>
      </c>
      <c r="N108" s="66">
        <f>'дод 3 '!O175</f>
        <v>8841300</v>
      </c>
      <c r="O108" s="66">
        <f>'дод 3 '!P175</f>
        <v>13618700</v>
      </c>
      <c r="P108" s="283"/>
      <c r="Q108" s="284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3 '!E176</f>
        <v>0</v>
      </c>
      <c r="E109" s="67">
        <f>'дод 3 '!F176</f>
        <v>0</v>
      </c>
      <c r="F109" s="67">
        <f>'дод 3 '!G176</f>
        <v>0</v>
      </c>
      <c r="G109" s="67">
        <f>'дод 3 '!H176</f>
        <v>0</v>
      </c>
      <c r="H109" s="67">
        <f>'дод 3 '!I176</f>
        <v>0</v>
      </c>
      <c r="I109" s="67">
        <f>'дод 3 '!J176</f>
        <v>0</v>
      </c>
      <c r="J109" s="67">
        <f>'дод 3 '!K176</f>
        <v>0</v>
      </c>
      <c r="K109" s="67">
        <f>'дод 3 '!L176</f>
        <v>0</v>
      </c>
      <c r="L109" s="67">
        <f>'дод 3 '!M176</f>
        <v>0</v>
      </c>
      <c r="M109" s="67">
        <f>'дод 3 '!N176</f>
        <v>0</v>
      </c>
      <c r="N109" s="67">
        <f>'дод 3 '!O176</f>
        <v>0</v>
      </c>
      <c r="O109" s="67">
        <f>'дод 3 '!P176</f>
        <v>0</v>
      </c>
      <c r="P109" s="283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3 '!E177</f>
        <v>0</v>
      </c>
      <c r="E110" s="66">
        <f>'дод 3 '!F177</f>
        <v>0</v>
      </c>
      <c r="F110" s="66">
        <f>'дод 3 '!G177</f>
        <v>0</v>
      </c>
      <c r="G110" s="66">
        <f>'дод 3 '!H177</f>
        <v>0</v>
      </c>
      <c r="H110" s="66">
        <f>'дод 3 '!I177</f>
        <v>0</v>
      </c>
      <c r="I110" s="66">
        <f>'дод 3 '!J177</f>
        <v>0</v>
      </c>
      <c r="J110" s="66">
        <f>'дод 3 '!K177</f>
        <v>0</v>
      </c>
      <c r="K110" s="66">
        <f>'дод 3 '!L177</f>
        <v>0</v>
      </c>
      <c r="L110" s="66">
        <f>'дод 3 '!M177</f>
        <v>0</v>
      </c>
      <c r="M110" s="66">
        <f>'дод 3 '!N177</f>
        <v>0</v>
      </c>
      <c r="N110" s="66">
        <f>'дод 3 '!O177</f>
        <v>0</v>
      </c>
      <c r="O110" s="66">
        <f>'дод 3 '!P177</f>
        <v>0</v>
      </c>
      <c r="P110" s="283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3 '!E178</f>
        <v>0</v>
      </c>
      <c r="E111" s="67">
        <f>'дод 3 '!F178</f>
        <v>0</v>
      </c>
      <c r="F111" s="67">
        <f>'дод 3 '!G178</f>
        <v>0</v>
      </c>
      <c r="G111" s="67">
        <f>'дод 3 '!H178</f>
        <v>0</v>
      </c>
      <c r="H111" s="67">
        <f>'дод 3 '!I178</f>
        <v>0</v>
      </c>
      <c r="I111" s="67">
        <f>'дод 3 '!J178</f>
        <v>0</v>
      </c>
      <c r="J111" s="67">
        <f>'дод 3 '!K178</f>
        <v>0</v>
      </c>
      <c r="K111" s="67">
        <f>'дод 3 '!L178</f>
        <v>0</v>
      </c>
      <c r="L111" s="67">
        <f>'дод 3 '!M178</f>
        <v>0</v>
      </c>
      <c r="M111" s="67">
        <f>'дод 3 '!N178</f>
        <v>0</v>
      </c>
      <c r="N111" s="67">
        <f>'дод 3 '!O178</f>
        <v>0</v>
      </c>
      <c r="O111" s="67">
        <f>'дод 3 '!P178</f>
        <v>0</v>
      </c>
      <c r="P111" s="283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3 '!E179</f>
        <v>0</v>
      </c>
      <c r="E112" s="67">
        <f>'дод 3 '!F179</f>
        <v>0</v>
      </c>
      <c r="F112" s="67">
        <f>'дод 3 '!G179</f>
        <v>0</v>
      </c>
      <c r="G112" s="67">
        <f>'дод 3 '!H179</f>
        <v>0</v>
      </c>
      <c r="H112" s="67">
        <f>'дод 3 '!I179</f>
        <v>0</v>
      </c>
      <c r="I112" s="67">
        <f>'дод 3 '!J179</f>
        <v>0</v>
      </c>
      <c r="J112" s="67">
        <f>'дод 3 '!K179</f>
        <v>0</v>
      </c>
      <c r="K112" s="67">
        <f>'дод 3 '!L179</f>
        <v>0</v>
      </c>
      <c r="L112" s="67">
        <f>'дод 3 '!M179</f>
        <v>0</v>
      </c>
      <c r="M112" s="67">
        <f>'дод 3 '!N179</f>
        <v>0</v>
      </c>
      <c r="N112" s="67">
        <f>'дод 3 '!O179</f>
        <v>0</v>
      </c>
      <c r="O112" s="67">
        <f>'дод 3 '!P179</f>
        <v>0</v>
      </c>
      <c r="P112" s="283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3 '!E180</f>
        <v>3789166</v>
      </c>
      <c r="E113" s="66">
        <f>'дод 3 '!F180</f>
        <v>3789166</v>
      </c>
      <c r="F113" s="66">
        <f>'дод 3 '!G180</f>
        <v>2621900</v>
      </c>
      <c r="G113" s="66">
        <f>'дод 3 '!H180</f>
        <v>115800</v>
      </c>
      <c r="H113" s="66">
        <f>'дод 3 '!I180</f>
        <v>0</v>
      </c>
      <c r="I113" s="66">
        <f>'дод 3 '!J180</f>
        <v>0</v>
      </c>
      <c r="J113" s="66">
        <f>'дод 3 '!K180</f>
        <v>0</v>
      </c>
      <c r="K113" s="66">
        <f>'дод 3 '!L180</f>
        <v>0</v>
      </c>
      <c r="L113" s="66">
        <f>'дод 3 '!M180</f>
        <v>0</v>
      </c>
      <c r="M113" s="66">
        <f>'дод 3 '!N180</f>
        <v>0</v>
      </c>
      <c r="N113" s="66">
        <f>'дод 3 '!O180</f>
        <v>0</v>
      </c>
      <c r="O113" s="66">
        <f>'дод 3 '!P180</f>
        <v>3789166</v>
      </c>
      <c r="P113" s="283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3 '!E181</f>
        <v>23355800</v>
      </c>
      <c r="E114" s="66">
        <f>'дод 3 '!F181</f>
        <v>23355800</v>
      </c>
      <c r="F114" s="66">
        <f>'дод 3 '!G181</f>
        <v>0</v>
      </c>
      <c r="G114" s="66">
        <f>'дод 3 '!H181</f>
        <v>0</v>
      </c>
      <c r="H114" s="66">
        <f>'дод 3 '!I181</f>
        <v>0</v>
      </c>
      <c r="I114" s="66">
        <f>'дод 3 '!J181</f>
        <v>111446590</v>
      </c>
      <c r="J114" s="66">
        <f>'дод 3 '!K181</f>
        <v>111446590</v>
      </c>
      <c r="K114" s="66">
        <f>'дод 3 '!L181</f>
        <v>0</v>
      </c>
      <c r="L114" s="66">
        <f>'дод 3 '!M181</f>
        <v>0</v>
      </c>
      <c r="M114" s="66">
        <f>'дод 3 '!N181</f>
        <v>0</v>
      </c>
      <c r="N114" s="66">
        <f>'дод 3 '!O181</f>
        <v>111446590</v>
      </c>
      <c r="O114" s="66">
        <f>'дод 3 '!P181</f>
        <v>134802390</v>
      </c>
      <c r="P114" s="283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407335266.51999998</v>
      </c>
      <c r="E115" s="25">
        <f>E120+E121+E122+E124+E125+E126+E128+E130+E131+E132+E133+E134+E136+E137+E138+E140+E142+E143+E144+E145+E146+E147+E149+E153+E154+E135</f>
        <v>407335266.51999998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2422400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31375564.32</v>
      </c>
      <c r="J115" s="25">
        <f t="shared" ref="J115:O115" si="21">J120+J121+J122+J124+J125+J126+J128+J130+J131+J132+J133+J134+J136+J137+J138+J140+J142+J143+J144+J145+J146+J147+J149+J153+J154+J135+J151</f>
        <v>31269364.32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31269364.32</v>
      </c>
      <c r="O115" s="25">
        <f t="shared" si="21"/>
        <v>438710830.83999997</v>
      </c>
      <c r="P115" s="283"/>
    </row>
    <row r="116" spans="1:16" s="27" customFormat="1" ht="262.5" customHeight="1" x14ac:dyDescent="0.25">
      <c r="A116" s="32"/>
      <c r="B116" s="33"/>
      <c r="C116" s="36" t="s">
        <v>716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11681442.220000001</v>
      </c>
      <c r="J116" s="68">
        <f t="shared" si="22"/>
        <v>11681442.220000001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11681442.220000001</v>
      </c>
      <c r="O116" s="68">
        <f t="shared" si="22"/>
        <v>11681442.220000001</v>
      </c>
      <c r="P116" s="283"/>
    </row>
    <row r="117" spans="1:16" s="27" customFormat="1" ht="258" customHeight="1" x14ac:dyDescent="0.25">
      <c r="A117" s="32"/>
      <c r="B117" s="33"/>
      <c r="C117" s="208" t="s">
        <v>718</v>
      </c>
      <c r="D117" s="68">
        <f>'дод 3 '!E195</f>
        <v>0</v>
      </c>
      <c r="E117" s="68">
        <f>'дод 3 '!F195</f>
        <v>0</v>
      </c>
      <c r="F117" s="68">
        <f>'дод 3 '!G195</f>
        <v>0</v>
      </c>
      <c r="G117" s="68">
        <f>'дод 3 '!H195</f>
        <v>0</v>
      </c>
      <c r="H117" s="68">
        <f>'дод 3 '!I195</f>
        <v>0</v>
      </c>
      <c r="I117" s="68">
        <f>'дод 3 '!J195</f>
        <v>10238203.67</v>
      </c>
      <c r="J117" s="68">
        <f>'дод 3 '!K195</f>
        <v>10238203.67</v>
      </c>
      <c r="K117" s="68">
        <f>'дод 3 '!L195</f>
        <v>0</v>
      </c>
      <c r="L117" s="68">
        <f>'дод 3 '!M195</f>
        <v>0</v>
      </c>
      <c r="M117" s="68">
        <f>'дод 3 '!N195</f>
        <v>0</v>
      </c>
      <c r="N117" s="68">
        <f>'дод 3 '!O195</f>
        <v>10238203.67</v>
      </c>
      <c r="O117" s="68">
        <f>'дод 3 '!P195</f>
        <v>10238203.67</v>
      </c>
      <c r="P117" s="283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3"/>
    </row>
    <row r="119" spans="1:16" s="27" customFormat="1" ht="186" customHeight="1" x14ac:dyDescent="0.25">
      <c r="A119" s="32"/>
      <c r="B119" s="33"/>
      <c r="C119" s="37" t="s">
        <v>717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8499718.4299999997</v>
      </c>
      <c r="J119" s="68">
        <f t="shared" ref="J119:O119" si="25">J152</f>
        <v>8499718.4299999997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8499718.4299999997</v>
      </c>
      <c r="O119" s="68">
        <f t="shared" si="25"/>
        <v>8499718.4299999997</v>
      </c>
      <c r="P119" s="283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3 '!E200</f>
        <v>466000</v>
      </c>
      <c r="E120" s="66">
        <f>'дод 3 '!F200</f>
        <v>466000</v>
      </c>
      <c r="F120" s="66">
        <f>'дод 3 '!G200</f>
        <v>0</v>
      </c>
      <c r="G120" s="66">
        <f>'дод 3 '!H200</f>
        <v>0</v>
      </c>
      <c r="H120" s="66">
        <f>'дод 3 '!I200</f>
        <v>0</v>
      </c>
      <c r="I120" s="66">
        <f>'дод 3 '!J200</f>
        <v>0</v>
      </c>
      <c r="J120" s="66">
        <f>'дод 3 '!K200</f>
        <v>0</v>
      </c>
      <c r="K120" s="66">
        <f>'дод 3 '!L200</f>
        <v>0</v>
      </c>
      <c r="L120" s="66">
        <f>'дод 3 '!M200</f>
        <v>0</v>
      </c>
      <c r="M120" s="66">
        <f>'дод 3 '!N200</f>
        <v>0</v>
      </c>
      <c r="N120" s="66">
        <f>'дод 3 '!O200</f>
        <v>0</v>
      </c>
      <c r="O120" s="66">
        <f>'дод 3 '!P200</f>
        <v>466000</v>
      </c>
      <c r="P120" s="283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3 '!E201</f>
        <v>781600</v>
      </c>
      <c r="E121" s="66">
        <f>'дод 3 '!F201</f>
        <v>781600</v>
      </c>
      <c r="F121" s="66">
        <f>'дод 3 '!G201</f>
        <v>0</v>
      </c>
      <c r="G121" s="66">
        <f>'дод 3 '!H201</f>
        <v>0</v>
      </c>
      <c r="H121" s="66">
        <f>'дод 3 '!I201</f>
        <v>0</v>
      </c>
      <c r="I121" s="66">
        <f>'дод 3 '!J201</f>
        <v>0</v>
      </c>
      <c r="J121" s="66">
        <f>'дод 3 '!K201</f>
        <v>0</v>
      </c>
      <c r="K121" s="66">
        <f>'дод 3 '!L201</f>
        <v>0</v>
      </c>
      <c r="L121" s="66">
        <f>'дод 3 '!M201</f>
        <v>0</v>
      </c>
      <c r="M121" s="66">
        <f>'дод 3 '!N201</f>
        <v>0</v>
      </c>
      <c r="N121" s="66">
        <f>'дод 3 '!O201</f>
        <v>0</v>
      </c>
      <c r="O121" s="66">
        <f>'дод 3 '!P201</f>
        <v>781600</v>
      </c>
      <c r="P121" s="283"/>
    </row>
    <row r="122" spans="1:16" ht="31.5" x14ac:dyDescent="0.25">
      <c r="A122" s="19" t="s">
        <v>98</v>
      </c>
      <c r="B122" s="19" t="s">
        <v>53</v>
      </c>
      <c r="C122" s="3" t="s">
        <v>693</v>
      </c>
      <c r="D122" s="66">
        <f>'дод 3 '!E202+'дод 3 '!E22</f>
        <v>21076299.52</v>
      </c>
      <c r="E122" s="66">
        <f>'дод 3 '!F202+'дод 3 '!F22</f>
        <v>21076299.52</v>
      </c>
      <c r="F122" s="66">
        <f>'дод 3 '!G202+'дод 3 '!G22</f>
        <v>0</v>
      </c>
      <c r="G122" s="66">
        <f>'дод 3 '!H202+'дод 3 '!H22</f>
        <v>0</v>
      </c>
      <c r="H122" s="66">
        <f>'дод 3 '!I202+'дод 3 '!I22</f>
        <v>0</v>
      </c>
      <c r="I122" s="66">
        <f>'дод 3 '!J202+'дод 3 '!J22</f>
        <v>0</v>
      </c>
      <c r="J122" s="66">
        <f>'дод 3 '!K202+'дод 3 '!K22</f>
        <v>0</v>
      </c>
      <c r="K122" s="66">
        <f>'дод 3 '!L202+'дод 3 '!L22</f>
        <v>0</v>
      </c>
      <c r="L122" s="66">
        <f>'дод 3 '!M202+'дод 3 '!M22</f>
        <v>0</v>
      </c>
      <c r="M122" s="66">
        <f>'дод 3 '!N202+'дод 3 '!N22</f>
        <v>0</v>
      </c>
      <c r="N122" s="66">
        <f>'дод 3 '!O202+'дод 3 '!O22</f>
        <v>0</v>
      </c>
      <c r="O122" s="66">
        <f>'дод 3 '!P202+'дод 3 '!P22</f>
        <v>21076299.52</v>
      </c>
      <c r="P122" s="283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3 '!E203</f>
        <v>2254499.52</v>
      </c>
      <c r="E123" s="67">
        <f>'дод 3 '!F203</f>
        <v>2254499.52</v>
      </c>
      <c r="F123" s="67">
        <f>'дод 3 '!G203</f>
        <v>0</v>
      </c>
      <c r="G123" s="67">
        <f>'дод 3 '!H203</f>
        <v>0</v>
      </c>
      <c r="H123" s="67">
        <f>'дод 3 '!I203</f>
        <v>0</v>
      </c>
      <c r="I123" s="67">
        <f>'дод 3 '!J203</f>
        <v>0</v>
      </c>
      <c r="J123" s="67">
        <f>'дод 3 '!K203</f>
        <v>0</v>
      </c>
      <c r="K123" s="67">
        <f>'дод 3 '!L203</f>
        <v>0</v>
      </c>
      <c r="L123" s="67">
        <f>'дод 3 '!M203</f>
        <v>0</v>
      </c>
      <c r="M123" s="67">
        <f>'дод 3 '!N203</f>
        <v>0</v>
      </c>
      <c r="N123" s="67">
        <f>'дод 3 '!O203</f>
        <v>0</v>
      </c>
      <c r="O123" s="67">
        <f>'дод 3 '!P203</f>
        <v>2254499.52</v>
      </c>
      <c r="P123" s="283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3 '!E204</f>
        <v>2106000</v>
      </c>
      <c r="E124" s="66">
        <f>'дод 3 '!F204</f>
        <v>2106000</v>
      </c>
      <c r="F124" s="66">
        <f>'дод 3 '!G204</f>
        <v>0</v>
      </c>
      <c r="G124" s="66">
        <f>'дод 3 '!H204</f>
        <v>0</v>
      </c>
      <c r="H124" s="66">
        <f>'дод 3 '!I204</f>
        <v>0</v>
      </c>
      <c r="I124" s="66">
        <f>'дод 3 '!J204</f>
        <v>0</v>
      </c>
      <c r="J124" s="66">
        <f>'дод 3 '!K204</f>
        <v>0</v>
      </c>
      <c r="K124" s="66">
        <f>'дод 3 '!L204</f>
        <v>0</v>
      </c>
      <c r="L124" s="66">
        <f>'дод 3 '!M204</f>
        <v>0</v>
      </c>
      <c r="M124" s="66">
        <f>'дод 3 '!N204</f>
        <v>0</v>
      </c>
      <c r="N124" s="66">
        <f>'дод 3 '!O204</f>
        <v>0</v>
      </c>
      <c r="O124" s="66">
        <f>'дод 3 '!P204</f>
        <v>2106000</v>
      </c>
      <c r="P124" s="283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3 '!E205+'дод 3 '!E23</f>
        <v>42889200</v>
      </c>
      <c r="E125" s="66">
        <f>'дод 3 '!F205+'дод 3 '!F23</f>
        <v>42889200</v>
      </c>
      <c r="F125" s="66">
        <f>'дод 3 '!G205+'дод 3 '!G23</f>
        <v>0</v>
      </c>
      <c r="G125" s="66">
        <f>'дод 3 '!H205+'дод 3 '!H23</f>
        <v>0</v>
      </c>
      <c r="H125" s="66">
        <f>'дод 3 '!I205+'дод 3 '!I23</f>
        <v>0</v>
      </c>
      <c r="I125" s="66">
        <f>'дод 3 '!J205+'дод 3 '!J23</f>
        <v>0</v>
      </c>
      <c r="J125" s="66">
        <f>'дод 3 '!K205+'дод 3 '!K23</f>
        <v>0</v>
      </c>
      <c r="K125" s="66">
        <f>'дод 3 '!L205+'дод 3 '!L23</f>
        <v>0</v>
      </c>
      <c r="L125" s="66">
        <f>'дод 3 '!M205+'дод 3 '!M23</f>
        <v>0</v>
      </c>
      <c r="M125" s="66">
        <f>'дод 3 '!N205+'дод 3 '!N23</f>
        <v>0</v>
      </c>
      <c r="N125" s="66">
        <f>'дод 3 '!O205+'дод 3 '!O23</f>
        <v>0</v>
      </c>
      <c r="O125" s="66">
        <f>'дод 3 '!P205+'дод 3 '!P23</f>
        <v>42889200</v>
      </c>
      <c r="P125" s="283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3 '!E206</f>
        <v>745100</v>
      </c>
      <c r="E126" s="66">
        <f>'дод 3 '!F206</f>
        <v>745100</v>
      </c>
      <c r="F126" s="66">
        <f>'дод 3 '!G206</f>
        <v>0</v>
      </c>
      <c r="G126" s="66">
        <f>'дод 3 '!H206</f>
        <v>0</v>
      </c>
      <c r="H126" s="66">
        <f>'дод 3 '!I206</f>
        <v>0</v>
      </c>
      <c r="I126" s="66">
        <f>'дод 3 '!J206</f>
        <v>0</v>
      </c>
      <c r="J126" s="66">
        <f>'дод 3 '!K206</f>
        <v>0</v>
      </c>
      <c r="K126" s="66">
        <f>'дод 3 '!L206</f>
        <v>0</v>
      </c>
      <c r="L126" s="66">
        <f>'дод 3 '!M206</f>
        <v>0</v>
      </c>
      <c r="M126" s="66">
        <f>'дод 3 '!N206</f>
        <v>0</v>
      </c>
      <c r="N126" s="66">
        <f>'дод 3 '!O206</f>
        <v>0</v>
      </c>
      <c r="O126" s="66">
        <f>'дод 3 '!P206</f>
        <v>745100</v>
      </c>
      <c r="P126" s="283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3 '!E207</f>
        <v>745100</v>
      </c>
      <c r="E127" s="67">
        <f>'дод 3 '!F207</f>
        <v>745100</v>
      </c>
      <c r="F127" s="67">
        <f>'дод 3 '!G207</f>
        <v>0</v>
      </c>
      <c r="G127" s="67">
        <f>'дод 3 '!H207</f>
        <v>0</v>
      </c>
      <c r="H127" s="67">
        <f>'дод 3 '!I207</f>
        <v>0</v>
      </c>
      <c r="I127" s="67">
        <f>'дод 3 '!J207</f>
        <v>0</v>
      </c>
      <c r="J127" s="67">
        <f>'дод 3 '!K207</f>
        <v>0</v>
      </c>
      <c r="K127" s="67">
        <f>'дод 3 '!L207</f>
        <v>0</v>
      </c>
      <c r="L127" s="67">
        <f>'дод 3 '!M207</f>
        <v>0</v>
      </c>
      <c r="M127" s="67">
        <f>'дод 3 '!N207</f>
        <v>0</v>
      </c>
      <c r="N127" s="67">
        <f>'дод 3 '!O207</f>
        <v>0</v>
      </c>
      <c r="O127" s="67">
        <f>'дод 3 '!P207</f>
        <v>745100</v>
      </c>
      <c r="P127" s="283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3 '!E208</f>
        <v>274000</v>
      </c>
      <c r="E128" s="66">
        <f>'дод 3 '!F208</f>
        <v>274000</v>
      </c>
      <c r="F128" s="66">
        <f>'дод 3 '!G208</f>
        <v>0</v>
      </c>
      <c r="G128" s="66">
        <f>'дод 3 '!H208</f>
        <v>0</v>
      </c>
      <c r="H128" s="66">
        <f>'дод 3 '!I208</f>
        <v>0</v>
      </c>
      <c r="I128" s="66">
        <f>'дод 3 '!J208</f>
        <v>0</v>
      </c>
      <c r="J128" s="66">
        <f>'дод 3 '!K208</f>
        <v>0</v>
      </c>
      <c r="K128" s="66">
        <f>'дод 3 '!L208</f>
        <v>0</v>
      </c>
      <c r="L128" s="66">
        <f>'дод 3 '!M208</f>
        <v>0</v>
      </c>
      <c r="M128" s="66">
        <f>'дод 3 '!N208</f>
        <v>0</v>
      </c>
      <c r="N128" s="66">
        <f>'дод 3 '!O208</f>
        <v>0</v>
      </c>
      <c r="O128" s="66">
        <f>'дод 3 '!P208</f>
        <v>274000</v>
      </c>
      <c r="P128" s="283"/>
    </row>
    <row r="129" spans="1:16" s="28" customFormat="1" x14ac:dyDescent="0.25">
      <c r="A129" s="38"/>
      <c r="B129" s="38"/>
      <c r="C129" s="39" t="s">
        <v>388</v>
      </c>
      <c r="D129" s="67">
        <f>'дод 3 '!E209</f>
        <v>274000</v>
      </c>
      <c r="E129" s="67">
        <f>'дод 3 '!F209</f>
        <v>274000</v>
      </c>
      <c r="F129" s="67">
        <f>'дод 3 '!G209</f>
        <v>0</v>
      </c>
      <c r="G129" s="67">
        <f>'дод 3 '!H209</f>
        <v>0</v>
      </c>
      <c r="H129" s="67">
        <f>'дод 3 '!I209</f>
        <v>0</v>
      </c>
      <c r="I129" s="67">
        <f>'дод 3 '!J209</f>
        <v>0</v>
      </c>
      <c r="J129" s="67">
        <f>'дод 3 '!K209</f>
        <v>0</v>
      </c>
      <c r="K129" s="67">
        <f>'дод 3 '!L209</f>
        <v>0</v>
      </c>
      <c r="L129" s="67">
        <f>'дод 3 '!M209</f>
        <v>0</v>
      </c>
      <c r="M129" s="67">
        <f>'дод 3 '!N209</f>
        <v>0</v>
      </c>
      <c r="N129" s="67">
        <f>'дод 3 '!O209</f>
        <v>0</v>
      </c>
      <c r="O129" s="67">
        <f>'дод 3 '!P209</f>
        <v>274000</v>
      </c>
      <c r="P129" s="283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3 '!E210</f>
        <v>21326997</v>
      </c>
      <c r="E130" s="66">
        <f>'дод 3 '!F210</f>
        <v>21326997</v>
      </c>
      <c r="F130" s="66">
        <f>'дод 3 '!G210</f>
        <v>15793700</v>
      </c>
      <c r="G130" s="66">
        <f>'дод 3 '!H210</f>
        <v>763200</v>
      </c>
      <c r="H130" s="66">
        <f>'дод 3 '!I210</f>
        <v>0</v>
      </c>
      <c r="I130" s="66">
        <f>'дод 3 '!J210</f>
        <v>596200</v>
      </c>
      <c r="J130" s="66">
        <f>'дод 3 '!K210</f>
        <v>500000</v>
      </c>
      <c r="K130" s="66">
        <f>'дод 3 '!L210</f>
        <v>96200</v>
      </c>
      <c r="L130" s="66">
        <f>'дод 3 '!M210</f>
        <v>78600</v>
      </c>
      <c r="M130" s="66">
        <f>'дод 3 '!N210</f>
        <v>0</v>
      </c>
      <c r="N130" s="66">
        <f>'дод 3 '!O210</f>
        <v>500000</v>
      </c>
      <c r="O130" s="66">
        <f>'дод 3 '!P210</f>
        <v>21923197</v>
      </c>
      <c r="P130" s="283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3 '!E240)</f>
        <v>105000</v>
      </c>
      <c r="E131" s="66">
        <f>SUM('дод 3 '!F240)</f>
        <v>105000</v>
      </c>
      <c r="F131" s="66">
        <f>SUM('дод 3 '!G240)</f>
        <v>0</v>
      </c>
      <c r="G131" s="66">
        <f>SUM('дод 3 '!H240)</f>
        <v>0</v>
      </c>
      <c r="H131" s="66">
        <f>SUM('дод 3 '!I240)</f>
        <v>0</v>
      </c>
      <c r="I131" s="66">
        <f>SUM('дод 3 '!J240)</f>
        <v>0</v>
      </c>
      <c r="J131" s="66">
        <f>SUM('дод 3 '!K240)</f>
        <v>0</v>
      </c>
      <c r="K131" s="66">
        <f>SUM('дод 3 '!L240)</f>
        <v>0</v>
      </c>
      <c r="L131" s="66">
        <f>SUM('дод 3 '!M240)</f>
        <v>0</v>
      </c>
      <c r="M131" s="66">
        <f>SUM('дод 3 '!N240)</f>
        <v>0</v>
      </c>
      <c r="N131" s="66">
        <f>SUM('дод 3 '!O240)</f>
        <v>0</v>
      </c>
      <c r="O131" s="66">
        <f>SUM('дод 3 '!P240)</f>
        <v>105000</v>
      </c>
      <c r="P131" s="283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3 '!E241</f>
        <v>151823</v>
      </c>
      <c r="E132" s="66">
        <f>'дод 3 '!F241</f>
        <v>151823</v>
      </c>
      <c r="F132" s="66">
        <f>'дод 3 '!G241</f>
        <v>0</v>
      </c>
      <c r="G132" s="66">
        <f>'дод 3 '!H241</f>
        <v>0</v>
      </c>
      <c r="H132" s="66">
        <f>'дод 3 '!I241</f>
        <v>0</v>
      </c>
      <c r="I132" s="66">
        <f>'дод 3 '!J241</f>
        <v>0</v>
      </c>
      <c r="J132" s="66">
        <f>'дод 3 '!K241</f>
        <v>0</v>
      </c>
      <c r="K132" s="66">
        <f>'дод 3 '!L241</f>
        <v>0</v>
      </c>
      <c r="L132" s="66">
        <f>'дод 3 '!M241</f>
        <v>0</v>
      </c>
      <c r="M132" s="66">
        <f>'дод 3 '!N241</f>
        <v>0</v>
      </c>
      <c r="N132" s="66">
        <f>'дод 3 '!O241</f>
        <v>0</v>
      </c>
      <c r="O132" s="66">
        <f>'дод 3 '!P241</f>
        <v>151823</v>
      </c>
      <c r="P132" s="283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3 '!E24</f>
        <v>3596500</v>
      </c>
      <c r="E133" s="66">
        <f>'дод 3 '!F24</f>
        <v>3596500</v>
      </c>
      <c r="F133" s="66">
        <f>'дод 3 '!G24</f>
        <v>2642600</v>
      </c>
      <c r="G133" s="66">
        <f>'дод 3 '!H24</f>
        <v>85300</v>
      </c>
      <c r="H133" s="66">
        <f>'дод 3 '!I24</f>
        <v>0</v>
      </c>
      <c r="I133" s="66">
        <f>'дод 3 '!J24</f>
        <v>350000</v>
      </c>
      <c r="J133" s="66">
        <f>'дод 3 '!K24</f>
        <v>350000</v>
      </c>
      <c r="K133" s="66">
        <f>'дод 3 '!L24</f>
        <v>0</v>
      </c>
      <c r="L133" s="66">
        <f>'дод 3 '!M24</f>
        <v>0</v>
      </c>
      <c r="M133" s="66">
        <f>'дод 3 '!N24</f>
        <v>0</v>
      </c>
      <c r="N133" s="66">
        <f>'дод 3 '!O24</f>
        <v>350000</v>
      </c>
      <c r="O133" s="66">
        <f>'дод 3 '!P24</f>
        <v>3946500</v>
      </c>
      <c r="P133" s="283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3 '!E25</f>
        <v>860000</v>
      </c>
      <c r="E134" s="66">
        <f>'дод 3 '!F25</f>
        <v>860000</v>
      </c>
      <c r="F134" s="66">
        <f>'дод 3 '!G25</f>
        <v>0</v>
      </c>
      <c r="G134" s="66">
        <f>'дод 3 '!H25</f>
        <v>0</v>
      </c>
      <c r="H134" s="66">
        <f>'дод 3 '!I25</f>
        <v>0</v>
      </c>
      <c r="I134" s="66">
        <f>'дод 3 '!J25</f>
        <v>0</v>
      </c>
      <c r="J134" s="66">
        <f>'дод 3 '!K25</f>
        <v>0</v>
      </c>
      <c r="K134" s="66">
        <f>'дод 3 '!L25</f>
        <v>0</v>
      </c>
      <c r="L134" s="66">
        <f>'дод 3 '!M25</f>
        <v>0</v>
      </c>
      <c r="M134" s="66">
        <f>'дод 3 '!N25</f>
        <v>0</v>
      </c>
      <c r="N134" s="66">
        <f>'дод 3 '!O25</f>
        <v>0</v>
      </c>
      <c r="O134" s="66">
        <f>'дод 3 '!P25</f>
        <v>860000</v>
      </c>
      <c r="P134" s="283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3 '!E26</f>
        <v>5510100</v>
      </c>
      <c r="E135" s="66">
        <f>'дод 3 '!F26</f>
        <v>5510100</v>
      </c>
      <c r="F135" s="66">
        <f>'дод 3 '!G26</f>
        <v>3000900</v>
      </c>
      <c r="G135" s="66">
        <f>'дод 3 '!H26</f>
        <v>955000</v>
      </c>
      <c r="H135" s="66">
        <f>'дод 3 '!I26</f>
        <v>0</v>
      </c>
      <c r="I135" s="66">
        <f>'дод 3 '!J26</f>
        <v>10000</v>
      </c>
      <c r="J135" s="66">
        <f>'дод 3 '!K26</f>
        <v>0</v>
      </c>
      <c r="K135" s="66">
        <f>'дод 3 '!L26</f>
        <v>10000</v>
      </c>
      <c r="L135" s="66">
        <f>'дод 3 '!M26</f>
        <v>0</v>
      </c>
      <c r="M135" s="66">
        <f>'дод 3 '!N26</f>
        <v>3330</v>
      </c>
      <c r="N135" s="66">
        <f>'дод 3 '!O26</f>
        <v>0</v>
      </c>
      <c r="O135" s="66">
        <f>'дод 3 '!P26</f>
        <v>5520100</v>
      </c>
      <c r="P135" s="283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3 '!E27+'дод 3 '!E123+'дод 3 '!E211</f>
        <v>0</v>
      </c>
      <c r="E136" s="66">
        <f>'дод 3 '!F27+'дод 3 '!F123+'дод 3 '!F211</f>
        <v>0</v>
      </c>
      <c r="F136" s="66">
        <f>'дод 3 '!G27+'дод 3 '!G123+'дод 3 '!G211</f>
        <v>0</v>
      </c>
      <c r="G136" s="66">
        <f>'дод 3 '!H27+'дод 3 '!H123+'дод 3 '!H211</f>
        <v>0</v>
      </c>
      <c r="H136" s="66">
        <f>'дод 3 '!I27+'дод 3 '!I123+'дод 3 '!I211</f>
        <v>0</v>
      </c>
      <c r="I136" s="66">
        <f>'дод 3 '!J27+'дод 3 '!J123+'дод 3 '!J211</f>
        <v>0</v>
      </c>
      <c r="J136" s="66">
        <f>'дод 3 '!K27+'дод 3 '!K123+'дод 3 '!K211</f>
        <v>0</v>
      </c>
      <c r="K136" s="66">
        <f>'дод 3 '!L27+'дод 3 '!L123+'дод 3 '!L211</f>
        <v>0</v>
      </c>
      <c r="L136" s="66">
        <f>'дод 3 '!M27+'дод 3 '!M123+'дод 3 '!M211</f>
        <v>0</v>
      </c>
      <c r="M136" s="66">
        <f>'дод 3 '!N27+'дод 3 '!N123+'дод 3 '!N211</f>
        <v>0</v>
      </c>
      <c r="N136" s="66">
        <f>'дод 3 '!O27+'дод 3 '!O123+'дод 3 '!O211</f>
        <v>0</v>
      </c>
      <c r="O136" s="66">
        <f>'дод 3 '!P27+'дод 3 '!P123+'дод 3 '!P211</f>
        <v>0</v>
      </c>
      <c r="P136" s="283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3 '!E212</f>
        <v>14132600</v>
      </c>
      <c r="E137" s="66">
        <f>'дод 3 '!F212</f>
        <v>14132600</v>
      </c>
      <c r="F137" s="66">
        <f>'дод 3 '!G212</f>
        <v>0</v>
      </c>
      <c r="G137" s="66">
        <f>'дод 3 '!H212</f>
        <v>0</v>
      </c>
      <c r="H137" s="66">
        <f>'дод 3 '!I212</f>
        <v>0</v>
      </c>
      <c r="I137" s="66">
        <f>'дод 3 '!J212</f>
        <v>0</v>
      </c>
      <c r="J137" s="66">
        <f>'дод 3 '!K212</f>
        <v>0</v>
      </c>
      <c r="K137" s="66">
        <f>'дод 3 '!L212</f>
        <v>0</v>
      </c>
      <c r="L137" s="66">
        <f>'дод 3 '!M212</f>
        <v>0</v>
      </c>
      <c r="M137" s="66">
        <f>'дод 3 '!N212</f>
        <v>0</v>
      </c>
      <c r="N137" s="66">
        <f>'дод 3 '!O212</f>
        <v>0</v>
      </c>
      <c r="O137" s="66">
        <f>'дод 3 '!P212</f>
        <v>14132600</v>
      </c>
      <c r="P137" s="283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3 '!E213</f>
        <v>194543</v>
      </c>
      <c r="E138" s="66">
        <f>'дод 3 '!F213</f>
        <v>194543</v>
      </c>
      <c r="F138" s="66">
        <f>'дод 3 '!G213</f>
        <v>0</v>
      </c>
      <c r="G138" s="66">
        <f>'дод 3 '!H213</f>
        <v>0</v>
      </c>
      <c r="H138" s="66">
        <f>'дод 3 '!I213</f>
        <v>0</v>
      </c>
      <c r="I138" s="66">
        <f>'дод 3 '!J213</f>
        <v>0</v>
      </c>
      <c r="J138" s="66">
        <f>'дод 3 '!K213</f>
        <v>0</v>
      </c>
      <c r="K138" s="66">
        <f>'дод 3 '!L213</f>
        <v>0</v>
      </c>
      <c r="L138" s="66">
        <f>'дод 3 '!M213</f>
        <v>0</v>
      </c>
      <c r="M138" s="66">
        <f>'дод 3 '!N213</f>
        <v>0</v>
      </c>
      <c r="N138" s="66">
        <f>'дод 3 '!O213</f>
        <v>0</v>
      </c>
      <c r="O138" s="66">
        <f>'дод 3 '!P213</f>
        <v>194543</v>
      </c>
      <c r="P138" s="283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3 '!E214</f>
        <v>194543</v>
      </c>
      <c r="E139" s="67">
        <f>'дод 3 '!F214</f>
        <v>194543</v>
      </c>
      <c r="F139" s="67">
        <f>'дод 3 '!G214</f>
        <v>0</v>
      </c>
      <c r="G139" s="67">
        <f>'дод 3 '!H214</f>
        <v>0</v>
      </c>
      <c r="H139" s="67">
        <f>'дод 3 '!I214</f>
        <v>0</v>
      </c>
      <c r="I139" s="67">
        <f>'дод 3 '!J214</f>
        <v>0</v>
      </c>
      <c r="J139" s="67">
        <f>'дод 3 '!K214</f>
        <v>0</v>
      </c>
      <c r="K139" s="67">
        <f>'дод 3 '!L214</f>
        <v>0</v>
      </c>
      <c r="L139" s="67">
        <f>'дод 3 '!M214</f>
        <v>0</v>
      </c>
      <c r="M139" s="67">
        <f>'дод 3 '!N214</f>
        <v>0</v>
      </c>
      <c r="N139" s="67">
        <f>'дод 3 '!O214</f>
        <v>0</v>
      </c>
      <c r="O139" s="67">
        <f>'дод 3 '!P214</f>
        <v>194543</v>
      </c>
      <c r="P139" s="283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3 '!E215</f>
        <v>0</v>
      </c>
      <c r="E140" s="66">
        <f>'дод 3 '!F215</f>
        <v>0</v>
      </c>
      <c r="F140" s="66">
        <f>'дод 3 '!G215</f>
        <v>0</v>
      </c>
      <c r="G140" s="66">
        <f>'дод 3 '!H215</f>
        <v>0</v>
      </c>
      <c r="H140" s="66">
        <f>'дод 3 '!I215</f>
        <v>0</v>
      </c>
      <c r="I140" s="66">
        <f>'дод 3 '!J215</f>
        <v>0</v>
      </c>
      <c r="J140" s="66">
        <f>'дод 3 '!K215</f>
        <v>0</v>
      </c>
      <c r="K140" s="66">
        <f>'дод 3 '!L215</f>
        <v>0</v>
      </c>
      <c r="L140" s="66">
        <f>'дод 3 '!M215</f>
        <v>0</v>
      </c>
      <c r="M140" s="66">
        <f>'дод 3 '!N215</f>
        <v>0</v>
      </c>
      <c r="N140" s="66">
        <f>'дод 3 '!O215</f>
        <v>0</v>
      </c>
      <c r="O140" s="66">
        <f>'дод 3 '!P215</f>
        <v>0</v>
      </c>
      <c r="P140" s="283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3 '!E216</f>
        <v>0</v>
      </c>
      <c r="E141" s="67">
        <f>'дод 3 '!F216</f>
        <v>0</v>
      </c>
      <c r="F141" s="67">
        <f>'дод 3 '!G216</f>
        <v>0</v>
      </c>
      <c r="G141" s="67">
        <f>'дод 3 '!H216</f>
        <v>0</v>
      </c>
      <c r="H141" s="67">
        <f>'дод 3 '!I216</f>
        <v>0</v>
      </c>
      <c r="I141" s="67">
        <f>'дод 3 '!J216</f>
        <v>0</v>
      </c>
      <c r="J141" s="67">
        <f>'дод 3 '!K216</f>
        <v>0</v>
      </c>
      <c r="K141" s="67">
        <f>'дод 3 '!L216</f>
        <v>0</v>
      </c>
      <c r="L141" s="67">
        <f>'дод 3 '!M216</f>
        <v>0</v>
      </c>
      <c r="M141" s="67">
        <f>'дод 3 '!N216</f>
        <v>0</v>
      </c>
      <c r="N141" s="67">
        <f>'дод 3 '!O216</f>
        <v>0</v>
      </c>
      <c r="O141" s="67">
        <f>'дод 3 '!P216</f>
        <v>0</v>
      </c>
      <c r="P141" s="283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3 '!E217</f>
        <v>0</v>
      </c>
      <c r="E142" s="66">
        <f>'дод 3 '!F217</f>
        <v>0</v>
      </c>
      <c r="F142" s="66">
        <f>'дод 3 '!G217</f>
        <v>0</v>
      </c>
      <c r="G142" s="66">
        <f>'дод 3 '!H217</f>
        <v>0</v>
      </c>
      <c r="H142" s="66">
        <f>'дод 3 '!I217</f>
        <v>0</v>
      </c>
      <c r="I142" s="66">
        <f>'дод 3 '!J217</f>
        <v>0</v>
      </c>
      <c r="J142" s="66">
        <f>'дод 3 '!K217</f>
        <v>0</v>
      </c>
      <c r="K142" s="66">
        <f>'дод 3 '!L217</f>
        <v>0</v>
      </c>
      <c r="L142" s="66">
        <f>'дод 3 '!M217</f>
        <v>0</v>
      </c>
      <c r="M142" s="66">
        <f>'дод 3 '!N217</f>
        <v>0</v>
      </c>
      <c r="N142" s="66">
        <f>'дод 3 '!O217</f>
        <v>0</v>
      </c>
      <c r="O142" s="66">
        <f>'дод 3 '!P217</f>
        <v>0</v>
      </c>
      <c r="P142" s="283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3 '!E218</f>
        <v>3627399</v>
      </c>
      <c r="E143" s="66">
        <f>'дод 3 '!F218</f>
        <v>3627399</v>
      </c>
      <c r="F143" s="66">
        <f>'дод 3 '!G218</f>
        <v>0</v>
      </c>
      <c r="G143" s="66">
        <f>'дод 3 '!H218</f>
        <v>0</v>
      </c>
      <c r="H143" s="66">
        <f>'дод 3 '!I218</f>
        <v>0</v>
      </c>
      <c r="I143" s="66">
        <f>'дод 3 '!J218</f>
        <v>0</v>
      </c>
      <c r="J143" s="66">
        <f>'дод 3 '!K218</f>
        <v>0</v>
      </c>
      <c r="K143" s="66">
        <f>'дод 3 '!L218</f>
        <v>0</v>
      </c>
      <c r="L143" s="66">
        <f>'дод 3 '!M218</f>
        <v>0</v>
      </c>
      <c r="M143" s="66">
        <f>'дод 3 '!N218</f>
        <v>0</v>
      </c>
      <c r="N143" s="66">
        <f>'дод 3 '!O218</f>
        <v>0</v>
      </c>
      <c r="O143" s="66">
        <f>'дод 3 '!P218</f>
        <v>3627399</v>
      </c>
      <c r="P143" s="283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3 '!E219</f>
        <v>1978130</v>
      </c>
      <c r="E144" s="66">
        <f>'дод 3 '!F219</f>
        <v>1978130</v>
      </c>
      <c r="F144" s="66">
        <f>'дод 3 '!G219</f>
        <v>0</v>
      </c>
      <c r="G144" s="66">
        <f>'дод 3 '!H219</f>
        <v>0</v>
      </c>
      <c r="H144" s="66">
        <f>'дод 3 '!I219</f>
        <v>0</v>
      </c>
      <c r="I144" s="66">
        <f>'дод 3 '!J219</f>
        <v>0</v>
      </c>
      <c r="J144" s="66">
        <f>'дод 3 '!K219</f>
        <v>0</v>
      </c>
      <c r="K144" s="66">
        <f>'дод 3 '!L219</f>
        <v>0</v>
      </c>
      <c r="L144" s="66">
        <f>'дод 3 '!M219</f>
        <v>0</v>
      </c>
      <c r="M144" s="66">
        <f>'дод 3 '!N219</f>
        <v>0</v>
      </c>
      <c r="N144" s="66">
        <f>'дод 3 '!O219</f>
        <v>0</v>
      </c>
      <c r="O144" s="66">
        <f>'дод 3 '!P219</f>
        <v>1978130</v>
      </c>
      <c r="P144" s="283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3 '!E220</f>
        <v>101900</v>
      </c>
      <c r="E145" s="66">
        <f>'дод 3 '!F220</f>
        <v>101900</v>
      </c>
      <c r="F145" s="66">
        <f>'дод 3 '!G220</f>
        <v>0</v>
      </c>
      <c r="G145" s="66">
        <f>'дод 3 '!H220</f>
        <v>0</v>
      </c>
      <c r="H145" s="66">
        <f>'дод 3 '!I220</f>
        <v>0</v>
      </c>
      <c r="I145" s="66">
        <f>'дод 3 '!J220</f>
        <v>0</v>
      </c>
      <c r="J145" s="66">
        <f>'дод 3 '!K220</f>
        <v>0</v>
      </c>
      <c r="K145" s="66">
        <f>'дод 3 '!L220</f>
        <v>0</v>
      </c>
      <c r="L145" s="66">
        <f>'дод 3 '!M220</f>
        <v>0</v>
      </c>
      <c r="M145" s="66">
        <f>'дод 3 '!N220</f>
        <v>0</v>
      </c>
      <c r="N145" s="66">
        <f>'дод 3 '!O220</f>
        <v>0</v>
      </c>
      <c r="O145" s="66">
        <f>'дод 3 '!P220</f>
        <v>101900</v>
      </c>
      <c r="P145" s="283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3 '!E221+'дод 3 '!E269</f>
        <v>0</v>
      </c>
      <c r="E146" s="66">
        <f>'дод 3 '!F221+'дод 3 '!F269</f>
        <v>0</v>
      </c>
      <c r="F146" s="66">
        <f>'дод 3 '!G221+'дод 3 '!G269</f>
        <v>0</v>
      </c>
      <c r="G146" s="66">
        <f>'дод 3 '!H221+'дод 3 '!H269</f>
        <v>0</v>
      </c>
      <c r="H146" s="66">
        <f>'дод 3 '!I221+'дод 3 '!I269</f>
        <v>0</v>
      </c>
      <c r="I146" s="66">
        <f>'дод 3 '!J221+'дод 3 '!J269</f>
        <v>0</v>
      </c>
      <c r="J146" s="66">
        <f>'дод 3 '!K221+'дод 3 '!K269</f>
        <v>0</v>
      </c>
      <c r="K146" s="66">
        <f>'дод 3 '!L221+'дод 3 '!L269</f>
        <v>0</v>
      </c>
      <c r="L146" s="66">
        <f>'дод 3 '!M221+'дод 3 '!M269</f>
        <v>0</v>
      </c>
      <c r="M146" s="66">
        <f>'дод 3 '!N221+'дод 3 '!N269</f>
        <v>0</v>
      </c>
      <c r="N146" s="66">
        <f>'дод 3 '!O221+'дод 3 '!O269</f>
        <v>0</v>
      </c>
      <c r="O146" s="66">
        <f>'дод 3 '!P221+'дод 3 '!P269</f>
        <v>0</v>
      </c>
      <c r="P146" s="283"/>
    </row>
    <row r="147" spans="1:16" ht="245.25" customHeight="1" x14ac:dyDescent="0.25">
      <c r="A147" s="19">
        <v>3221</v>
      </c>
      <c r="B147" s="29" t="s">
        <v>52</v>
      </c>
      <c r="C147" s="18" t="s">
        <v>711</v>
      </c>
      <c r="D147" s="66">
        <f>'дод 3 '!E222</f>
        <v>0</v>
      </c>
      <c r="E147" s="66">
        <f>'дод 3 '!F222</f>
        <v>0</v>
      </c>
      <c r="F147" s="206">
        <f>'дод 3 '!G222</f>
        <v>0</v>
      </c>
      <c r="G147" s="206">
        <f>'дод 3 '!H222</f>
        <v>0</v>
      </c>
      <c r="H147" s="206">
        <f>'дод 3 '!I222</f>
        <v>0</v>
      </c>
      <c r="I147" s="206">
        <f>'дод 3 '!J222</f>
        <v>11681442.220000001</v>
      </c>
      <c r="J147" s="206">
        <f>'дод 3 '!K222</f>
        <v>11681442.220000001</v>
      </c>
      <c r="K147" s="206">
        <f>'дод 3 '!L222</f>
        <v>0</v>
      </c>
      <c r="L147" s="206">
        <f>'дод 3 '!M222</f>
        <v>0</v>
      </c>
      <c r="M147" s="206">
        <f>'дод 3 '!N222</f>
        <v>0</v>
      </c>
      <c r="N147" s="206">
        <f>'дод 3 '!O222</f>
        <v>11681442.220000001</v>
      </c>
      <c r="O147" s="206">
        <f>'дод 3 '!P222</f>
        <v>11681442.220000001</v>
      </c>
      <c r="P147" s="283"/>
    </row>
    <row r="148" spans="1:16" s="28" customFormat="1" ht="252" customHeight="1" x14ac:dyDescent="0.25">
      <c r="A148" s="38"/>
      <c r="B148" s="48"/>
      <c r="C148" s="46" t="s">
        <v>716</v>
      </c>
      <c r="D148" s="67">
        <f>'дод 3 '!E223</f>
        <v>0</v>
      </c>
      <c r="E148" s="67">
        <f>'дод 3 '!F223</f>
        <v>0</v>
      </c>
      <c r="F148" s="207">
        <f>'дод 3 '!G223</f>
        <v>0</v>
      </c>
      <c r="G148" s="207">
        <f>'дод 3 '!H223</f>
        <v>0</v>
      </c>
      <c r="H148" s="207">
        <f>'дод 3 '!I223</f>
        <v>0</v>
      </c>
      <c r="I148" s="207">
        <f>'дод 3 '!J223</f>
        <v>11681442.220000001</v>
      </c>
      <c r="J148" s="207">
        <f>'дод 3 '!K223</f>
        <v>11681442.220000001</v>
      </c>
      <c r="K148" s="207">
        <f>'дод 3 '!L223</f>
        <v>0</v>
      </c>
      <c r="L148" s="207">
        <f>'дод 3 '!M223</f>
        <v>0</v>
      </c>
      <c r="M148" s="207">
        <f>'дод 3 '!N223</f>
        <v>0</v>
      </c>
      <c r="N148" s="207">
        <f>'дод 3 '!O223</f>
        <v>11681442.220000001</v>
      </c>
      <c r="O148" s="207">
        <f>'дод 3 '!P223</f>
        <v>11681442.220000001</v>
      </c>
      <c r="P148" s="283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712</v>
      </c>
      <c r="D149" s="66">
        <f>'дод 3 '!E224</f>
        <v>0</v>
      </c>
      <c r="E149" s="66">
        <f>'дод 3 '!F224</f>
        <v>0</v>
      </c>
      <c r="F149" s="66">
        <f>'дод 3 '!G224</f>
        <v>0</v>
      </c>
      <c r="G149" s="66">
        <f>'дод 3 '!H224</f>
        <v>0</v>
      </c>
      <c r="H149" s="66">
        <f>'дод 3 '!I224</f>
        <v>0</v>
      </c>
      <c r="I149" s="206">
        <f>'дод 3 '!J224</f>
        <v>10238203.67</v>
      </c>
      <c r="J149" s="206">
        <f>'дод 3 '!K224</f>
        <v>10238203.67</v>
      </c>
      <c r="K149" s="206">
        <f>'дод 3 '!L224</f>
        <v>0</v>
      </c>
      <c r="L149" s="206">
        <f>'дод 3 '!M224</f>
        <v>0</v>
      </c>
      <c r="M149" s="206">
        <f>'дод 3 '!N224</f>
        <v>0</v>
      </c>
      <c r="N149" s="206">
        <f>'дод 3 '!O224</f>
        <v>10238203.67</v>
      </c>
      <c r="O149" s="206">
        <f>'дод 3 '!P224</f>
        <v>10238203.67</v>
      </c>
      <c r="P149" s="283"/>
    </row>
    <row r="150" spans="1:16" s="28" customFormat="1" ht="259.5" customHeight="1" x14ac:dyDescent="0.25">
      <c r="A150" s="38"/>
      <c r="B150" s="48"/>
      <c r="C150" s="46" t="s">
        <v>718</v>
      </c>
      <c r="D150" s="67">
        <f>'дод 3 '!E225</f>
        <v>0</v>
      </c>
      <c r="E150" s="67">
        <f>'дод 3 '!F225</f>
        <v>0</v>
      </c>
      <c r="F150" s="67">
        <f>'дод 3 '!G225</f>
        <v>0</v>
      </c>
      <c r="G150" s="67">
        <f>'дод 3 '!H225</f>
        <v>0</v>
      </c>
      <c r="H150" s="67">
        <f>'дод 3 '!I225</f>
        <v>0</v>
      </c>
      <c r="I150" s="207">
        <f>'дод 3 '!J225</f>
        <v>10238203.67</v>
      </c>
      <c r="J150" s="207">
        <f>'дод 3 '!K225</f>
        <v>10238203.67</v>
      </c>
      <c r="K150" s="207">
        <f>'дод 3 '!L225</f>
        <v>0</v>
      </c>
      <c r="L150" s="207">
        <f>'дод 3 '!M225</f>
        <v>0</v>
      </c>
      <c r="M150" s="207">
        <f>'дод 3 '!N225</f>
        <v>0</v>
      </c>
      <c r="N150" s="207">
        <f>'дод 3 '!O225</f>
        <v>10238203.67</v>
      </c>
      <c r="O150" s="207">
        <f>'дод 3 '!P225</f>
        <v>10238203.67</v>
      </c>
      <c r="P150" s="283"/>
    </row>
    <row r="151" spans="1:16" ht="164.25" customHeight="1" x14ac:dyDescent="0.25">
      <c r="A151" s="19">
        <v>3223</v>
      </c>
      <c r="B151" s="29" t="s">
        <v>52</v>
      </c>
      <c r="C151" s="18" t="s">
        <v>713</v>
      </c>
      <c r="D151" s="66">
        <f>'дод 3 '!E226</f>
        <v>0</v>
      </c>
      <c r="E151" s="66">
        <f>'дод 3 '!F226</f>
        <v>0</v>
      </c>
      <c r="F151" s="66">
        <f>'дод 3 '!G226</f>
        <v>0</v>
      </c>
      <c r="G151" s="66">
        <f>'дод 3 '!H226</f>
        <v>0</v>
      </c>
      <c r="H151" s="66">
        <f>'дод 3 '!I226</f>
        <v>0</v>
      </c>
      <c r="I151" s="66">
        <f>'дод 3 '!J226</f>
        <v>8499718.4299999997</v>
      </c>
      <c r="J151" s="66">
        <f>'дод 3 '!K226</f>
        <v>8499718.4299999997</v>
      </c>
      <c r="K151" s="66">
        <f>'дод 3 '!L226</f>
        <v>0</v>
      </c>
      <c r="L151" s="66">
        <f>'дод 3 '!M226</f>
        <v>0</v>
      </c>
      <c r="M151" s="66">
        <f>'дод 3 '!N226</f>
        <v>0</v>
      </c>
      <c r="N151" s="66">
        <f>'дод 3 '!O226</f>
        <v>8499718.4299999997</v>
      </c>
      <c r="O151" s="66">
        <f>'дод 3 '!P226</f>
        <v>8499718.4299999997</v>
      </c>
      <c r="P151" s="283"/>
    </row>
    <row r="152" spans="1:16" s="28" customFormat="1" ht="181.5" customHeight="1" x14ac:dyDescent="0.25">
      <c r="A152" s="38"/>
      <c r="B152" s="48"/>
      <c r="C152" s="46" t="s">
        <v>717</v>
      </c>
      <c r="D152" s="67">
        <f>'дод 3 '!E227</f>
        <v>0</v>
      </c>
      <c r="E152" s="67">
        <f>'дод 3 '!F227</f>
        <v>0</v>
      </c>
      <c r="F152" s="67">
        <f>'дод 3 '!G227</f>
        <v>0</v>
      </c>
      <c r="G152" s="67">
        <f>'дод 3 '!H227</f>
        <v>0</v>
      </c>
      <c r="H152" s="67">
        <f>'дод 3 '!I227</f>
        <v>0</v>
      </c>
      <c r="I152" s="67">
        <f>'дод 3 '!J227</f>
        <v>8499718.4299999997</v>
      </c>
      <c r="J152" s="67">
        <f>'дод 3 '!K227</f>
        <v>8499718.4299999997</v>
      </c>
      <c r="K152" s="67">
        <f>'дод 3 '!L227</f>
        <v>0</v>
      </c>
      <c r="L152" s="67">
        <f>'дод 3 '!M227</f>
        <v>0</v>
      </c>
      <c r="M152" s="67">
        <f>'дод 3 '!N227</f>
        <v>0</v>
      </c>
      <c r="N152" s="67">
        <f>'дод 3 '!O227</f>
        <v>8499718.4299999997</v>
      </c>
      <c r="O152" s="67">
        <f>'дод 3 '!P227</f>
        <v>8499718.4299999997</v>
      </c>
      <c r="P152" s="283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3 '!E228+'дод 3 '!E28</f>
        <v>6676600</v>
      </c>
      <c r="E153" s="66">
        <f>'дод 3 '!F228+'дод 3 '!F28</f>
        <v>6676600</v>
      </c>
      <c r="F153" s="66">
        <f>'дод 3 '!G228+'дод 3 '!G28</f>
        <v>3504500</v>
      </c>
      <c r="G153" s="66">
        <f>'дод 3 '!H228+'дод 3 '!H28</f>
        <v>618900</v>
      </c>
      <c r="H153" s="66">
        <f>'дод 3 '!I228+'дод 3 '!I28</f>
        <v>0</v>
      </c>
      <c r="I153" s="66">
        <f>'дод 3 '!J228+'дод 3 '!J28</f>
        <v>0</v>
      </c>
      <c r="J153" s="66">
        <f>'дод 3 '!K228+'дод 3 '!K28</f>
        <v>0</v>
      </c>
      <c r="K153" s="66">
        <f>'дод 3 '!L228+'дод 3 '!L28</f>
        <v>0</v>
      </c>
      <c r="L153" s="66">
        <f>'дод 3 '!M228+'дод 3 '!M28</f>
        <v>0</v>
      </c>
      <c r="M153" s="66">
        <f>'дод 3 '!N228+'дод 3 '!N28</f>
        <v>0</v>
      </c>
      <c r="N153" s="66">
        <f>'дод 3 '!O228+'дод 3 '!O28</f>
        <v>0</v>
      </c>
      <c r="O153" s="66">
        <f>'дод 3 '!P228+'дод 3 '!P28</f>
        <v>6676600</v>
      </c>
      <c r="P153" s="283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3 '!E29+'дод 3 '!E130+'дод 3 '!E229+'дод 3 '!E242</f>
        <v>280735475</v>
      </c>
      <c r="E154" s="66">
        <f>'дод 3 '!F29+'дод 3 '!F130+'дод 3 '!F229+'дод 3 '!F242</f>
        <v>280735475</v>
      </c>
      <c r="F154" s="66">
        <f>'дод 3 '!G29+'дод 3 '!G130+'дод 3 '!G229+'дод 3 '!G242</f>
        <v>0</v>
      </c>
      <c r="G154" s="66">
        <f>'дод 3 '!H29+'дод 3 '!H130+'дод 3 '!H229+'дод 3 '!H242</f>
        <v>0</v>
      </c>
      <c r="H154" s="66">
        <f>'дод 3 '!I29+'дод 3 '!I130+'дод 3 '!I229+'дод 3 '!I242</f>
        <v>0</v>
      </c>
      <c r="I154" s="66">
        <f>'дод 3 '!J29+'дод 3 '!J130+'дод 3 '!J229+'дод 3 '!J242</f>
        <v>0</v>
      </c>
      <c r="J154" s="66">
        <f>'дод 3 '!K29+'дод 3 '!K130+'дод 3 '!K229+'дод 3 '!K242</f>
        <v>0</v>
      </c>
      <c r="K154" s="66">
        <f>'дод 3 '!L29+'дод 3 '!L130+'дод 3 '!L229+'дод 3 '!L242</f>
        <v>0</v>
      </c>
      <c r="L154" s="66">
        <f>'дод 3 '!M29+'дод 3 '!M130+'дод 3 '!M229+'дод 3 '!M242</f>
        <v>0</v>
      </c>
      <c r="M154" s="66">
        <f>'дод 3 '!N29+'дод 3 '!N130+'дод 3 '!N229+'дод 3 '!N242</f>
        <v>0</v>
      </c>
      <c r="N154" s="66">
        <f>'дод 3 '!O29+'дод 3 '!O130+'дод 3 '!O229+'дод 3 '!O242</f>
        <v>0</v>
      </c>
      <c r="O154" s="66">
        <f>'дод 3 '!P29+'дод 3 '!P130+'дод 3 '!P229+'дод 3 '!P242</f>
        <v>280735475</v>
      </c>
      <c r="P154" s="283"/>
    </row>
    <row r="155" spans="1:16" s="28" customFormat="1" x14ac:dyDescent="0.25">
      <c r="A155" s="38"/>
      <c r="B155" s="38"/>
      <c r="C155" s="39" t="s">
        <v>388</v>
      </c>
      <c r="D155" s="67">
        <f>'дод 3 '!E230</f>
        <v>237600</v>
      </c>
      <c r="E155" s="67">
        <f>'дод 3 '!F230</f>
        <v>237600</v>
      </c>
      <c r="F155" s="67">
        <f>'дод 3 '!G230</f>
        <v>0</v>
      </c>
      <c r="G155" s="67">
        <f>'дод 3 '!H230</f>
        <v>0</v>
      </c>
      <c r="H155" s="67">
        <f>'дод 3 '!I230</f>
        <v>0</v>
      </c>
      <c r="I155" s="67">
        <f>'дод 3 '!J230</f>
        <v>0</v>
      </c>
      <c r="J155" s="67">
        <f>'дод 3 '!K230</f>
        <v>0</v>
      </c>
      <c r="K155" s="67">
        <f>'дод 3 '!L230</f>
        <v>0</v>
      </c>
      <c r="L155" s="67">
        <f>'дод 3 '!M230</f>
        <v>0</v>
      </c>
      <c r="M155" s="67">
        <f>'дод 3 '!N230</f>
        <v>0</v>
      </c>
      <c r="N155" s="67">
        <f>'дод 3 '!O230</f>
        <v>0</v>
      </c>
      <c r="O155" s="67">
        <f>'дод 3 '!P230</f>
        <v>237600</v>
      </c>
      <c r="P155" s="283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35124998</v>
      </c>
      <c r="E156" s="25">
        <f t="shared" si="26"/>
        <v>35124998</v>
      </c>
      <c r="F156" s="25">
        <f t="shared" si="26"/>
        <v>24033100</v>
      </c>
      <c r="G156" s="25">
        <f t="shared" si="26"/>
        <v>2956150</v>
      </c>
      <c r="H156" s="25">
        <f t="shared" si="26"/>
        <v>0</v>
      </c>
      <c r="I156" s="25">
        <f t="shared" si="26"/>
        <v>919320</v>
      </c>
      <c r="J156" s="25">
        <f t="shared" si="26"/>
        <v>898000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898000</v>
      </c>
      <c r="O156" s="25">
        <f t="shared" si="26"/>
        <v>36044318</v>
      </c>
      <c r="P156" s="283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3 '!E249</f>
        <v>24727148</v>
      </c>
      <c r="E157" s="66">
        <f>'дод 3 '!F249</f>
        <v>24727148</v>
      </c>
      <c r="F157" s="66">
        <f>'дод 3 '!G249</f>
        <v>17520000</v>
      </c>
      <c r="G157" s="66">
        <f>'дод 3 '!H249</f>
        <v>2427100</v>
      </c>
      <c r="H157" s="66">
        <f>'дод 3 '!I249</f>
        <v>0</v>
      </c>
      <c r="I157" s="66">
        <f>'дод 3 '!J249</f>
        <v>313000</v>
      </c>
      <c r="J157" s="66">
        <f>'дод 3 '!K249</f>
        <v>298000</v>
      </c>
      <c r="K157" s="66">
        <f>'дод 3 '!L249</f>
        <v>15000</v>
      </c>
      <c r="L157" s="66">
        <f>'дод 3 '!M249</f>
        <v>7380</v>
      </c>
      <c r="M157" s="66">
        <f>'дод 3 '!N249</f>
        <v>0</v>
      </c>
      <c r="N157" s="66">
        <f>'дод 3 '!O249</f>
        <v>298000</v>
      </c>
      <c r="O157" s="66">
        <f>'дод 3 '!P249</f>
        <v>25040148</v>
      </c>
      <c r="P157" s="283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3 '!E30+'дод 3 '!E250</f>
        <v>4160950</v>
      </c>
      <c r="E158" s="66">
        <f>'дод 3 '!F30+'дод 3 '!F250</f>
        <v>4160950</v>
      </c>
      <c r="F158" s="66">
        <f>'дод 3 '!G30+'дод 3 '!G250</f>
        <v>2806900</v>
      </c>
      <c r="G158" s="66">
        <f>'дод 3 '!H30+'дод 3 '!H250</f>
        <v>305950</v>
      </c>
      <c r="H158" s="66">
        <f>'дод 3 '!I30+'дод 3 '!I250</f>
        <v>0</v>
      </c>
      <c r="I158" s="66">
        <f>'дод 3 '!J30+'дод 3 '!J250</f>
        <v>606320</v>
      </c>
      <c r="J158" s="66">
        <f>'дод 3 '!K30+'дод 3 '!K250</f>
        <v>600000</v>
      </c>
      <c r="K158" s="66">
        <f>'дод 3 '!L30+'дод 3 '!L250</f>
        <v>6320</v>
      </c>
      <c r="L158" s="66">
        <f>'дод 3 '!M30+'дод 3 '!M250</f>
        <v>0</v>
      </c>
      <c r="M158" s="66">
        <f>'дод 3 '!N30+'дод 3 '!N250</f>
        <v>5490</v>
      </c>
      <c r="N158" s="66">
        <f>'дод 3 '!O30+'дод 3 '!O250</f>
        <v>600000</v>
      </c>
      <c r="O158" s="66">
        <f>'дод 3 '!P30+'дод 3 '!P250</f>
        <v>4767270</v>
      </c>
      <c r="P158" s="283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3 '!E31+'дод 3 '!E251</f>
        <v>5220900</v>
      </c>
      <c r="E159" s="66">
        <f>'дод 3 '!F31+'дод 3 '!F251</f>
        <v>5220900</v>
      </c>
      <c r="F159" s="66">
        <f>'дод 3 '!G31+'дод 3 '!G251</f>
        <v>3706200</v>
      </c>
      <c r="G159" s="66">
        <f>'дод 3 '!H31+'дод 3 '!H251</f>
        <v>223100</v>
      </c>
      <c r="H159" s="66">
        <f>'дод 3 '!I31+'дод 3 '!I251</f>
        <v>0</v>
      </c>
      <c r="I159" s="66">
        <f>'дод 3 '!J31+'дод 3 '!J251</f>
        <v>0</v>
      </c>
      <c r="J159" s="66">
        <f>'дод 3 '!K31+'дод 3 '!K251</f>
        <v>0</v>
      </c>
      <c r="K159" s="66">
        <f>'дод 3 '!L31+'дод 3 '!L251</f>
        <v>0</v>
      </c>
      <c r="L159" s="66">
        <f>'дод 3 '!M31+'дод 3 '!M251</f>
        <v>0</v>
      </c>
      <c r="M159" s="66">
        <f>'дод 3 '!N31+'дод 3 '!N251</f>
        <v>0</v>
      </c>
      <c r="N159" s="66">
        <f>'дод 3 '!O31+'дод 3 '!O251</f>
        <v>0</v>
      </c>
      <c r="O159" s="66">
        <f>'дод 3 '!P31+'дод 3 '!P251</f>
        <v>5220900</v>
      </c>
      <c r="P159" s="283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3 '!E32+'дод 3 '!E252</f>
        <v>1016000</v>
      </c>
      <c r="E160" s="66">
        <f>'дод 3 '!F32+'дод 3 '!F252</f>
        <v>1016000</v>
      </c>
      <c r="F160" s="66">
        <f>'дод 3 '!G32+'дод 3 '!G252</f>
        <v>0</v>
      </c>
      <c r="G160" s="66">
        <f>'дод 3 '!H32+'дод 3 '!H252</f>
        <v>0</v>
      </c>
      <c r="H160" s="66">
        <f>'дод 3 '!I32+'дод 3 '!I252</f>
        <v>0</v>
      </c>
      <c r="I160" s="66">
        <f>'дод 3 '!J32+'дод 3 '!J252</f>
        <v>0</v>
      </c>
      <c r="J160" s="66">
        <f>'дод 3 '!K32+'дод 3 '!K252</f>
        <v>0</v>
      </c>
      <c r="K160" s="66">
        <f>'дод 3 '!L32+'дод 3 '!L252</f>
        <v>0</v>
      </c>
      <c r="L160" s="66">
        <f>'дод 3 '!M32+'дод 3 '!M252</f>
        <v>0</v>
      </c>
      <c r="M160" s="66">
        <f>'дод 3 '!N32+'дод 3 '!N252</f>
        <v>0</v>
      </c>
      <c r="N160" s="66">
        <f>'дод 3 '!O32+'дод 3 '!O252</f>
        <v>0</v>
      </c>
      <c r="O160" s="66">
        <f>'дод 3 '!P32+'дод 3 '!P252</f>
        <v>1016000</v>
      </c>
      <c r="P160" s="283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3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3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3 '!E33</f>
        <v>1965000</v>
      </c>
      <c r="E163" s="66">
        <f>'дод 3 '!F33</f>
        <v>1965000</v>
      </c>
      <c r="F163" s="66">
        <f>'дод 3 '!G33</f>
        <v>0</v>
      </c>
      <c r="G163" s="66">
        <f>'дод 3 '!H33</f>
        <v>0</v>
      </c>
      <c r="H163" s="66">
        <f>'дод 3 '!I33</f>
        <v>0</v>
      </c>
      <c r="I163" s="66">
        <f>'дод 3 '!J33</f>
        <v>0</v>
      </c>
      <c r="J163" s="66">
        <f>'дод 3 '!K33</f>
        <v>0</v>
      </c>
      <c r="K163" s="66">
        <f>'дод 3 '!L33</f>
        <v>0</v>
      </c>
      <c r="L163" s="66">
        <f>'дод 3 '!M33</f>
        <v>0</v>
      </c>
      <c r="M163" s="66">
        <f>'дод 3 '!N33</f>
        <v>0</v>
      </c>
      <c r="N163" s="66">
        <f>'дод 3 '!O33</f>
        <v>0</v>
      </c>
      <c r="O163" s="66">
        <f>'дод 3 '!P33</f>
        <v>1965000</v>
      </c>
      <c r="P163" s="283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3 '!E34</f>
        <v>750000</v>
      </c>
      <c r="E164" s="66">
        <f>'дод 3 '!F34</f>
        <v>750000</v>
      </c>
      <c r="F164" s="66">
        <f>'дод 3 '!G34</f>
        <v>0</v>
      </c>
      <c r="G164" s="66">
        <f>'дод 3 '!H34</f>
        <v>0</v>
      </c>
      <c r="H164" s="66">
        <f>'дод 3 '!I34</f>
        <v>0</v>
      </c>
      <c r="I164" s="66">
        <f>'дод 3 '!J34</f>
        <v>0</v>
      </c>
      <c r="J164" s="66">
        <f>'дод 3 '!K34</f>
        <v>0</v>
      </c>
      <c r="K164" s="66">
        <f>'дод 3 '!L34</f>
        <v>0</v>
      </c>
      <c r="L164" s="66">
        <f>'дод 3 '!M34</f>
        <v>0</v>
      </c>
      <c r="M164" s="66">
        <f>'дод 3 '!N34</f>
        <v>0</v>
      </c>
      <c r="N164" s="66">
        <f>'дод 3 '!O34</f>
        <v>0</v>
      </c>
      <c r="O164" s="66">
        <f>'дод 3 '!P34</f>
        <v>750000</v>
      </c>
      <c r="P164" s="283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3 '!E35+'дод 3 '!E131</f>
        <v>35691841</v>
      </c>
      <c r="E165" s="66">
        <f>'дод 3 '!F35+'дод 3 '!F131</f>
        <v>35691841</v>
      </c>
      <c r="F165" s="66">
        <f>'дод 3 '!G35+'дод 3 '!G131</f>
        <v>25061471</v>
      </c>
      <c r="G165" s="66">
        <f>'дод 3 '!H35+'дод 3 '!H131</f>
        <v>1928700</v>
      </c>
      <c r="H165" s="66">
        <f>'дод 3 '!I35+'дод 3 '!I131</f>
        <v>0</v>
      </c>
      <c r="I165" s="66">
        <f>'дод 3 '!J35+'дод 3 '!J131</f>
        <v>290000</v>
      </c>
      <c r="J165" s="66">
        <f>'дод 3 '!K35+'дод 3 '!K131</f>
        <v>290000</v>
      </c>
      <c r="K165" s="66">
        <f>'дод 3 '!L35+'дод 3 '!L131</f>
        <v>0</v>
      </c>
      <c r="L165" s="66">
        <f>'дод 3 '!M35+'дод 3 '!M131</f>
        <v>0</v>
      </c>
      <c r="M165" s="66">
        <f>'дод 3 '!N35+'дод 3 '!N131</f>
        <v>0</v>
      </c>
      <c r="N165" s="66">
        <f>'дод 3 '!O35+'дод 3 '!O131</f>
        <v>290000</v>
      </c>
      <c r="O165" s="66">
        <f>'дод 3 '!P35+'дод 3 '!P131</f>
        <v>35981841</v>
      </c>
      <c r="P165" s="234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3 '!E132</f>
        <v>0</v>
      </c>
      <c r="E166" s="67">
        <f>'дод 3 '!F132</f>
        <v>0</v>
      </c>
      <c r="F166" s="67">
        <f>'дод 3 '!G132</f>
        <v>0</v>
      </c>
      <c r="G166" s="67">
        <f>'дод 3 '!H132</f>
        <v>0</v>
      </c>
      <c r="H166" s="67">
        <f>'дод 3 '!I132</f>
        <v>0</v>
      </c>
      <c r="I166" s="67">
        <f>'дод 3 '!J132</f>
        <v>0</v>
      </c>
      <c r="J166" s="67">
        <f>'дод 3 '!K132</f>
        <v>0</v>
      </c>
      <c r="K166" s="67">
        <f>'дод 3 '!L132</f>
        <v>0</v>
      </c>
      <c r="L166" s="67">
        <f>'дод 3 '!M132</f>
        <v>0</v>
      </c>
      <c r="M166" s="67">
        <f>'дод 3 '!N132</f>
        <v>0</v>
      </c>
      <c r="N166" s="67">
        <f>'дод 3 '!O132</f>
        <v>0</v>
      </c>
      <c r="O166" s="67">
        <f>'дод 3 '!P132</f>
        <v>0</v>
      </c>
      <c r="P166" s="234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3 '!E36</f>
        <v>18547495</v>
      </c>
      <c r="E167" s="66">
        <f>'дод 3 '!F36</f>
        <v>18547495</v>
      </c>
      <c r="F167" s="66">
        <f>'дод 3 '!G36</f>
        <v>0</v>
      </c>
      <c r="G167" s="66">
        <f>'дод 3 '!H36</f>
        <v>0</v>
      </c>
      <c r="H167" s="66">
        <f>'дод 3 '!I36</f>
        <v>0</v>
      </c>
      <c r="I167" s="66">
        <f>'дод 3 '!J36</f>
        <v>1495100</v>
      </c>
      <c r="J167" s="66">
        <f>'дод 3 '!K36</f>
        <v>1495100</v>
      </c>
      <c r="K167" s="66">
        <f>'дод 3 '!L36</f>
        <v>0</v>
      </c>
      <c r="L167" s="66">
        <f>'дод 3 '!M36</f>
        <v>0</v>
      </c>
      <c r="M167" s="66">
        <f>'дод 3 '!N36</f>
        <v>0</v>
      </c>
      <c r="N167" s="66">
        <f>'дод 3 '!O36</f>
        <v>1495100</v>
      </c>
      <c r="O167" s="66">
        <f>'дод 3 '!P36</f>
        <v>20042595</v>
      </c>
      <c r="P167" s="234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3 '!E37</f>
        <v>5764400</v>
      </c>
      <c r="E168" s="66">
        <f>'дод 3 '!F37</f>
        <v>5764400</v>
      </c>
      <c r="F168" s="66">
        <f>'дод 3 '!G37</f>
        <v>3265100</v>
      </c>
      <c r="G168" s="66">
        <f>'дод 3 '!H37</f>
        <v>557100</v>
      </c>
      <c r="H168" s="66">
        <f>'дод 3 '!I37</f>
        <v>0</v>
      </c>
      <c r="I168" s="66">
        <f>'дод 3 '!J37</f>
        <v>478110</v>
      </c>
      <c r="J168" s="66">
        <f>'дод 3 '!K37</f>
        <v>0</v>
      </c>
      <c r="K168" s="66">
        <f>'дод 3 '!L37</f>
        <v>478110</v>
      </c>
      <c r="L168" s="66">
        <f>'дод 3 '!M37</f>
        <v>296610</v>
      </c>
      <c r="M168" s="66">
        <f>'дод 3 '!N37</f>
        <v>93770</v>
      </c>
      <c r="N168" s="66">
        <f>'дод 3 '!O37</f>
        <v>0</v>
      </c>
      <c r="O168" s="66">
        <f>'дод 3 '!P37</f>
        <v>6242510</v>
      </c>
      <c r="P168" s="234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3 '!E38</f>
        <v>14446532</v>
      </c>
      <c r="E169" s="66">
        <f>'дод 3 '!F38</f>
        <v>14446532</v>
      </c>
      <c r="F169" s="66">
        <f>'дод 3 '!G38</f>
        <v>0</v>
      </c>
      <c r="G169" s="66">
        <f>'дод 3 '!H38</f>
        <v>0</v>
      </c>
      <c r="H169" s="66">
        <f>'дод 3 '!I38</f>
        <v>0</v>
      </c>
      <c r="I169" s="66">
        <f>'дод 3 '!J38</f>
        <v>0</v>
      </c>
      <c r="J169" s="66">
        <f>'дод 3 '!K38</f>
        <v>0</v>
      </c>
      <c r="K169" s="66">
        <f>'дод 3 '!L38</f>
        <v>0</v>
      </c>
      <c r="L169" s="66">
        <f>'дод 3 '!M38</f>
        <v>0</v>
      </c>
      <c r="M169" s="66">
        <f>'дод 3 '!N38</f>
        <v>0</v>
      </c>
      <c r="N169" s="66">
        <f>'дод 3 '!O38</f>
        <v>0</v>
      </c>
      <c r="O169" s="66">
        <f>'дод 3 '!P38</f>
        <v>14446532</v>
      </c>
      <c r="P169" s="234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322847539</v>
      </c>
      <c r="E170" s="25">
        <f t="shared" ref="E170:N170" si="29">E172+E173+E175+E176+E177+E178+E180+E182+E184+E179+E174+E183</f>
        <v>277856696</v>
      </c>
      <c r="F170" s="25">
        <f t="shared" si="29"/>
        <v>0</v>
      </c>
      <c r="G170" s="25">
        <f t="shared" si="29"/>
        <v>16334000</v>
      </c>
      <c r="H170" s="25">
        <f t="shared" si="29"/>
        <v>44990843</v>
      </c>
      <c r="I170" s="25">
        <f t="shared" si="29"/>
        <v>21452815.550000001</v>
      </c>
      <c r="J170" s="25">
        <f t="shared" si="29"/>
        <v>16485844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16616556.550000001</v>
      </c>
      <c r="O170" s="25">
        <f>O172+O173+O175+O176+O177+O178+O180+O182+O184+O179+O174+O183</f>
        <v>344300354.55000001</v>
      </c>
      <c r="P170" s="234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34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3 '!E270</f>
        <v>0</v>
      </c>
      <c r="E172" s="66">
        <f>'дод 3 '!F270</f>
        <v>0</v>
      </c>
      <c r="F172" s="66">
        <f>'дод 3 '!G270</f>
        <v>0</v>
      </c>
      <c r="G172" s="66">
        <f>'дод 3 '!H270</f>
        <v>0</v>
      </c>
      <c r="H172" s="66">
        <f>'дод 3 '!I270</f>
        <v>0</v>
      </c>
      <c r="I172" s="66">
        <f>'дод 3 '!J270</f>
        <v>3068051</v>
      </c>
      <c r="J172" s="66">
        <f>'дод 3 '!K270</f>
        <v>3068051</v>
      </c>
      <c r="K172" s="66">
        <f>'дод 3 '!L270</f>
        <v>0</v>
      </c>
      <c r="L172" s="66">
        <f>'дод 3 '!M270</f>
        <v>0</v>
      </c>
      <c r="M172" s="66">
        <f>'дод 3 '!N270</f>
        <v>0</v>
      </c>
      <c r="N172" s="66">
        <f>'дод 3 '!O270</f>
        <v>3068051</v>
      </c>
      <c r="O172" s="66">
        <f>'дод 3 '!P270</f>
        <v>3068051</v>
      </c>
      <c r="P172" s="234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3 '!E271</f>
        <v>49540800</v>
      </c>
      <c r="E173" s="66">
        <f>'дод 3 '!F271</f>
        <v>5929000</v>
      </c>
      <c r="F173" s="66">
        <f>'дод 3 '!G271</f>
        <v>0</v>
      </c>
      <c r="G173" s="66">
        <f>'дод 3 '!H271</f>
        <v>0</v>
      </c>
      <c r="H173" s="66">
        <f>'дод 3 '!I271</f>
        <v>43611800</v>
      </c>
      <c r="I173" s="66">
        <f>'дод 3 '!J271</f>
        <v>0</v>
      </c>
      <c r="J173" s="66">
        <f>'дод 3 '!K271</f>
        <v>0</v>
      </c>
      <c r="K173" s="66">
        <f>'дод 3 '!L271</f>
        <v>0</v>
      </c>
      <c r="L173" s="66">
        <f>'дод 3 '!M271</f>
        <v>0</v>
      </c>
      <c r="M173" s="66">
        <f>'дод 3 '!N271</f>
        <v>0</v>
      </c>
      <c r="N173" s="66">
        <f>'дод 3 '!O271</f>
        <v>0</v>
      </c>
      <c r="O173" s="66">
        <f>'дод 3 '!P271</f>
        <v>49540800</v>
      </c>
      <c r="P173" s="234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3 '!E272</f>
        <v>0</v>
      </c>
      <c r="E174" s="66">
        <f>'дод 3 '!F272</f>
        <v>0</v>
      </c>
      <c r="F174" s="66">
        <f>'дод 3 '!G272</f>
        <v>0</v>
      </c>
      <c r="G174" s="66">
        <f>'дод 3 '!H272</f>
        <v>0</v>
      </c>
      <c r="H174" s="66">
        <f>'дод 3 '!I272</f>
        <v>0</v>
      </c>
      <c r="I174" s="66">
        <f>'дод 3 '!J272</f>
        <v>0</v>
      </c>
      <c r="J174" s="66">
        <f>'дод 3 '!K272</f>
        <v>0</v>
      </c>
      <c r="K174" s="66">
        <f>'дод 3 '!L272</f>
        <v>0</v>
      </c>
      <c r="L174" s="66">
        <f>'дод 3 '!M272</f>
        <v>0</v>
      </c>
      <c r="M174" s="66">
        <f>'дод 3 '!N272</f>
        <v>0</v>
      </c>
      <c r="N174" s="66">
        <f>'дод 3 '!O272</f>
        <v>0</v>
      </c>
      <c r="O174" s="66">
        <f>'дод 3 '!P272</f>
        <v>0</v>
      </c>
      <c r="P174" s="234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3 '!E273</f>
        <v>50000</v>
      </c>
      <c r="E175" s="66">
        <f>'дод 3 '!F273</f>
        <v>50000</v>
      </c>
      <c r="F175" s="66">
        <f>'дод 3 '!G273</f>
        <v>0</v>
      </c>
      <c r="G175" s="66">
        <f>'дод 3 '!H273</f>
        <v>0</v>
      </c>
      <c r="H175" s="66">
        <f>'дод 3 '!I273</f>
        <v>0</v>
      </c>
      <c r="I175" s="66">
        <f>'дод 3 '!J273</f>
        <v>150000</v>
      </c>
      <c r="J175" s="66">
        <f>'дод 3 '!K273</f>
        <v>150000</v>
      </c>
      <c r="K175" s="66">
        <f>'дод 3 '!L273</f>
        <v>0</v>
      </c>
      <c r="L175" s="66">
        <f>'дод 3 '!M273</f>
        <v>0</v>
      </c>
      <c r="M175" s="66">
        <f>'дод 3 '!N273</f>
        <v>0</v>
      </c>
      <c r="N175" s="66">
        <f>'дод 3 '!O273</f>
        <v>150000</v>
      </c>
      <c r="O175" s="66">
        <f>'дод 3 '!P273</f>
        <v>200000</v>
      </c>
      <c r="P175" s="234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3 '!E274</f>
        <v>450000</v>
      </c>
      <c r="E176" s="66">
        <f>'дод 3 '!F274</f>
        <v>450000</v>
      </c>
      <c r="F176" s="66">
        <f>'дод 3 '!G274</f>
        <v>0</v>
      </c>
      <c r="G176" s="66">
        <f>'дод 3 '!H274</f>
        <v>0</v>
      </c>
      <c r="H176" s="66">
        <f>'дод 3 '!I274</f>
        <v>0</v>
      </c>
      <c r="I176" s="66">
        <f>'дод 3 '!J274</f>
        <v>0</v>
      </c>
      <c r="J176" s="66">
        <f>'дод 3 '!K274</f>
        <v>0</v>
      </c>
      <c r="K176" s="66">
        <f>'дод 3 '!L274</f>
        <v>0</v>
      </c>
      <c r="L176" s="66">
        <f>'дод 3 '!M274</f>
        <v>0</v>
      </c>
      <c r="M176" s="66">
        <f>'дод 3 '!N274</f>
        <v>0</v>
      </c>
      <c r="N176" s="66">
        <f>'дод 3 '!O274</f>
        <v>0</v>
      </c>
      <c r="O176" s="66">
        <f>'дод 3 '!P274</f>
        <v>450000</v>
      </c>
      <c r="P176" s="234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3 '!E275</f>
        <v>583000</v>
      </c>
      <c r="E177" s="66">
        <f>'дод 3 '!F275</f>
        <v>0</v>
      </c>
      <c r="F177" s="66">
        <f>'дод 3 '!G275</f>
        <v>0</v>
      </c>
      <c r="G177" s="66">
        <f>'дод 3 '!H275</f>
        <v>0</v>
      </c>
      <c r="H177" s="66">
        <f>'дод 3 '!I275</f>
        <v>583000</v>
      </c>
      <c r="I177" s="66">
        <f>'дод 3 '!J275</f>
        <v>0</v>
      </c>
      <c r="J177" s="66">
        <f>'дод 3 '!K275</f>
        <v>0</v>
      </c>
      <c r="K177" s="66">
        <f>'дод 3 '!L275</f>
        <v>0</v>
      </c>
      <c r="L177" s="66">
        <f>'дод 3 '!M275</f>
        <v>0</v>
      </c>
      <c r="M177" s="66">
        <f>'дод 3 '!N275</f>
        <v>0</v>
      </c>
      <c r="N177" s="66">
        <f>'дод 3 '!O275</f>
        <v>0</v>
      </c>
      <c r="O177" s="66">
        <f>'дод 3 '!P275</f>
        <v>583000</v>
      </c>
      <c r="P177" s="234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3 '!E276+'дод 3 '!E338</f>
        <v>263430050</v>
      </c>
      <c r="E178" s="66">
        <f>'дод 3 '!F276+'дод 3 '!F338</f>
        <v>263330050</v>
      </c>
      <c r="F178" s="66">
        <f>'дод 3 '!G276+'дод 3 '!G338</f>
        <v>0</v>
      </c>
      <c r="G178" s="66">
        <f>'дод 3 '!H276+'дод 3 '!H338</f>
        <v>16274000</v>
      </c>
      <c r="H178" s="66">
        <f>'дод 3 '!I276+'дод 3 '!I338</f>
        <v>100000</v>
      </c>
      <c r="I178" s="66">
        <f>'дод 3 '!J276+'дод 3 '!J338</f>
        <v>7121293</v>
      </c>
      <c r="J178" s="66">
        <f>'дод 3 '!K276+'дод 3 '!K338</f>
        <v>7121293</v>
      </c>
      <c r="K178" s="66">
        <f>'дод 3 '!L276+'дод 3 '!L338</f>
        <v>0</v>
      </c>
      <c r="L178" s="66">
        <f>'дод 3 '!M276+'дод 3 '!M338</f>
        <v>0</v>
      </c>
      <c r="M178" s="66">
        <f>'дод 3 '!N276+'дод 3 '!N338</f>
        <v>0</v>
      </c>
      <c r="N178" s="66">
        <f>'дод 3 '!O276+'дод 3 '!O338</f>
        <v>7121293</v>
      </c>
      <c r="O178" s="66">
        <f>'дод 3 '!P276+'дод 3 '!P338</f>
        <v>270551343</v>
      </c>
      <c r="P178" s="234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3 '!E279</f>
        <v>0</v>
      </c>
      <c r="E179" s="66">
        <f>'дод 3 '!F279</f>
        <v>0</v>
      </c>
      <c r="F179" s="66">
        <f>'дод 3 '!G279</f>
        <v>0</v>
      </c>
      <c r="G179" s="66">
        <f>'дод 3 '!H279</f>
        <v>0</v>
      </c>
      <c r="H179" s="66">
        <f>'дод 3 '!I279</f>
        <v>0</v>
      </c>
      <c r="I179" s="66">
        <f>'дод 3 '!J279</f>
        <v>0</v>
      </c>
      <c r="J179" s="66">
        <f>'дод 3 '!K279</f>
        <v>0</v>
      </c>
      <c r="K179" s="66">
        <f>'дод 3 '!L279</f>
        <v>0</v>
      </c>
      <c r="L179" s="66">
        <f>'дод 3 '!M279</f>
        <v>0</v>
      </c>
      <c r="M179" s="66">
        <f>'дод 3 '!N279</f>
        <v>0</v>
      </c>
      <c r="N179" s="66">
        <f>'дод 3 '!O279</f>
        <v>0</v>
      </c>
      <c r="O179" s="66">
        <f>'дод 3 '!P279</f>
        <v>0</v>
      </c>
      <c r="P179" s="234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3 '!E243+'дод 3 '!E277</f>
        <v>0</v>
      </c>
      <c r="E180" s="66">
        <f>'дод 3 '!F243+'дод 3 '!F277</f>
        <v>0</v>
      </c>
      <c r="F180" s="66">
        <f>'дод 3 '!G243+'дод 3 '!G277</f>
        <v>0</v>
      </c>
      <c r="G180" s="66">
        <f>'дод 3 '!H243+'дод 3 '!H277</f>
        <v>0</v>
      </c>
      <c r="H180" s="66">
        <f>'дод 3 '!I243+'дод 3 '!I277</f>
        <v>0</v>
      </c>
      <c r="I180" s="66">
        <f>'дод 3 '!J243+'дод 3 '!J277</f>
        <v>0</v>
      </c>
      <c r="J180" s="66">
        <f>'дод 3 '!K243+'дод 3 '!K277</f>
        <v>0</v>
      </c>
      <c r="K180" s="66">
        <f>'дод 3 '!L243+'дод 3 '!L277</f>
        <v>0</v>
      </c>
      <c r="L180" s="66">
        <f>'дод 3 '!M243+'дод 3 '!M277</f>
        <v>0</v>
      </c>
      <c r="M180" s="66">
        <f>'дод 3 '!N243+'дод 3 '!N277</f>
        <v>0</v>
      </c>
      <c r="N180" s="66">
        <f>'дод 3 '!O243+'дод 3 '!O277</f>
        <v>0</v>
      </c>
      <c r="O180" s="66">
        <f>'дод 3 '!P243+'дод 3 '!P277</f>
        <v>0</v>
      </c>
      <c r="P180" s="234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3 '!E244+'дод 3 '!E278</f>
        <v>0</v>
      </c>
      <c r="E181" s="67">
        <f>'дод 3 '!F244+'дод 3 '!F278</f>
        <v>0</v>
      </c>
      <c r="F181" s="67">
        <f>'дод 3 '!G244+'дод 3 '!G278</f>
        <v>0</v>
      </c>
      <c r="G181" s="67">
        <f>'дод 3 '!H244+'дод 3 '!H278</f>
        <v>0</v>
      </c>
      <c r="H181" s="67">
        <f>'дод 3 '!I244+'дод 3 '!I278</f>
        <v>0</v>
      </c>
      <c r="I181" s="67">
        <f>'дод 3 '!J244+'дод 3 '!J278</f>
        <v>0</v>
      </c>
      <c r="J181" s="67">
        <f>'дод 3 '!K244+'дод 3 '!K278</f>
        <v>0</v>
      </c>
      <c r="K181" s="67">
        <f>'дод 3 '!L244+'дод 3 '!L278</f>
        <v>0</v>
      </c>
      <c r="L181" s="67">
        <f>'дод 3 '!M244+'дод 3 '!M278</f>
        <v>0</v>
      </c>
      <c r="M181" s="67">
        <f>'дод 3 '!N244+'дод 3 '!N278</f>
        <v>0</v>
      </c>
      <c r="N181" s="67">
        <f>'дод 3 '!O244+'дод 3 '!O278</f>
        <v>0</v>
      </c>
      <c r="O181" s="67">
        <f>'дод 3 '!P244+'дод 3 '!P278</f>
        <v>0</v>
      </c>
      <c r="P181" s="234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3 '!E342</f>
        <v>0</v>
      </c>
      <c r="E182" s="66">
        <f>'дод 3 '!F342</f>
        <v>0</v>
      </c>
      <c r="F182" s="66">
        <f>'дод 3 '!G342</f>
        <v>0</v>
      </c>
      <c r="G182" s="66">
        <f>'дод 3 '!H342</f>
        <v>0</v>
      </c>
      <c r="H182" s="66">
        <f>'дод 3 '!I342</f>
        <v>0</v>
      </c>
      <c r="I182" s="66">
        <f>'дод 3 '!J342</f>
        <v>130712.55</v>
      </c>
      <c r="J182" s="66">
        <f>'дод 3 '!K342</f>
        <v>0</v>
      </c>
      <c r="K182" s="66">
        <f>'дод 3 '!L342</f>
        <v>0</v>
      </c>
      <c r="L182" s="66">
        <f>'дод 3 '!M342</f>
        <v>0</v>
      </c>
      <c r="M182" s="66">
        <f>'дод 3 '!N342</f>
        <v>0</v>
      </c>
      <c r="N182" s="66">
        <f>'дод 3 '!O342</f>
        <v>130712.55</v>
      </c>
      <c r="O182" s="66">
        <f>'дод 3 '!P342</f>
        <v>130712.55</v>
      </c>
      <c r="P182" s="234"/>
    </row>
    <row r="183" spans="1:16" s="28" customFormat="1" ht="66" hidden="1" customHeight="1" x14ac:dyDescent="0.25">
      <c r="A183" s="19">
        <v>6086</v>
      </c>
      <c r="B183" s="24" t="s">
        <v>67</v>
      </c>
      <c r="C183" s="3" t="s">
        <v>686</v>
      </c>
      <c r="D183" s="66">
        <f>'дод 3 '!E280</f>
        <v>0</v>
      </c>
      <c r="E183" s="66">
        <f>'дод 3 '!F280</f>
        <v>0</v>
      </c>
      <c r="F183" s="66">
        <f>'дод 3 '!G280</f>
        <v>0</v>
      </c>
      <c r="G183" s="66">
        <f>'дод 3 '!H280</f>
        <v>0</v>
      </c>
      <c r="H183" s="66">
        <f>'дод 3 '!I280</f>
        <v>0</v>
      </c>
      <c r="I183" s="66">
        <f>'дод 3 '!J280</f>
        <v>0</v>
      </c>
      <c r="J183" s="66">
        <f>'дод 3 '!K280</f>
        <v>0</v>
      </c>
      <c r="K183" s="66">
        <f>'дод 3 '!L280</f>
        <v>0</v>
      </c>
      <c r="L183" s="66">
        <f>'дод 3 '!M280</f>
        <v>0</v>
      </c>
      <c r="M183" s="66">
        <f>'дод 3 '!N280</f>
        <v>0</v>
      </c>
      <c r="N183" s="66">
        <f>'дод 3 '!O280</f>
        <v>0</v>
      </c>
      <c r="O183" s="66">
        <f>'дод 3 '!P280</f>
        <v>0</v>
      </c>
      <c r="P183" s="234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3 '!E281+'дод 3 '!E361+'дод 3 '!E392</f>
        <v>8793689</v>
      </c>
      <c r="E184" s="66">
        <f>'дод 3 '!F281+'дод 3 '!F361+'дод 3 '!F392</f>
        <v>8097646</v>
      </c>
      <c r="F184" s="66">
        <f>'дод 3 '!G281+'дод 3 '!G361+'дод 3 '!G392</f>
        <v>0</v>
      </c>
      <c r="G184" s="66">
        <f>'дод 3 '!H281+'дод 3 '!H361+'дод 3 '!H392</f>
        <v>60000</v>
      </c>
      <c r="H184" s="66">
        <f>'дод 3 '!I281+'дод 3 '!I361+'дод 3 '!I392</f>
        <v>696043</v>
      </c>
      <c r="I184" s="66">
        <f>'дод 3 '!J281+'дод 3 '!J361+'дод 3 '!J392</f>
        <v>10982759</v>
      </c>
      <c r="J184" s="66">
        <f>'дод 3 '!K281+'дод 3 '!K361+'дод 3 '!K392</f>
        <v>6146500</v>
      </c>
      <c r="K184" s="66">
        <f>'дод 3 '!L281+'дод 3 '!L361+'дод 3 '!L392</f>
        <v>4836259</v>
      </c>
      <c r="L184" s="66">
        <f>'дод 3 '!M281+'дод 3 '!M361+'дод 3 '!M392</f>
        <v>0</v>
      </c>
      <c r="M184" s="66">
        <f>'дод 3 '!N281+'дод 3 '!N361+'дод 3 '!N392</f>
        <v>0</v>
      </c>
      <c r="N184" s="66">
        <f>'дод 3 '!O281+'дод 3 '!O361+'дод 3 '!O392</f>
        <v>6146500</v>
      </c>
      <c r="O184" s="66">
        <f>'дод 3 '!P281+'дод 3 '!P361+'дод 3 '!P392</f>
        <v>19776448</v>
      </c>
      <c r="P184" s="234"/>
    </row>
    <row r="185" spans="1:16" s="26" customFormat="1" ht="21.75" customHeight="1" x14ac:dyDescent="0.25">
      <c r="A185" s="20" t="s">
        <v>133</v>
      </c>
      <c r="B185" s="23"/>
      <c r="C185" s="2" t="s">
        <v>664</v>
      </c>
      <c r="D185" s="25">
        <f t="shared" ref="D185:O185" si="31">D193+D195+D221+D234+D236+D248</f>
        <v>105891460</v>
      </c>
      <c r="E185" s="25">
        <f t="shared" si="31"/>
        <v>23751231</v>
      </c>
      <c r="F185" s="25">
        <f t="shared" si="31"/>
        <v>0</v>
      </c>
      <c r="G185" s="25">
        <f t="shared" si="31"/>
        <v>0</v>
      </c>
      <c r="H185" s="25">
        <f t="shared" si="31"/>
        <v>82140229</v>
      </c>
      <c r="I185" s="25">
        <f t="shared" si="31"/>
        <v>887008751.63</v>
      </c>
      <c r="J185" s="25">
        <f t="shared" si="31"/>
        <v>395904415</v>
      </c>
      <c r="K185" s="25">
        <f t="shared" si="31"/>
        <v>18029080.629999999</v>
      </c>
      <c r="L185" s="25">
        <f t="shared" si="31"/>
        <v>0</v>
      </c>
      <c r="M185" s="25">
        <f t="shared" si="31"/>
        <v>0</v>
      </c>
      <c r="N185" s="25">
        <f t="shared" si="31"/>
        <v>868979671</v>
      </c>
      <c r="O185" s="25">
        <f t="shared" si="31"/>
        <v>992900211.63</v>
      </c>
      <c r="P185" s="234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34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34"/>
    </row>
    <row r="188" spans="1:16" s="27" customFormat="1" ht="101.25" customHeight="1" x14ac:dyDescent="0.25">
      <c r="A188" s="32"/>
      <c r="B188" s="33"/>
      <c r="C188" s="37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'!E264</f>
        <v>0</v>
      </c>
      <c r="E188" s="37">
        <f>'дод 3 '!F264</f>
        <v>0</v>
      </c>
      <c r="F188" s="37">
        <f>'дод 3 '!G264</f>
        <v>0</v>
      </c>
      <c r="G188" s="37">
        <f>'дод 3 '!H264</f>
        <v>0</v>
      </c>
      <c r="H188" s="37">
        <f>'дод 3 '!I264</f>
        <v>0</v>
      </c>
      <c r="I188" s="202">
        <f>'дод 3 '!J264</f>
        <v>7344000</v>
      </c>
      <c r="J188" s="202">
        <f>'дод 3 '!K264</f>
        <v>7344000</v>
      </c>
      <c r="K188" s="202">
        <f>'дод 3 '!L264</f>
        <v>0</v>
      </c>
      <c r="L188" s="202">
        <f>'дод 3 '!M264</f>
        <v>0</v>
      </c>
      <c r="M188" s="202">
        <f>'дод 3 '!N264</f>
        <v>0</v>
      </c>
      <c r="N188" s="202">
        <f>'дод 3 '!O264</f>
        <v>7344000</v>
      </c>
      <c r="O188" s="202">
        <f>'дод 3 '!P264</f>
        <v>7344000</v>
      </c>
      <c r="P188" s="234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3">
        <f t="shared" ref="E189:O189" si="34">E218</f>
        <v>0</v>
      </c>
      <c r="F189" s="203">
        <f t="shared" si="34"/>
        <v>0</v>
      </c>
      <c r="G189" s="203">
        <f t="shared" si="34"/>
        <v>0</v>
      </c>
      <c r="H189" s="203">
        <f t="shared" si="34"/>
        <v>0</v>
      </c>
      <c r="I189" s="241">
        <f t="shared" si="34"/>
        <v>400000000</v>
      </c>
      <c r="J189" s="241">
        <f t="shared" si="34"/>
        <v>0</v>
      </c>
      <c r="K189" s="241">
        <f t="shared" si="34"/>
        <v>0</v>
      </c>
      <c r="L189" s="241">
        <f t="shared" si="34"/>
        <v>0</v>
      </c>
      <c r="M189" s="241">
        <f t="shared" si="34"/>
        <v>0</v>
      </c>
      <c r="N189" s="241">
        <f t="shared" si="34"/>
        <v>400000000</v>
      </c>
      <c r="O189" s="241">
        <f t="shared" si="34"/>
        <v>400000000</v>
      </c>
      <c r="P189" s="234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41">
        <f t="shared" si="35"/>
        <v>68535256</v>
      </c>
      <c r="J190" s="241">
        <f t="shared" si="35"/>
        <v>0</v>
      </c>
      <c r="K190" s="241">
        <f t="shared" si="35"/>
        <v>0</v>
      </c>
      <c r="L190" s="241">
        <f t="shared" si="35"/>
        <v>0</v>
      </c>
      <c r="M190" s="241">
        <f t="shared" si="35"/>
        <v>0</v>
      </c>
      <c r="N190" s="241">
        <f t="shared" si="35"/>
        <v>68535256</v>
      </c>
      <c r="O190" s="241">
        <f t="shared" si="35"/>
        <v>68535256</v>
      </c>
      <c r="P190" s="238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34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43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34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3 '!E376+'дод 3 '!E384+'дод 3 '!E393</f>
        <v>1750000</v>
      </c>
      <c r="E194" s="66">
        <f>'дод 3 '!F376+'дод 3 '!F384+'дод 3 '!F393</f>
        <v>1750000</v>
      </c>
      <c r="F194" s="66">
        <f>'дод 3 '!G376+'дод 3 '!G384+'дод 3 '!G393</f>
        <v>0</v>
      </c>
      <c r="G194" s="66">
        <f>'дод 3 '!H376+'дод 3 '!H384+'дод 3 '!H393</f>
        <v>0</v>
      </c>
      <c r="H194" s="66">
        <f>'дод 3 '!I376+'дод 3 '!I384+'дод 3 '!I393</f>
        <v>0</v>
      </c>
      <c r="I194" s="66">
        <f>'дод 3 '!J376+'дод 3 '!J384+'дод 3 '!J393</f>
        <v>0</v>
      </c>
      <c r="J194" s="66">
        <f>'дод 3 '!K376+'дод 3 '!K384+'дод 3 '!K393</f>
        <v>0</v>
      </c>
      <c r="K194" s="66">
        <f>'дод 3 '!L376+'дод 3 '!L384+'дод 3 '!L393</f>
        <v>0</v>
      </c>
      <c r="L194" s="66">
        <f>'дод 3 '!M376+'дод 3 '!M384+'дод 3 '!M393</f>
        <v>0</v>
      </c>
      <c r="M194" s="66">
        <f>'дод 3 '!N376+'дод 3 '!N384+'дод 3 '!N393</f>
        <v>0</v>
      </c>
      <c r="N194" s="66">
        <f>'дод 3 '!O376+'дод 3 '!O384+'дод 3 '!O393</f>
        <v>0</v>
      </c>
      <c r="O194" s="66">
        <f>'дод 3 '!P376+'дод 3 '!P384+'дод 3 '!P393</f>
        <v>1750000</v>
      </c>
      <c r="P194" s="234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626025595</v>
      </c>
      <c r="J195" s="25">
        <f t="shared" si="39"/>
        <v>157490339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626025595</v>
      </c>
      <c r="O195" s="25">
        <f t="shared" si="39"/>
        <v>631525595</v>
      </c>
      <c r="P195" s="234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34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34"/>
    </row>
    <row r="198" spans="1:16" ht="33.75" customHeight="1" x14ac:dyDescent="0.25">
      <c r="A198" s="22" t="s">
        <v>269</v>
      </c>
      <c r="B198" s="22" t="s">
        <v>110</v>
      </c>
      <c r="C198" s="6" t="s">
        <v>694</v>
      </c>
      <c r="D198" s="66">
        <f>'дод 3 '!E343+'дод 3 '!E282</f>
        <v>0</v>
      </c>
      <c r="E198" s="66">
        <f>'дод 3 '!F343+'дод 3 '!F282</f>
        <v>0</v>
      </c>
      <c r="F198" s="66">
        <f>'дод 3 '!G343+'дод 3 '!G282</f>
        <v>0</v>
      </c>
      <c r="G198" s="66">
        <f>'дод 3 '!H343+'дод 3 '!H282</f>
        <v>0</v>
      </c>
      <c r="H198" s="66">
        <f>'дод 3 '!I343+'дод 3 '!I282</f>
        <v>0</v>
      </c>
      <c r="I198" s="66">
        <f>'дод 3 '!J343+'дод 3 '!J282</f>
        <v>62401848</v>
      </c>
      <c r="J198" s="66">
        <f>'дод 3 '!K343+'дод 3 '!K282</f>
        <v>62401848</v>
      </c>
      <c r="K198" s="66">
        <f>'дод 3 '!L343+'дод 3 '!L282</f>
        <v>0</v>
      </c>
      <c r="L198" s="66">
        <f>'дод 3 '!M343+'дод 3 '!M282</f>
        <v>0</v>
      </c>
      <c r="M198" s="66">
        <f>'дод 3 '!N343+'дод 3 '!N282</f>
        <v>0</v>
      </c>
      <c r="N198" s="66">
        <f>'дод 3 '!O343+'дод 3 '!O282</f>
        <v>62401848</v>
      </c>
      <c r="O198" s="66">
        <f>'дод 3 '!P343+'дод 3 '!P282</f>
        <v>62401848</v>
      </c>
      <c r="P198" s="234"/>
    </row>
    <row r="199" spans="1:16" ht="98.25" customHeight="1" x14ac:dyDescent="0.25">
      <c r="A199" s="22"/>
      <c r="B199" s="22"/>
      <c r="C199" s="39" t="str">
        <f>'дод 3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3 '!E283</f>
        <v>0</v>
      </c>
      <c r="E199" s="39">
        <f>'дод 3 '!F283</f>
        <v>0</v>
      </c>
      <c r="F199" s="39">
        <f>'дод 3 '!G283</f>
        <v>0</v>
      </c>
      <c r="G199" s="39">
        <f>'дод 3 '!H283</f>
        <v>0</v>
      </c>
      <c r="H199" s="39">
        <f>'дод 3 '!I283</f>
        <v>0</v>
      </c>
      <c r="I199" s="201">
        <f>'дод 3 '!J283</f>
        <v>7344000</v>
      </c>
      <c r="J199" s="201">
        <f>'дод 3 '!K283</f>
        <v>7344000</v>
      </c>
      <c r="K199" s="201">
        <f>'дод 3 '!L283</f>
        <v>0</v>
      </c>
      <c r="L199" s="201">
        <f>'дод 3 '!M283</f>
        <v>0</v>
      </c>
      <c r="M199" s="201">
        <f>'дод 3 '!N283</f>
        <v>0</v>
      </c>
      <c r="N199" s="201">
        <f>'дод 3 '!O283</f>
        <v>7344000</v>
      </c>
      <c r="O199" s="201">
        <f>'дод 3 '!P283</f>
        <v>7344000</v>
      </c>
      <c r="P199" s="234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3 '!E133+'дод 3 '!E344</f>
        <v>0</v>
      </c>
      <c r="E200" s="66">
        <f>'дод 3 '!F133+'дод 3 '!F344</f>
        <v>0</v>
      </c>
      <c r="F200" s="66">
        <f>'дод 3 '!G133+'дод 3 '!G344</f>
        <v>0</v>
      </c>
      <c r="G200" s="66">
        <f>'дод 3 '!H133+'дод 3 '!H344</f>
        <v>0</v>
      </c>
      <c r="H200" s="66">
        <f>'дод 3 '!I133+'дод 3 '!I344</f>
        <v>0</v>
      </c>
      <c r="I200" s="66">
        <f>'дод 3 '!J133+'дод 3 '!J344</f>
        <v>4541407</v>
      </c>
      <c r="J200" s="66">
        <f>'дод 3 '!K133+'дод 3 '!K344</f>
        <v>4541407</v>
      </c>
      <c r="K200" s="66">
        <f>'дод 3 '!L133+'дод 3 '!L344</f>
        <v>0</v>
      </c>
      <c r="L200" s="66">
        <f>'дод 3 '!M133+'дод 3 '!M344</f>
        <v>0</v>
      </c>
      <c r="M200" s="66">
        <f>'дод 3 '!N133+'дод 3 '!N344</f>
        <v>0</v>
      </c>
      <c r="N200" s="66">
        <f>'дод 3 '!O133+'дод 3 '!O344</f>
        <v>4541407</v>
      </c>
      <c r="O200" s="66">
        <f>'дод 3 '!P133+'дод 3 '!P344</f>
        <v>4541407</v>
      </c>
      <c r="P200" s="234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3 '!E134</f>
        <v>0</v>
      </c>
      <c r="E201" s="67">
        <f>'дод 3 '!F134</f>
        <v>0</v>
      </c>
      <c r="F201" s="67">
        <f>'дод 3 '!G134</f>
        <v>0</v>
      </c>
      <c r="G201" s="67">
        <f>'дод 3 '!H134</f>
        <v>0</v>
      </c>
      <c r="H201" s="67">
        <f>'дод 3 '!I134</f>
        <v>0</v>
      </c>
      <c r="I201" s="67">
        <f>'дод 3 '!J134</f>
        <v>0</v>
      </c>
      <c r="J201" s="67">
        <f>'дод 3 '!K134</f>
        <v>0</v>
      </c>
      <c r="K201" s="67">
        <f>'дод 3 '!L134</f>
        <v>0</v>
      </c>
      <c r="L201" s="67">
        <f>'дод 3 '!M134</f>
        <v>0</v>
      </c>
      <c r="M201" s="67">
        <f>'дод 3 '!N134</f>
        <v>0</v>
      </c>
      <c r="N201" s="67">
        <f>'дод 3 '!O134</f>
        <v>0</v>
      </c>
      <c r="O201" s="67">
        <f>'дод 3 '!P134</f>
        <v>0</v>
      </c>
      <c r="P201" s="234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3 '!E345+'дод 3 '!E182</f>
        <v>0</v>
      </c>
      <c r="E202" s="66">
        <f>'дод 3 '!F345+'дод 3 '!F182</f>
        <v>0</v>
      </c>
      <c r="F202" s="66">
        <f>'дод 3 '!G345+'дод 3 '!G182</f>
        <v>0</v>
      </c>
      <c r="G202" s="66">
        <f>'дод 3 '!H345+'дод 3 '!H182</f>
        <v>0</v>
      </c>
      <c r="H202" s="66">
        <f>'дод 3 '!I345+'дод 3 '!I182</f>
        <v>0</v>
      </c>
      <c r="I202" s="66">
        <f>'дод 3 '!J345+'дод 3 '!J182</f>
        <v>9071975</v>
      </c>
      <c r="J202" s="66">
        <f>'дод 3 '!K345+'дод 3 '!K182</f>
        <v>9071975</v>
      </c>
      <c r="K202" s="66">
        <f>'дод 3 '!L345+'дод 3 '!L182</f>
        <v>0</v>
      </c>
      <c r="L202" s="66">
        <f>'дод 3 '!M345+'дод 3 '!M182</f>
        <v>0</v>
      </c>
      <c r="M202" s="66">
        <f>'дод 3 '!N345+'дод 3 '!N182</f>
        <v>0</v>
      </c>
      <c r="N202" s="66">
        <f>'дод 3 '!O345+'дод 3 '!O182</f>
        <v>9071975</v>
      </c>
      <c r="O202" s="66">
        <f>'дод 3 '!P345+'дод 3 '!P182</f>
        <v>9071975</v>
      </c>
      <c r="P202" s="234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3 '!E231+'дод 3 '!E39</f>
        <v>0</v>
      </c>
      <c r="E203" s="66">
        <f>'дод 3 '!F231+'дод 3 '!F39</f>
        <v>0</v>
      </c>
      <c r="F203" s="66">
        <f>'дод 3 '!G231+'дод 3 '!G39</f>
        <v>0</v>
      </c>
      <c r="G203" s="66">
        <f>'дод 3 '!H231+'дод 3 '!H39</f>
        <v>0</v>
      </c>
      <c r="H203" s="66">
        <f>'дод 3 '!I231+'дод 3 '!I39</f>
        <v>0</v>
      </c>
      <c r="I203" s="66">
        <f>'дод 3 '!J231+'дод 3 '!J39</f>
        <v>0</v>
      </c>
      <c r="J203" s="66">
        <f>'дод 3 '!K231+'дод 3 '!K39</f>
        <v>0</v>
      </c>
      <c r="K203" s="66">
        <f>'дод 3 '!L231+'дод 3 '!L39</f>
        <v>0</v>
      </c>
      <c r="L203" s="66">
        <f>'дод 3 '!M231+'дод 3 '!M39</f>
        <v>0</v>
      </c>
      <c r="M203" s="66">
        <f>'дод 3 '!N231+'дод 3 '!N39</f>
        <v>0</v>
      </c>
      <c r="N203" s="66">
        <f>'дод 3 '!O231+'дод 3 '!O39</f>
        <v>0</v>
      </c>
      <c r="O203" s="66">
        <f>'дод 3 '!P231+'дод 3 '!P39</f>
        <v>0</v>
      </c>
      <c r="P203" s="234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3 '!E253+'дод 3 '!E346</f>
        <v>0</v>
      </c>
      <c r="E204" s="66">
        <f>'дод 3 '!F253+'дод 3 '!F346</f>
        <v>0</v>
      </c>
      <c r="F204" s="66">
        <f>'дод 3 '!G253+'дод 3 '!G346</f>
        <v>0</v>
      </c>
      <c r="G204" s="66">
        <f>'дод 3 '!H253+'дод 3 '!H346</f>
        <v>0</v>
      </c>
      <c r="H204" s="66">
        <f>'дод 3 '!I253+'дод 3 '!I346</f>
        <v>0</v>
      </c>
      <c r="I204" s="66">
        <f>'дод 3 '!J253+'дод 3 '!J346</f>
        <v>0</v>
      </c>
      <c r="J204" s="66">
        <f>'дод 3 '!K253+'дод 3 '!K346</f>
        <v>0</v>
      </c>
      <c r="K204" s="66">
        <f>'дод 3 '!L253+'дод 3 '!L346</f>
        <v>0</v>
      </c>
      <c r="L204" s="66">
        <f>'дод 3 '!M253+'дод 3 '!M346</f>
        <v>0</v>
      </c>
      <c r="M204" s="66">
        <f>'дод 3 '!N253+'дод 3 '!N346</f>
        <v>0</v>
      </c>
      <c r="N204" s="66">
        <f>'дод 3 '!O253+'дод 3 '!O346</f>
        <v>0</v>
      </c>
      <c r="O204" s="66">
        <f>'дод 3 '!P253+'дод 3 '!P346</f>
        <v>0</v>
      </c>
      <c r="P204" s="234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3 '!E347+'дод 3 '!E40</f>
        <v>0</v>
      </c>
      <c r="E205" s="66">
        <f>'дод 3 '!F347+'дод 3 '!F40</f>
        <v>0</v>
      </c>
      <c r="F205" s="66">
        <f>'дод 3 '!G347+'дод 3 '!G40</f>
        <v>0</v>
      </c>
      <c r="G205" s="66">
        <f>'дод 3 '!H347+'дод 3 '!H40</f>
        <v>0</v>
      </c>
      <c r="H205" s="66">
        <f>'дод 3 '!I347+'дод 3 '!I40</f>
        <v>0</v>
      </c>
      <c r="I205" s="66">
        <f>'дод 3 '!J347+'дод 3 '!J40</f>
        <v>293385</v>
      </c>
      <c r="J205" s="66">
        <f>'дод 3 '!K347+'дод 3 '!K40</f>
        <v>293385</v>
      </c>
      <c r="K205" s="66">
        <f>'дод 3 '!L347+'дод 3 '!L40</f>
        <v>0</v>
      </c>
      <c r="L205" s="66">
        <f>'дод 3 '!M347+'дод 3 '!M40</f>
        <v>0</v>
      </c>
      <c r="M205" s="66">
        <f>'дод 3 '!N347+'дод 3 '!N40</f>
        <v>0</v>
      </c>
      <c r="N205" s="66">
        <f>'дод 3 '!O347+'дод 3 '!O40</f>
        <v>293385</v>
      </c>
      <c r="O205" s="66">
        <f>'дод 3 '!P347+'дод 3 '!P40</f>
        <v>293385</v>
      </c>
      <c r="P205" s="234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3 '!E348+'дод 3 '!E284+'дод 3 '!E41</f>
        <v>0</v>
      </c>
      <c r="E206" s="66">
        <f>'дод 3 '!F348+'дод 3 '!F284+'дод 3 '!F41</f>
        <v>0</v>
      </c>
      <c r="F206" s="66">
        <f>'дод 3 '!G348+'дод 3 '!G284+'дод 3 '!G41</f>
        <v>0</v>
      </c>
      <c r="G206" s="66">
        <f>'дод 3 '!H348+'дод 3 '!H284+'дод 3 '!H41</f>
        <v>0</v>
      </c>
      <c r="H206" s="66">
        <f>'дод 3 '!I348+'дод 3 '!I284+'дод 3 '!I41</f>
        <v>0</v>
      </c>
      <c r="I206" s="66">
        <f>'дод 3 '!J348+'дод 3 '!J284+'дод 3 '!J41</f>
        <v>19941167</v>
      </c>
      <c r="J206" s="66">
        <f>'дод 3 '!K348+'дод 3 '!K284+'дод 3 '!K41</f>
        <v>19941167</v>
      </c>
      <c r="K206" s="66">
        <f>'дод 3 '!L348+'дод 3 '!L284+'дод 3 '!L41</f>
        <v>0</v>
      </c>
      <c r="L206" s="66">
        <f>'дод 3 '!M348+'дод 3 '!M284+'дод 3 '!M41</f>
        <v>0</v>
      </c>
      <c r="M206" s="66">
        <f>'дод 3 '!N348+'дод 3 '!N284+'дод 3 '!N41</f>
        <v>0</v>
      </c>
      <c r="N206" s="66">
        <f>'дод 3 '!O348+'дод 3 '!O284+'дод 3 '!O41</f>
        <v>19941167</v>
      </c>
      <c r="O206" s="66">
        <f>'дод 3 '!P348+'дод 3 '!P284+'дод 3 '!P41</f>
        <v>19941167</v>
      </c>
      <c r="P206" s="234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3 '!E285+'дод 3 '!E349+'дод 3 '!E362+'дод 3 '!E394</f>
        <v>0</v>
      </c>
      <c r="E207" s="66">
        <f>'дод 3 '!F285+'дод 3 '!F349+'дод 3 '!F362+'дод 3 '!F394</f>
        <v>0</v>
      </c>
      <c r="F207" s="66">
        <f>'дод 3 '!G285+'дод 3 '!G349+'дод 3 '!G362+'дод 3 '!G394</f>
        <v>0</v>
      </c>
      <c r="G207" s="66">
        <f>'дод 3 '!H285+'дод 3 '!H349+'дод 3 '!H362+'дод 3 '!H394</f>
        <v>0</v>
      </c>
      <c r="H207" s="66">
        <f>'дод 3 '!I285+'дод 3 '!I349+'дод 3 '!I362+'дод 3 '!I394</f>
        <v>0</v>
      </c>
      <c r="I207" s="66">
        <f>'дод 3 '!J285+'дод 3 '!J349+'дод 3 '!J362+'дод 3 '!J394</f>
        <v>17949922</v>
      </c>
      <c r="J207" s="66">
        <f>'дод 3 '!K285+'дод 3 '!K349+'дод 3 '!K362+'дод 3 '!K394</f>
        <v>17949922</v>
      </c>
      <c r="K207" s="66">
        <f>'дод 3 '!L285+'дод 3 '!L349+'дод 3 '!L362+'дод 3 '!L394</f>
        <v>0</v>
      </c>
      <c r="L207" s="66">
        <f>'дод 3 '!M285+'дод 3 '!M349+'дод 3 '!M362+'дод 3 '!M394</f>
        <v>0</v>
      </c>
      <c r="M207" s="66">
        <f>'дод 3 '!N285+'дод 3 '!N349+'дод 3 '!N362+'дод 3 '!N394</f>
        <v>0</v>
      </c>
      <c r="N207" s="66">
        <f>'дод 3 '!O285+'дод 3 '!O349+'дод 3 '!O362+'дод 3 '!O394</f>
        <v>17949922</v>
      </c>
      <c r="O207" s="66">
        <f>'дод 3 '!P285+'дод 3 '!P349+'дод 3 '!P362+'дод 3 '!P394</f>
        <v>17949922</v>
      </c>
      <c r="P207" s="234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3 '!E363</f>
        <v>0</v>
      </c>
      <c r="E208" s="66">
        <f>'дод 3 '!F363</f>
        <v>0</v>
      </c>
      <c r="F208" s="66">
        <f>'дод 3 '!G363</f>
        <v>0</v>
      </c>
      <c r="G208" s="66">
        <f>'дод 3 '!H363</f>
        <v>0</v>
      </c>
      <c r="H208" s="66">
        <f>'дод 3 '!I363</f>
        <v>0</v>
      </c>
      <c r="I208" s="66">
        <f>'дод 3 '!J363</f>
        <v>0</v>
      </c>
      <c r="J208" s="66">
        <f>'дод 3 '!K363</f>
        <v>0</v>
      </c>
      <c r="K208" s="66">
        <f>'дод 3 '!L363</f>
        <v>0</v>
      </c>
      <c r="L208" s="66">
        <f>'дод 3 '!M363</f>
        <v>0</v>
      </c>
      <c r="M208" s="66">
        <f>'дод 3 '!N363</f>
        <v>0</v>
      </c>
      <c r="N208" s="66">
        <f>'дод 3 '!O363</f>
        <v>0</v>
      </c>
      <c r="O208" s="66">
        <f>'дод 3 '!P363</f>
        <v>0</v>
      </c>
      <c r="P208" s="234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3 '!E286+'дод 3 '!E350+'дод 3 '!E183</f>
        <v>0</v>
      </c>
      <c r="E209" s="66">
        <f>'дод 3 '!F286+'дод 3 '!F350+'дод 3 '!F183</f>
        <v>0</v>
      </c>
      <c r="F209" s="66">
        <f>'дод 3 '!G286+'дод 3 '!G350+'дод 3 '!G183</f>
        <v>0</v>
      </c>
      <c r="G209" s="66">
        <f>'дод 3 '!H286+'дод 3 '!H350+'дод 3 '!H183</f>
        <v>0</v>
      </c>
      <c r="H209" s="66">
        <f>'дод 3 '!I286+'дод 3 '!I350+'дод 3 '!I183</f>
        <v>0</v>
      </c>
      <c r="I209" s="66">
        <f>'дод 3 '!J286+'дод 3 '!J350+'дод 3 '!J183</f>
        <v>16790635</v>
      </c>
      <c r="J209" s="66">
        <f>'дод 3 '!K286+'дод 3 '!K350+'дод 3 '!K183</f>
        <v>16790635</v>
      </c>
      <c r="K209" s="66">
        <f>'дод 3 '!L286+'дод 3 '!L350+'дод 3 '!L183</f>
        <v>0</v>
      </c>
      <c r="L209" s="66">
        <f>'дод 3 '!M286+'дод 3 '!M350+'дод 3 '!M183</f>
        <v>0</v>
      </c>
      <c r="M209" s="66">
        <f>'дод 3 '!N286+'дод 3 '!N350+'дод 3 '!N183</f>
        <v>0</v>
      </c>
      <c r="N209" s="66">
        <f>'дод 3 '!O286+'дод 3 '!O350+'дод 3 '!O183</f>
        <v>16790635</v>
      </c>
      <c r="O209" s="66">
        <f>'дод 3 '!P286+'дод 3 '!P350+'дод 3 '!P183</f>
        <v>16790635</v>
      </c>
      <c r="P209" s="234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3 '!E287</f>
        <v>0</v>
      </c>
      <c r="E210" s="66">
        <f>'дод 3 '!F287</f>
        <v>0</v>
      </c>
      <c r="F210" s="66">
        <f>'дод 3 '!G287</f>
        <v>0</v>
      </c>
      <c r="G210" s="66">
        <f>'дод 3 '!H287</f>
        <v>0</v>
      </c>
      <c r="H210" s="66">
        <f>'дод 3 '!I287</f>
        <v>0</v>
      </c>
      <c r="I210" s="66">
        <f>'дод 3 '!J287</f>
        <v>0</v>
      </c>
      <c r="J210" s="66">
        <f>'дод 3 '!K287</f>
        <v>0</v>
      </c>
      <c r="K210" s="66">
        <f>'дод 3 '!L287</f>
        <v>0</v>
      </c>
      <c r="L210" s="66">
        <f>'дод 3 '!M287</f>
        <v>0</v>
      </c>
      <c r="M210" s="66">
        <f>'дод 3 '!N287</f>
        <v>0</v>
      </c>
      <c r="N210" s="66">
        <f>'дод 3 '!O287</f>
        <v>0</v>
      </c>
      <c r="O210" s="66">
        <f>'дод 3 '!P287</f>
        <v>0</v>
      </c>
      <c r="P210" s="234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3 '!E288+'дод 3 '!E135+'дод 3 '!E184+'дод 3 '!E351</f>
        <v>0</v>
      </c>
      <c r="E211" s="66">
        <f>'дод 3 '!F288+'дод 3 '!F135+'дод 3 '!F184+'дод 3 '!F351</f>
        <v>0</v>
      </c>
      <c r="F211" s="66">
        <f>'дод 3 '!G288+'дод 3 '!G135+'дод 3 '!G184+'дод 3 '!G351</f>
        <v>0</v>
      </c>
      <c r="G211" s="66">
        <f>'дод 3 '!H288+'дод 3 '!H135+'дод 3 '!H184+'дод 3 '!H351</f>
        <v>0</v>
      </c>
      <c r="H211" s="66">
        <f>'дод 3 '!I288+'дод 3 '!I135+'дод 3 '!I184+'дод 3 '!I351</f>
        <v>0</v>
      </c>
      <c r="I211" s="66">
        <f>'дод 3 '!J288+'дод 3 '!J135+'дод 3 '!J184+'дод 3 '!J351</f>
        <v>0</v>
      </c>
      <c r="J211" s="66">
        <f>'дод 3 '!K288+'дод 3 '!K135+'дод 3 '!K184+'дод 3 '!K351</f>
        <v>0</v>
      </c>
      <c r="K211" s="66">
        <f>'дод 3 '!L288+'дод 3 '!L135+'дод 3 '!L184+'дод 3 '!L351</f>
        <v>0</v>
      </c>
      <c r="L211" s="66">
        <f>'дод 3 '!M288+'дод 3 '!M135+'дод 3 '!M184+'дод 3 '!M351</f>
        <v>0</v>
      </c>
      <c r="M211" s="66">
        <f>'дод 3 '!N288+'дод 3 '!N135+'дод 3 '!N184+'дод 3 '!N351</f>
        <v>0</v>
      </c>
      <c r="N211" s="66">
        <f>'дод 3 '!O288+'дод 3 '!O135+'дод 3 '!O184+'дод 3 '!O351</f>
        <v>0</v>
      </c>
      <c r="O211" s="66">
        <f>'дод 3 '!P288+'дод 3 '!P135+'дод 3 '!P184+'дод 3 '!P351</f>
        <v>0</v>
      </c>
      <c r="P211" s="234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3 '!E136+'дод 3 '!E185+'дод 3 '!E289+'дод 3 '!E352</f>
        <v>0</v>
      </c>
      <c r="E212" s="67">
        <f>'дод 3 '!F136+'дод 3 '!F185+'дод 3 '!F289+'дод 3 '!F352</f>
        <v>0</v>
      </c>
      <c r="F212" s="67">
        <f>'дод 3 '!G136+'дод 3 '!G185+'дод 3 '!G289+'дод 3 '!G352</f>
        <v>0</v>
      </c>
      <c r="G212" s="67">
        <f>'дод 3 '!H136+'дод 3 '!H185+'дод 3 '!H289+'дод 3 '!H352</f>
        <v>0</v>
      </c>
      <c r="H212" s="67">
        <f>'дод 3 '!I136+'дод 3 '!I185+'дод 3 '!I289+'дод 3 '!I352</f>
        <v>0</v>
      </c>
      <c r="I212" s="67">
        <f>'дод 3 '!J136+'дод 3 '!J185+'дод 3 '!J289+'дод 3 '!J352</f>
        <v>0</v>
      </c>
      <c r="J212" s="67">
        <f>'дод 3 '!K136+'дод 3 '!K185+'дод 3 '!K289+'дод 3 '!K352</f>
        <v>0</v>
      </c>
      <c r="K212" s="67">
        <f>'дод 3 '!L136+'дод 3 '!L185+'дод 3 '!L289+'дод 3 '!L352</f>
        <v>0</v>
      </c>
      <c r="L212" s="67">
        <f>'дод 3 '!M136+'дод 3 '!M185+'дод 3 '!M289+'дод 3 '!M352</f>
        <v>0</v>
      </c>
      <c r="M212" s="67">
        <f>'дод 3 '!N136+'дод 3 '!N185+'дод 3 '!N289+'дод 3 '!N352</f>
        <v>0</v>
      </c>
      <c r="N212" s="67">
        <f>'дод 3 '!O136+'дод 3 '!O185+'дод 3 '!O289+'дод 3 '!O352</f>
        <v>0</v>
      </c>
      <c r="O212" s="67">
        <f>'дод 3 '!P136+'дод 3 '!P185+'дод 3 '!P289+'дод 3 '!P352</f>
        <v>0</v>
      </c>
      <c r="P212" s="234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3 '!E290</f>
        <v>0</v>
      </c>
      <c r="E213" s="66">
        <f>'дод 3 '!F290</f>
        <v>0</v>
      </c>
      <c r="F213" s="66">
        <f>'дод 3 '!G290</f>
        <v>0</v>
      </c>
      <c r="G213" s="66">
        <f>'дод 3 '!H290</f>
        <v>0</v>
      </c>
      <c r="H213" s="66">
        <f>'дод 3 '!I290</f>
        <v>0</v>
      </c>
      <c r="I213" s="66">
        <f>'дод 3 '!J290</f>
        <v>0</v>
      </c>
      <c r="J213" s="66">
        <f>'дод 3 '!K290</f>
        <v>0</v>
      </c>
      <c r="K213" s="66">
        <f>'дод 3 '!L290</f>
        <v>0</v>
      </c>
      <c r="L213" s="66">
        <f>'дод 3 '!M290</f>
        <v>0</v>
      </c>
      <c r="M213" s="66">
        <f>'дод 3 '!N290</f>
        <v>0</v>
      </c>
      <c r="N213" s="66">
        <f>'дод 3 '!O290</f>
        <v>0</v>
      </c>
      <c r="O213" s="66">
        <f>'дод 3 '!P290</f>
        <v>0</v>
      </c>
      <c r="P213" s="234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3 '!E291</f>
        <v>0</v>
      </c>
      <c r="E214" s="67">
        <f>'дод 3 '!F291</f>
        <v>0</v>
      </c>
      <c r="F214" s="67">
        <f>'дод 3 '!G291</f>
        <v>0</v>
      </c>
      <c r="G214" s="67">
        <f>'дод 3 '!H291</f>
        <v>0</v>
      </c>
      <c r="H214" s="67">
        <f>'дод 3 '!I291</f>
        <v>0</v>
      </c>
      <c r="I214" s="67">
        <f>'дод 3 '!J291</f>
        <v>0</v>
      </c>
      <c r="J214" s="67">
        <f>'дод 3 '!K291</f>
        <v>0</v>
      </c>
      <c r="K214" s="67">
        <f>'дод 3 '!L291</f>
        <v>0</v>
      </c>
      <c r="L214" s="67">
        <f>'дод 3 '!M291</f>
        <v>0</v>
      </c>
      <c r="M214" s="67">
        <f>'дод 3 '!N291</f>
        <v>0</v>
      </c>
      <c r="N214" s="67">
        <f>'дод 3 '!O291</f>
        <v>0</v>
      </c>
      <c r="O214" s="67">
        <f>'дод 3 '!P291</f>
        <v>0</v>
      </c>
      <c r="P214" s="234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3 '!E353+'дод 3 '!E364+'дод 3 '!E395</f>
        <v>0</v>
      </c>
      <c r="E215" s="66">
        <f>'дод 3 '!F353+'дод 3 '!F364+'дод 3 '!F395</f>
        <v>0</v>
      </c>
      <c r="F215" s="66">
        <f>'дод 3 '!G353+'дод 3 '!G364+'дод 3 '!G395</f>
        <v>0</v>
      </c>
      <c r="G215" s="66">
        <f>'дод 3 '!H353+'дод 3 '!H364+'дод 3 '!H395</f>
        <v>0</v>
      </c>
      <c r="H215" s="66">
        <f>'дод 3 '!I353+'дод 3 '!I364+'дод 3 '!I395</f>
        <v>0</v>
      </c>
      <c r="I215" s="66">
        <f>'дод 3 '!J353+'дод 3 '!J364+'дод 3 '!J395</f>
        <v>0</v>
      </c>
      <c r="J215" s="66">
        <f>'дод 3 '!K353+'дод 3 '!K364+'дод 3 '!K395</f>
        <v>0</v>
      </c>
      <c r="K215" s="66">
        <f>'дод 3 '!L353+'дод 3 '!L364+'дод 3 '!L395</f>
        <v>0</v>
      </c>
      <c r="L215" s="66">
        <f>'дод 3 '!M353+'дод 3 '!M364+'дод 3 '!M395</f>
        <v>0</v>
      </c>
      <c r="M215" s="66">
        <f>'дод 3 '!N353+'дод 3 '!N364+'дод 3 '!N395</f>
        <v>0</v>
      </c>
      <c r="N215" s="66">
        <f>'дод 3 '!O353+'дод 3 '!O364+'дод 3 '!O395</f>
        <v>0</v>
      </c>
      <c r="O215" s="66">
        <f>'дод 3 '!P353+'дод 3 '!P364+'дод 3 '!P395</f>
        <v>0</v>
      </c>
      <c r="P215" s="234"/>
    </row>
    <row r="216" spans="1:16" s="28" customFormat="1" ht="47.25" x14ac:dyDescent="0.25">
      <c r="A216" s="19">
        <v>7375</v>
      </c>
      <c r="B216" s="30" t="s">
        <v>81</v>
      </c>
      <c r="C216" s="31" t="s">
        <v>734</v>
      </c>
      <c r="D216" s="66">
        <f>'дод 3 '!E297</f>
        <v>5500000</v>
      </c>
      <c r="E216" s="66">
        <f>'дод 3 '!F297</f>
        <v>5500000</v>
      </c>
      <c r="F216" s="66">
        <f>'дод 3 '!G297</f>
        <v>0</v>
      </c>
      <c r="G216" s="66">
        <f>'дод 3 '!H297</f>
        <v>0</v>
      </c>
      <c r="H216" s="66">
        <f>'дод 3 '!I297</f>
        <v>0</v>
      </c>
      <c r="I216" s="66">
        <f>'дод 3 '!J297</f>
        <v>26500000</v>
      </c>
      <c r="J216" s="66">
        <f>'дод 3 '!K297</f>
        <v>26500000</v>
      </c>
      <c r="K216" s="66">
        <f>'дод 3 '!L297</f>
        <v>0</v>
      </c>
      <c r="L216" s="66">
        <f>'дод 3 '!M297</f>
        <v>0</v>
      </c>
      <c r="M216" s="66">
        <f>'дод 3 '!N297</f>
        <v>0</v>
      </c>
      <c r="N216" s="66">
        <f>'дод 3 '!O297</f>
        <v>26500000</v>
      </c>
      <c r="O216" s="66">
        <f>'дод 3 '!P297</f>
        <v>32000000</v>
      </c>
      <c r="P216" s="238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698</v>
      </c>
      <c r="D217" s="66">
        <f>'дод 3 '!E298</f>
        <v>0</v>
      </c>
      <c r="E217" s="66">
        <f>'дод 3 '!F298</f>
        <v>0</v>
      </c>
      <c r="F217" s="66">
        <f>'дод 3 '!G298</f>
        <v>0</v>
      </c>
      <c r="G217" s="66">
        <f>'дод 3 '!H298</f>
        <v>0</v>
      </c>
      <c r="H217" s="66">
        <f>'дод 3 '!I298</f>
        <v>0</v>
      </c>
      <c r="I217" s="66">
        <f>'дод 3 '!J298</f>
        <v>400000000</v>
      </c>
      <c r="J217" s="66">
        <f>'дод 3 '!K298</f>
        <v>0</v>
      </c>
      <c r="K217" s="66">
        <f>'дод 3 '!L298</f>
        <v>0</v>
      </c>
      <c r="L217" s="66">
        <f>'дод 3 '!M298</f>
        <v>0</v>
      </c>
      <c r="M217" s="66">
        <f>'дод 3 '!N298</f>
        <v>0</v>
      </c>
      <c r="N217" s="66">
        <f>'дод 3 '!O298</f>
        <v>400000000</v>
      </c>
      <c r="O217" s="66">
        <f>'дод 3 '!P298</f>
        <v>400000000</v>
      </c>
      <c r="P217" s="234"/>
    </row>
    <row r="218" spans="1:16" s="28" customFormat="1" ht="48" customHeight="1" x14ac:dyDescent="0.25">
      <c r="A218" s="19"/>
      <c r="B218" s="30"/>
      <c r="C218" s="44" t="s">
        <v>699</v>
      </c>
      <c r="D218" s="67">
        <f>'дод 3 '!E299</f>
        <v>0</v>
      </c>
      <c r="E218" s="67">
        <f>'дод 3 '!F299</f>
        <v>0</v>
      </c>
      <c r="F218" s="67">
        <f>'дод 3 '!G299</f>
        <v>0</v>
      </c>
      <c r="G218" s="67">
        <f>'дод 3 '!H299</f>
        <v>0</v>
      </c>
      <c r="H218" s="67">
        <f>'дод 3 '!I299</f>
        <v>0</v>
      </c>
      <c r="I218" s="67">
        <f>'дод 3 '!J299</f>
        <v>400000000</v>
      </c>
      <c r="J218" s="67">
        <f>'дод 3 '!K299</f>
        <v>0</v>
      </c>
      <c r="K218" s="67">
        <f>'дод 3 '!L299</f>
        <v>0</v>
      </c>
      <c r="L218" s="67">
        <f>'дод 3 '!M299</f>
        <v>0</v>
      </c>
      <c r="M218" s="67">
        <f>'дод 3 '!N299</f>
        <v>0</v>
      </c>
      <c r="N218" s="67">
        <f>'дод 3 '!O299</f>
        <v>400000000</v>
      </c>
      <c r="O218" s="67">
        <f>'дод 3 '!P299</f>
        <v>400000000</v>
      </c>
      <c r="P218" s="234"/>
    </row>
    <row r="219" spans="1:16" s="28" customFormat="1" ht="63.75" customHeight="1" x14ac:dyDescent="0.25">
      <c r="A219" s="19">
        <v>7384</v>
      </c>
      <c r="B219" s="30" t="s">
        <v>81</v>
      </c>
      <c r="C219" s="31" t="s">
        <v>725</v>
      </c>
      <c r="D219" s="66">
        <f>'дод 3 '!E138+'дод 3 '!E300</f>
        <v>0</v>
      </c>
      <c r="E219" s="66">
        <f>'дод 3 '!F138+'дод 3 '!F300</f>
        <v>0</v>
      </c>
      <c r="F219" s="66">
        <f>'дод 3 '!G138+'дод 3 '!G300</f>
        <v>0</v>
      </c>
      <c r="G219" s="66">
        <f>'дод 3 '!H138+'дод 3 '!H300</f>
        <v>0</v>
      </c>
      <c r="H219" s="66">
        <f>'дод 3 '!I138+'дод 3 '!I300</f>
        <v>0</v>
      </c>
      <c r="I219" s="66">
        <f>'дод 3 '!J138+'дод 3 '!J300</f>
        <v>68535256</v>
      </c>
      <c r="J219" s="66">
        <f>'дод 3 '!K138+'дод 3 '!K300</f>
        <v>0</v>
      </c>
      <c r="K219" s="66">
        <f>'дод 3 '!L138+'дод 3 '!L300</f>
        <v>0</v>
      </c>
      <c r="L219" s="66">
        <f>'дод 3 '!M138+'дод 3 '!M300</f>
        <v>0</v>
      </c>
      <c r="M219" s="66">
        <f>'дод 3 '!N138+'дод 3 '!N300</f>
        <v>0</v>
      </c>
      <c r="N219" s="66">
        <f>'дод 3 '!O138+'дод 3 '!O300</f>
        <v>68535256</v>
      </c>
      <c r="O219" s="66">
        <f>'дод 3 '!P138+'дод 3 '!P300</f>
        <v>68535256</v>
      </c>
      <c r="P219" s="238"/>
    </row>
    <row r="220" spans="1:16" s="28" customFormat="1" ht="110.25" customHeight="1" x14ac:dyDescent="0.25">
      <c r="A220" s="19"/>
      <c r="B220" s="30"/>
      <c r="C220" s="44" t="s">
        <v>727</v>
      </c>
      <c r="D220" s="67">
        <f>'дод 3 '!E139+'дод 3 '!E301</f>
        <v>0</v>
      </c>
      <c r="E220" s="67">
        <f>'дод 3 '!F139+'дод 3 '!F301</f>
        <v>0</v>
      </c>
      <c r="F220" s="67">
        <f>'дод 3 '!G139+'дод 3 '!G301</f>
        <v>0</v>
      </c>
      <c r="G220" s="67">
        <f>'дод 3 '!H139+'дод 3 '!H301</f>
        <v>0</v>
      </c>
      <c r="H220" s="67">
        <f>'дод 3 '!I139+'дод 3 '!I301</f>
        <v>0</v>
      </c>
      <c r="I220" s="67">
        <f>'дод 3 '!J139+'дод 3 '!J301</f>
        <v>68535256</v>
      </c>
      <c r="J220" s="67">
        <f>'дод 3 '!K139+'дод 3 '!K301</f>
        <v>0</v>
      </c>
      <c r="K220" s="67">
        <f>'дод 3 '!L139+'дод 3 '!L301</f>
        <v>0</v>
      </c>
      <c r="L220" s="67">
        <f>'дод 3 '!M139+'дод 3 '!M301</f>
        <v>0</v>
      </c>
      <c r="M220" s="67">
        <f>'дод 3 '!N139+'дод 3 '!N301</f>
        <v>0</v>
      </c>
      <c r="N220" s="67">
        <f>'дод 3 '!O139+'дод 3 '!O301</f>
        <v>68535256</v>
      </c>
      <c r="O220" s="67">
        <f>'дод 3 '!P139+'дод 3 '!P301</f>
        <v>68535256</v>
      </c>
      <c r="P220" s="238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81641143</v>
      </c>
      <c r="E221" s="25">
        <f t="shared" ref="E221:N221" si="42">E225+E226+E227+E228+E230+E232+E231</f>
        <v>1967700</v>
      </c>
      <c r="F221" s="25">
        <f t="shared" si="42"/>
        <v>0</v>
      </c>
      <c r="G221" s="25">
        <f t="shared" si="42"/>
        <v>0</v>
      </c>
      <c r="H221" s="25">
        <f t="shared" si="42"/>
        <v>79673443</v>
      </c>
      <c r="I221" s="25">
        <f>I225+I226+I227+I228+I230+I232+I231</f>
        <v>17709000</v>
      </c>
      <c r="J221" s="25">
        <f t="shared" si="42"/>
        <v>0</v>
      </c>
      <c r="K221" s="25">
        <f t="shared" si="42"/>
        <v>17709000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99350143</v>
      </c>
      <c r="P221" s="234"/>
    </row>
    <row r="222" spans="1:16" s="27" customFormat="1" ht="97.5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17709000</v>
      </c>
      <c r="J222" s="68">
        <f t="shared" si="43"/>
        <v>0</v>
      </c>
      <c r="K222" s="68">
        <f t="shared" si="43"/>
        <v>17709000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17709000</v>
      </c>
      <c r="P222" s="234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34"/>
    </row>
    <row r="224" spans="1:16" s="27" customFormat="1" ht="15.75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34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3 '!E42</f>
        <v>14205800</v>
      </c>
      <c r="E225" s="66">
        <f>'дод 3 '!F42</f>
        <v>0</v>
      </c>
      <c r="F225" s="66">
        <f>'дод 3 '!G42</f>
        <v>0</v>
      </c>
      <c r="G225" s="66">
        <f>'дод 3 '!H42</f>
        <v>0</v>
      </c>
      <c r="H225" s="66">
        <f>'дод 3 '!I42</f>
        <v>14205800</v>
      </c>
      <c r="I225" s="66">
        <f>'дод 3 '!J42</f>
        <v>0</v>
      </c>
      <c r="J225" s="66">
        <f>'дод 3 '!K42</f>
        <v>0</v>
      </c>
      <c r="K225" s="66">
        <f>'дод 3 '!L42</f>
        <v>0</v>
      </c>
      <c r="L225" s="66">
        <f>'дод 3 '!M42</f>
        <v>0</v>
      </c>
      <c r="M225" s="66">
        <f>'дод 3 '!N42</f>
        <v>0</v>
      </c>
      <c r="N225" s="66">
        <f>'дод 3 '!O42</f>
        <v>0</v>
      </c>
      <c r="O225" s="66">
        <f>'дод 3 '!P42</f>
        <v>14205800</v>
      </c>
      <c r="P225" s="234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3 '!E43</f>
        <v>5937700</v>
      </c>
      <c r="E226" s="66">
        <f>'дод 3 '!F43</f>
        <v>0</v>
      </c>
      <c r="F226" s="66">
        <f>'дод 3 '!G43</f>
        <v>0</v>
      </c>
      <c r="G226" s="66">
        <f>'дод 3 '!H43</f>
        <v>0</v>
      </c>
      <c r="H226" s="66">
        <f>'дод 3 '!I43</f>
        <v>5937700</v>
      </c>
      <c r="I226" s="66">
        <f>'дод 3 '!J43</f>
        <v>0</v>
      </c>
      <c r="J226" s="66">
        <f>'дод 3 '!K43</f>
        <v>0</v>
      </c>
      <c r="K226" s="66">
        <f>'дод 3 '!L43</f>
        <v>0</v>
      </c>
      <c r="L226" s="66">
        <f>'дод 3 '!M43</f>
        <v>0</v>
      </c>
      <c r="M226" s="66">
        <f>'дод 3 '!N43</f>
        <v>0</v>
      </c>
      <c r="N226" s="66">
        <f>'дод 3 '!O43</f>
        <v>0</v>
      </c>
      <c r="O226" s="66">
        <f>'дод 3 '!P43</f>
        <v>5937700</v>
      </c>
      <c r="P226" s="234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3 '!E44</f>
        <v>41613200</v>
      </c>
      <c r="E227" s="66">
        <f>'дод 3 '!F44</f>
        <v>0</v>
      </c>
      <c r="F227" s="66">
        <f>'дод 3 '!G44</f>
        <v>0</v>
      </c>
      <c r="G227" s="66">
        <f>'дод 3 '!H44</f>
        <v>0</v>
      </c>
      <c r="H227" s="66">
        <f>'дод 3 '!I44</f>
        <v>41613200</v>
      </c>
      <c r="I227" s="66">
        <f>'дод 3 '!J44</f>
        <v>0</v>
      </c>
      <c r="J227" s="66">
        <f>'дод 3 '!K44</f>
        <v>0</v>
      </c>
      <c r="K227" s="66">
        <f>'дод 3 '!L44</f>
        <v>0</v>
      </c>
      <c r="L227" s="66">
        <f>'дод 3 '!M44</f>
        <v>0</v>
      </c>
      <c r="M227" s="66">
        <f>'дод 3 '!N44</f>
        <v>0</v>
      </c>
      <c r="N227" s="66">
        <f>'дод 3 '!O44</f>
        <v>0</v>
      </c>
      <c r="O227" s="66">
        <f>'дод 3 '!P44</f>
        <v>41613200</v>
      </c>
      <c r="P227" s="234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3 '!E45</f>
        <v>17916743</v>
      </c>
      <c r="E228" s="66">
        <f>'дод 3 '!F45</f>
        <v>0</v>
      </c>
      <c r="F228" s="66">
        <f>'дод 3 '!G45</f>
        <v>0</v>
      </c>
      <c r="G228" s="66">
        <f>'дод 3 '!H45</f>
        <v>0</v>
      </c>
      <c r="H228" s="66">
        <f>'дод 3 '!I45</f>
        <v>17916743</v>
      </c>
      <c r="I228" s="66">
        <f>'дод 3 '!J45</f>
        <v>0</v>
      </c>
      <c r="J228" s="66">
        <f>'дод 3 '!K45</f>
        <v>0</v>
      </c>
      <c r="K228" s="66">
        <f>'дод 3 '!L45</f>
        <v>0</v>
      </c>
      <c r="L228" s="66">
        <f>'дод 3 '!M45</f>
        <v>0</v>
      </c>
      <c r="M228" s="66">
        <f>'дод 3 '!N45</f>
        <v>0</v>
      </c>
      <c r="N228" s="66">
        <f>'дод 3 '!O45</f>
        <v>0</v>
      </c>
      <c r="O228" s="66">
        <f>'дод 3 '!P45</f>
        <v>17916743</v>
      </c>
      <c r="P228" s="234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3 '!E293</f>
        <v>0</v>
      </c>
      <c r="E229" s="67">
        <f>'дод 3 '!F293</f>
        <v>0</v>
      </c>
      <c r="F229" s="67">
        <f>'дод 3 '!G293</f>
        <v>0</v>
      </c>
      <c r="G229" s="67">
        <f>'дод 3 '!H293</f>
        <v>0</v>
      </c>
      <c r="H229" s="67">
        <f>'дод 3 '!I293</f>
        <v>0</v>
      </c>
      <c r="I229" s="67">
        <f>'дод 3 '!J293</f>
        <v>0</v>
      </c>
      <c r="J229" s="67">
        <f>'дод 3 '!K293</f>
        <v>0</v>
      </c>
      <c r="K229" s="67">
        <f>'дод 3 '!L293</f>
        <v>0</v>
      </c>
      <c r="L229" s="67">
        <f>'дод 3 '!M293</f>
        <v>0</v>
      </c>
      <c r="M229" s="67">
        <f>'дод 3 '!N293</f>
        <v>0</v>
      </c>
      <c r="N229" s="67">
        <f>'дод 3 '!O293</f>
        <v>0</v>
      </c>
      <c r="O229" s="67">
        <f>'дод 3 '!P293</f>
        <v>0</v>
      </c>
      <c r="P229" s="234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3 '!E46</f>
        <v>0</v>
      </c>
      <c r="E230" s="66">
        <f>'дод 3 '!F46</f>
        <v>0</v>
      </c>
      <c r="F230" s="66">
        <f>'дод 3 '!G46</f>
        <v>0</v>
      </c>
      <c r="G230" s="66">
        <f>'дод 3 '!H46</f>
        <v>0</v>
      </c>
      <c r="H230" s="66">
        <f>'дод 3 '!I46</f>
        <v>0</v>
      </c>
      <c r="I230" s="66">
        <f>'дод 3 '!J46</f>
        <v>0</v>
      </c>
      <c r="J230" s="66">
        <f>'дод 3 '!K46</f>
        <v>0</v>
      </c>
      <c r="K230" s="66">
        <f>'дод 3 '!L46</f>
        <v>0</v>
      </c>
      <c r="L230" s="66">
        <f>'дод 3 '!M46</f>
        <v>0</v>
      </c>
      <c r="M230" s="66">
        <f>'дод 3 '!N46</f>
        <v>0</v>
      </c>
      <c r="N230" s="66">
        <f>'дод 3 '!O46</f>
        <v>0</v>
      </c>
      <c r="O230" s="66">
        <f>'дод 3 '!P46</f>
        <v>0</v>
      </c>
      <c r="P230" s="234"/>
    </row>
    <row r="231" spans="1:16" s="28" customFormat="1" ht="39" customHeight="1" x14ac:dyDescent="0.25">
      <c r="A231" s="29" t="s">
        <v>721</v>
      </c>
      <c r="B231" s="29" t="s">
        <v>393</v>
      </c>
      <c r="C231" s="31" t="s">
        <v>722</v>
      </c>
      <c r="D231" s="66">
        <f>'дод 3 '!E302</f>
        <v>1967700</v>
      </c>
      <c r="E231" s="66">
        <f>'дод 3 '!F302</f>
        <v>1967700</v>
      </c>
      <c r="F231" s="66">
        <f>'дод 3 '!G302</f>
        <v>0</v>
      </c>
      <c r="G231" s="66">
        <f>'дод 3 '!H302</f>
        <v>0</v>
      </c>
      <c r="H231" s="66">
        <f>'дод 3 '!I302</f>
        <v>0</v>
      </c>
      <c r="I231" s="66">
        <f>'дод 3 '!J302</f>
        <v>0</v>
      </c>
      <c r="J231" s="66">
        <f>'дод 3 '!K302</f>
        <v>0</v>
      </c>
      <c r="K231" s="66">
        <f>'дод 3 '!L302</f>
        <v>0</v>
      </c>
      <c r="L231" s="66">
        <f>'дод 3 '!M302</f>
        <v>0</v>
      </c>
      <c r="M231" s="66">
        <f>'дод 3 '!N302</f>
        <v>0</v>
      </c>
      <c r="N231" s="66">
        <f>'дод 3 '!O302</f>
        <v>0</v>
      </c>
      <c r="O231" s="66">
        <f>'дод 3 '!P302</f>
        <v>1967700</v>
      </c>
      <c r="P231" s="234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3 '!E303</f>
        <v>0</v>
      </c>
      <c r="E232" s="66">
        <f>'дод 3 '!F303</f>
        <v>0</v>
      </c>
      <c r="F232" s="66">
        <f>'дод 3 '!G303</f>
        <v>0</v>
      </c>
      <c r="G232" s="66">
        <f>'дод 3 '!H303</f>
        <v>0</v>
      </c>
      <c r="H232" s="66">
        <f>'дод 3 '!I303</f>
        <v>0</v>
      </c>
      <c r="I232" s="66">
        <f>'дод 3 '!J303</f>
        <v>17709000</v>
      </c>
      <c r="J232" s="66">
        <f>'дод 3 '!K303</f>
        <v>0</v>
      </c>
      <c r="K232" s="66">
        <f>'дод 3 '!L303</f>
        <v>17709000</v>
      </c>
      <c r="L232" s="66">
        <f>'дод 3 '!M303</f>
        <v>0</v>
      </c>
      <c r="M232" s="66">
        <f>'дод 3 '!N303</f>
        <v>0</v>
      </c>
      <c r="N232" s="66">
        <f>'дод 3 '!O303</f>
        <v>0</v>
      </c>
      <c r="O232" s="66">
        <f>'дод 3 '!P303</f>
        <v>17709000</v>
      </c>
      <c r="P232" s="234"/>
    </row>
    <row r="233" spans="1:16" s="28" customFormat="1" ht="104.25" customHeight="1" x14ac:dyDescent="0.25">
      <c r="A233" s="38"/>
      <c r="B233" s="38"/>
      <c r="C233" s="39" t="s">
        <v>390</v>
      </c>
      <c r="D233" s="67">
        <f>'дод 3 '!E304</f>
        <v>0</v>
      </c>
      <c r="E233" s="67">
        <f>'дод 3 '!F304</f>
        <v>0</v>
      </c>
      <c r="F233" s="67">
        <f>'дод 3 '!G304</f>
        <v>0</v>
      </c>
      <c r="G233" s="67">
        <f>'дод 3 '!H304</f>
        <v>0</v>
      </c>
      <c r="H233" s="67">
        <f>'дод 3 '!I304</f>
        <v>0</v>
      </c>
      <c r="I233" s="67">
        <f>'дод 3 '!J304</f>
        <v>17709000</v>
      </c>
      <c r="J233" s="67">
        <f>'дод 3 '!K304</f>
        <v>0</v>
      </c>
      <c r="K233" s="67">
        <f>'дод 3 '!L304</f>
        <v>17709000</v>
      </c>
      <c r="L233" s="67">
        <f>'дод 3 '!M304</f>
        <v>0</v>
      </c>
      <c r="M233" s="67">
        <f>'дод 3 '!N304</f>
        <v>0</v>
      </c>
      <c r="N233" s="67">
        <f>'дод 3 '!O304</f>
        <v>0</v>
      </c>
      <c r="O233" s="67">
        <f>'дод 3 '!P304</f>
        <v>17709000</v>
      </c>
      <c r="P233" s="234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34"/>
    </row>
    <row r="235" spans="1:16" ht="28.5" customHeight="1" x14ac:dyDescent="0.25">
      <c r="A235" s="22" t="s">
        <v>232</v>
      </c>
      <c r="B235" s="22" t="s">
        <v>233</v>
      </c>
      <c r="C235" s="11" t="s">
        <v>231</v>
      </c>
      <c r="D235" s="66">
        <f>'дод 3 '!E47+'дод 3 '!E296</f>
        <v>6446348</v>
      </c>
      <c r="E235" s="66">
        <f>'дод 3 '!F47+'дод 3 '!F296</f>
        <v>6446348</v>
      </c>
      <c r="F235" s="66">
        <f>'дод 3 '!G47+'дод 3 '!G296</f>
        <v>0</v>
      </c>
      <c r="G235" s="66">
        <f>'дод 3 '!H47+'дод 3 '!H296</f>
        <v>0</v>
      </c>
      <c r="H235" s="66">
        <f>'дод 3 '!I47+'дод 3 '!I296</f>
        <v>0</v>
      </c>
      <c r="I235" s="66">
        <f>'дод 3 '!J47+'дод 3 '!J296</f>
        <v>3793854</v>
      </c>
      <c r="J235" s="66">
        <f>'дод 3 '!K47+'дод 3 '!K296</f>
        <v>3793854</v>
      </c>
      <c r="K235" s="66">
        <f>'дод 3 '!L47+'дод 3 '!L296</f>
        <v>0</v>
      </c>
      <c r="L235" s="66">
        <f>'дод 3 '!M47+'дод 3 '!M296</f>
        <v>0</v>
      </c>
      <c r="M235" s="66">
        <f>'дод 3 '!N47+'дод 3 '!N296</f>
        <v>0</v>
      </c>
      <c r="N235" s="66">
        <f>'дод 3 '!O47+'дод 3 '!O296</f>
        <v>3793854</v>
      </c>
      <c r="O235" s="66">
        <f>'дод 3 '!P47+'дод 3 '!P296</f>
        <v>10240202</v>
      </c>
      <c r="P235" s="234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10543969</v>
      </c>
      <c r="E236" s="25">
        <f t="shared" ref="E236:H236" si="45">E238+E239+E241+E242+E243+E245+E246+E247</f>
        <v>8077183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234470302.63</v>
      </c>
      <c r="J236" s="25">
        <f t="shared" ref="J236:O236" si="46">J238+J239+J241+J242+J243+J245+J246+J247</f>
        <v>234200222</v>
      </c>
      <c r="K236" s="25">
        <f t="shared" si="46"/>
        <v>270080.63</v>
      </c>
      <c r="L236" s="25">
        <f t="shared" si="46"/>
        <v>0</v>
      </c>
      <c r="M236" s="25">
        <f t="shared" si="46"/>
        <v>0</v>
      </c>
      <c r="N236" s="25">
        <f t="shared" si="46"/>
        <v>234200222</v>
      </c>
      <c r="O236" s="25">
        <f t="shared" si="46"/>
        <v>245014271.63</v>
      </c>
      <c r="P236" s="283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3"/>
    </row>
    <row r="238" spans="1:16" ht="34.5" customHeight="1" x14ac:dyDescent="0.25">
      <c r="A238" s="19" t="s">
        <v>4</v>
      </c>
      <c r="B238" s="19" t="s">
        <v>86</v>
      </c>
      <c r="C238" s="3" t="s">
        <v>23</v>
      </c>
      <c r="D238" s="66">
        <f>'дод 3 '!E48+'дод 3 '!E377+'дод 3 '!E385+'дод 3 '!E396+'дод 3 '!E327+'дод 3 '!E372</f>
        <v>520000</v>
      </c>
      <c r="E238" s="66">
        <f>'дод 3 '!F48+'дод 3 '!F377+'дод 3 '!F385+'дод 3 '!F396+'дод 3 '!F327+'дод 3 '!F372</f>
        <v>170000</v>
      </c>
      <c r="F238" s="66">
        <f>'дод 3 '!G48+'дод 3 '!G377+'дод 3 '!G385+'дод 3 '!G396+'дод 3 '!G327+'дод 3 '!G372</f>
        <v>0</v>
      </c>
      <c r="G238" s="66">
        <f>'дод 3 '!H48+'дод 3 '!H377+'дод 3 '!H385+'дод 3 '!H396+'дод 3 '!H327+'дод 3 '!H372</f>
        <v>0</v>
      </c>
      <c r="H238" s="66">
        <f>'дод 3 '!I48+'дод 3 '!I377+'дод 3 '!I385+'дод 3 '!I396+'дод 3 '!I327+'дод 3 '!I372</f>
        <v>350000</v>
      </c>
      <c r="I238" s="66">
        <f>'дод 3 '!J48+'дод 3 '!J377+'дод 3 '!J385+'дод 3 '!J396+'дод 3 '!J327+'дод 3 '!J372</f>
        <v>0</v>
      </c>
      <c r="J238" s="66">
        <f>'дод 3 '!K48+'дод 3 '!K377+'дод 3 '!K385+'дод 3 '!K396+'дод 3 '!K327+'дод 3 '!K372</f>
        <v>0</v>
      </c>
      <c r="K238" s="66">
        <f>'дод 3 '!L48+'дод 3 '!L377+'дод 3 '!L385+'дод 3 '!L396+'дод 3 '!L327+'дод 3 '!L372</f>
        <v>0</v>
      </c>
      <c r="L238" s="66">
        <f>'дод 3 '!M48+'дод 3 '!M377+'дод 3 '!M385+'дод 3 '!M396+'дод 3 '!M327+'дод 3 '!M372</f>
        <v>0</v>
      </c>
      <c r="M238" s="66">
        <f>'дод 3 '!N48+'дод 3 '!N377+'дод 3 '!N385+'дод 3 '!N396+'дод 3 '!N327+'дод 3 '!N372</f>
        <v>0</v>
      </c>
      <c r="N238" s="66">
        <f>'дод 3 '!O48+'дод 3 '!O377+'дод 3 '!O385+'дод 3 '!O396+'дод 3 '!O327+'дод 3 '!O372</f>
        <v>0</v>
      </c>
      <c r="O238" s="66">
        <f>'дод 3 '!P48+'дод 3 '!P377+'дод 3 '!P385+'дод 3 '!P396+'дод 3 '!P327+'дод 3 '!P372</f>
        <v>520000</v>
      </c>
      <c r="P238" s="283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3 '!E140+'дод 3 '!E186+'дод 3 '!E254+'дод 3 '!E305+'дод 3 '!E354+'дод 3 '!E403+'дод 3 '!E232+'дод 3 '!E49</f>
        <v>5919500</v>
      </c>
      <c r="E239" s="66">
        <f>'дод 3 '!F140+'дод 3 '!F186+'дод 3 '!F254+'дод 3 '!F305+'дод 3 '!F354+'дод 3 '!F403+'дод 3 '!F232+'дод 3 '!F49</f>
        <v>4152714</v>
      </c>
      <c r="F239" s="66">
        <f>'дод 3 '!G140+'дод 3 '!G186+'дод 3 '!G254+'дод 3 '!G305+'дод 3 '!G354+'дод 3 '!G403+'дод 3 '!G232+'дод 3 '!G49</f>
        <v>0</v>
      </c>
      <c r="G239" s="66">
        <f>'дод 3 '!H140+'дод 3 '!H186+'дод 3 '!H254+'дод 3 '!H305+'дод 3 '!H354+'дод 3 '!H403+'дод 3 '!H232+'дод 3 '!H49</f>
        <v>0</v>
      </c>
      <c r="H239" s="66">
        <f>'дод 3 '!I140+'дод 3 '!I186+'дод 3 '!I254+'дод 3 '!I305+'дод 3 '!I354+'дод 3 '!I403+'дод 3 '!I232+'дод 3 '!I49</f>
        <v>1766786</v>
      </c>
      <c r="I239" s="66">
        <f>'дод 3 '!J140+'дод 3 '!J186+'дод 3 '!J254+'дод 3 '!J305+'дод 3 '!J354+'дод 3 '!J403+'дод 3 '!J232+'дод 3 '!J49</f>
        <v>230185432</v>
      </c>
      <c r="J239" s="66">
        <f>'дод 3 '!K140+'дод 3 '!K186+'дод 3 '!K254+'дод 3 '!K305+'дод 3 '!K354+'дод 3 '!K403+'дод 3 '!K232+'дод 3 '!K49</f>
        <v>230185432</v>
      </c>
      <c r="K239" s="66">
        <f>'дод 3 '!L140+'дод 3 '!L186+'дод 3 '!L254+'дод 3 '!L305+'дод 3 '!L354+'дод 3 '!L403+'дод 3 '!L232+'дод 3 '!L49</f>
        <v>0</v>
      </c>
      <c r="L239" s="66">
        <f>'дод 3 '!M140+'дод 3 '!M186+'дод 3 '!M254+'дод 3 '!M305+'дод 3 '!M354+'дод 3 '!M403+'дод 3 '!M232+'дод 3 '!M49</f>
        <v>0</v>
      </c>
      <c r="M239" s="66">
        <f>'дод 3 '!N140+'дод 3 '!N186+'дод 3 '!N254+'дод 3 '!N305+'дод 3 '!N354+'дод 3 '!N403+'дод 3 '!N232+'дод 3 '!N49</f>
        <v>0</v>
      </c>
      <c r="N239" s="66">
        <f>'дод 3 '!O140+'дод 3 '!O186+'дод 3 '!O254+'дод 3 '!O305+'дод 3 '!O354+'дод 3 '!O403+'дод 3 '!O232+'дод 3 '!O49</f>
        <v>230185432</v>
      </c>
      <c r="O239" s="66">
        <f>'дод 3 '!P140+'дод 3 '!P186+'дод 3 '!P254+'дод 3 '!P305+'дод 3 '!P354+'дод 3 '!P403+'дод 3 '!P232+'дод 3 '!P49</f>
        <v>236104932</v>
      </c>
      <c r="P239" s="283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3 '!E187+'дод 3 '!E355</f>
        <v>0</v>
      </c>
      <c r="E240" s="67">
        <f>'дод 3 '!F187+'дод 3 '!F355</f>
        <v>0</v>
      </c>
      <c r="F240" s="67">
        <f>'дод 3 '!G187+'дод 3 '!G355</f>
        <v>0</v>
      </c>
      <c r="G240" s="67">
        <f>'дод 3 '!H187+'дод 3 '!H355</f>
        <v>0</v>
      </c>
      <c r="H240" s="67">
        <f>'дод 3 '!I187+'дод 3 '!I355</f>
        <v>0</v>
      </c>
      <c r="I240" s="67">
        <f>'дод 3 '!J187+'дод 3 '!J355</f>
        <v>92214546</v>
      </c>
      <c r="J240" s="67">
        <f>'дод 3 '!K187+'дод 3 '!K355</f>
        <v>92214546</v>
      </c>
      <c r="K240" s="67">
        <f>'дод 3 '!L187+'дод 3 '!L355</f>
        <v>0</v>
      </c>
      <c r="L240" s="67">
        <f>'дод 3 '!M187+'дод 3 '!M355</f>
        <v>0</v>
      </c>
      <c r="M240" s="67">
        <f>'дод 3 '!N187+'дод 3 '!N355</f>
        <v>0</v>
      </c>
      <c r="N240" s="67">
        <f>'дод 3 '!O187+'дод 3 '!O355</f>
        <v>92214546</v>
      </c>
      <c r="O240" s="67">
        <f>'дод 3 '!P187+'дод 3 '!P355</f>
        <v>92214546</v>
      </c>
      <c r="P240" s="283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3 '!E378+'дод 3 '!E386+'дод 3 '!E397</f>
        <v>0</v>
      </c>
      <c r="E241" s="66">
        <f>'дод 3 '!F378+'дод 3 '!F386+'дод 3 '!F397</f>
        <v>0</v>
      </c>
      <c r="F241" s="66">
        <f>'дод 3 '!G378+'дод 3 '!G386+'дод 3 '!G397</f>
        <v>0</v>
      </c>
      <c r="G241" s="66">
        <f>'дод 3 '!H378+'дод 3 '!H386+'дод 3 '!H397</f>
        <v>0</v>
      </c>
      <c r="H241" s="66">
        <f>'дод 3 '!I378+'дод 3 '!I386+'дод 3 '!I397</f>
        <v>0</v>
      </c>
      <c r="I241" s="66">
        <f>'дод 3 '!J378+'дод 3 '!J386+'дод 3 '!J397</f>
        <v>30000</v>
      </c>
      <c r="J241" s="66">
        <f>'дод 3 '!K378+'дод 3 '!K386+'дод 3 '!K397</f>
        <v>30000</v>
      </c>
      <c r="K241" s="66">
        <f>'дод 3 '!L378+'дод 3 '!L386+'дод 3 '!L397</f>
        <v>0</v>
      </c>
      <c r="L241" s="66">
        <f>'дод 3 '!M378+'дод 3 '!M386+'дод 3 '!M397</f>
        <v>0</v>
      </c>
      <c r="M241" s="66">
        <f>'дод 3 '!N378+'дод 3 '!N386+'дод 3 '!N397</f>
        <v>0</v>
      </c>
      <c r="N241" s="66">
        <f>'дод 3 '!O378+'дод 3 '!O386+'дод 3 '!O397</f>
        <v>30000</v>
      </c>
      <c r="O241" s="66">
        <f>'дод 3 '!P378+'дод 3 '!P386+'дод 3 '!P397</f>
        <v>30000</v>
      </c>
      <c r="P241" s="283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3 '!E379+'дод 3 '!E387+'дод 3 '!E398</f>
        <v>0</v>
      </c>
      <c r="E242" s="66">
        <f>'дод 3 '!F379+'дод 3 '!F387+'дод 3 '!F398</f>
        <v>0</v>
      </c>
      <c r="F242" s="66">
        <f>'дод 3 '!G379+'дод 3 '!G387+'дод 3 '!G398</f>
        <v>0</v>
      </c>
      <c r="G242" s="66">
        <f>'дод 3 '!H379+'дод 3 '!H387+'дод 3 '!H398</f>
        <v>0</v>
      </c>
      <c r="H242" s="66">
        <f>'дод 3 '!I379+'дод 3 '!I387+'дод 3 '!I398</f>
        <v>0</v>
      </c>
      <c r="I242" s="66">
        <f>'дод 3 '!J379+'дод 3 '!J387+'дод 3 '!J398</f>
        <v>145000</v>
      </c>
      <c r="J242" s="66">
        <f>'дод 3 '!K379+'дод 3 '!K387+'дод 3 '!K398</f>
        <v>145000</v>
      </c>
      <c r="K242" s="66">
        <f>'дод 3 '!L379+'дод 3 '!L387+'дод 3 '!L398</f>
        <v>0</v>
      </c>
      <c r="L242" s="66">
        <f>'дод 3 '!M379+'дод 3 '!M387+'дод 3 '!M398</f>
        <v>0</v>
      </c>
      <c r="M242" s="66">
        <f>'дод 3 '!N379+'дод 3 '!N387+'дод 3 '!N398</f>
        <v>0</v>
      </c>
      <c r="N242" s="66">
        <f>'дод 3 '!O379+'дод 3 '!O387+'дод 3 '!O398</f>
        <v>145000</v>
      </c>
      <c r="O242" s="66">
        <f>'дод 3 '!P379+'дод 3 '!P387+'дод 3 '!P398</f>
        <v>145000</v>
      </c>
      <c r="P242" s="283"/>
    </row>
    <row r="243" spans="1:16" ht="30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3 '!J50+'дод 3 '!J306</f>
        <v>3839790</v>
      </c>
      <c r="J243" s="66">
        <f>'дод 3 '!K50+'дод 3 '!K306</f>
        <v>3839790</v>
      </c>
      <c r="K243" s="66">
        <f>'дод 3 '!L50+'дод 3 '!L306+'дод 3 '!L306</f>
        <v>0</v>
      </c>
      <c r="L243" s="66">
        <f>'дод 3 '!M50+'дод 3 '!M306+'дод 3 '!M306</f>
        <v>0</v>
      </c>
      <c r="M243" s="66">
        <f>'дод 3 '!N50+'дод 3 '!N306+'дод 3 '!N306</f>
        <v>0</v>
      </c>
      <c r="N243" s="66">
        <f>'дод 3 '!O50+'дод 3 '!O306</f>
        <v>3839790</v>
      </c>
      <c r="O243" s="66">
        <f>'дод 3 '!P50+'дод 3 '!P306</f>
        <v>3839790</v>
      </c>
      <c r="P243" s="283"/>
    </row>
    <row r="244" spans="1:16" ht="16.5" hidden="1" customHeight="1" x14ac:dyDescent="0.25">
      <c r="A244" s="19"/>
      <c r="B244" s="19"/>
      <c r="C244" s="44" t="s">
        <v>410</v>
      </c>
      <c r="D244" s="66">
        <f>'дод 3 '!E307</f>
        <v>0</v>
      </c>
      <c r="E244" s="66">
        <f>'дод 3 '!F307</f>
        <v>0</v>
      </c>
      <c r="F244" s="66">
        <f>'дод 3 '!G307</f>
        <v>0</v>
      </c>
      <c r="G244" s="66">
        <f>'дод 3 '!H307</f>
        <v>0</v>
      </c>
      <c r="H244" s="66">
        <f>'дод 3 '!I307</f>
        <v>0</v>
      </c>
      <c r="I244" s="66">
        <f>'дод 3 '!J307</f>
        <v>0</v>
      </c>
      <c r="J244" s="66">
        <f>'дод 3 '!K307</f>
        <v>0</v>
      </c>
      <c r="K244" s="66">
        <f>'дод 3 '!L307</f>
        <v>0</v>
      </c>
      <c r="L244" s="66">
        <f>'дод 3 '!M307</f>
        <v>0</v>
      </c>
      <c r="M244" s="66">
        <f>'дод 3 '!N307</f>
        <v>0</v>
      </c>
      <c r="N244" s="66">
        <f>'дод 3 '!O307</f>
        <v>0</v>
      </c>
      <c r="O244" s="66">
        <f>'дод 3 '!P307</f>
        <v>0</v>
      </c>
      <c r="P244" s="283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3 '!E51</f>
        <v>452139</v>
      </c>
      <c r="E245" s="66">
        <f>'дод 3 '!F51</f>
        <v>452139</v>
      </c>
      <c r="F245" s="66">
        <f>'дод 3 '!G51</f>
        <v>0</v>
      </c>
      <c r="G245" s="66">
        <f>'дод 3 '!H51</f>
        <v>0</v>
      </c>
      <c r="H245" s="66">
        <f>'дод 3 '!I51</f>
        <v>0</v>
      </c>
      <c r="I245" s="66">
        <f>'дод 3 '!J51</f>
        <v>0</v>
      </c>
      <c r="J245" s="66">
        <f>'дод 3 '!K51</f>
        <v>0</v>
      </c>
      <c r="K245" s="66">
        <f>'дод 3 '!L51</f>
        <v>0</v>
      </c>
      <c r="L245" s="66">
        <f>'дод 3 '!M51</f>
        <v>0</v>
      </c>
      <c r="M245" s="66">
        <f>'дод 3 '!N51</f>
        <v>0</v>
      </c>
      <c r="N245" s="66">
        <f>'дод 3 '!O51</f>
        <v>0</v>
      </c>
      <c r="O245" s="66">
        <f>'дод 3 '!P51</f>
        <v>452139</v>
      </c>
      <c r="P245" s="283"/>
    </row>
    <row r="246" spans="1:16" s="28" customFormat="1" ht="107.25" customHeight="1" x14ac:dyDescent="0.25">
      <c r="A246" s="19" t="s">
        <v>291</v>
      </c>
      <c r="B246" s="19" t="s">
        <v>81</v>
      </c>
      <c r="C246" s="3" t="s">
        <v>309</v>
      </c>
      <c r="D246" s="66">
        <f>'дод 3 '!E52+'дод 3 '!E308+'дод 3 '!E356+'дод 3 '!E365</f>
        <v>0</v>
      </c>
      <c r="E246" s="66">
        <f>'дод 3 '!F52+'дод 3 '!F308+'дод 3 '!F356+'дод 3 '!F365</f>
        <v>0</v>
      </c>
      <c r="F246" s="66">
        <f>'дод 3 '!G52+'дод 3 '!G308+'дод 3 '!G356+'дод 3 '!G365</f>
        <v>0</v>
      </c>
      <c r="G246" s="66">
        <f>'дод 3 '!H52+'дод 3 '!H308+'дод 3 '!H356+'дод 3 '!H365</f>
        <v>0</v>
      </c>
      <c r="H246" s="66">
        <f>'дод 3 '!I52+'дод 3 '!I308+'дод 3 '!I356+'дод 3 '!I365</f>
        <v>0</v>
      </c>
      <c r="I246" s="66">
        <f>'дод 3 '!J52+'дод 3 '!J308+'дод 3 '!J356+'дод 3 '!J365</f>
        <v>270080.63</v>
      </c>
      <c r="J246" s="66">
        <f>'дод 3 '!K52+'дод 3 '!K308+'дод 3 '!K356+'дод 3 '!K365</f>
        <v>0</v>
      </c>
      <c r="K246" s="66">
        <f>'дод 3 '!L52+'дод 3 '!L308+'дод 3 '!L356+'дод 3 '!L365</f>
        <v>270080.63</v>
      </c>
      <c r="L246" s="66">
        <f>'дод 3 '!M52+'дод 3 '!M308+'дод 3 '!M356+'дод 3 '!M365</f>
        <v>0</v>
      </c>
      <c r="M246" s="66">
        <f>'дод 3 '!N52+'дод 3 '!N308+'дод 3 '!N356+'дод 3 '!N365</f>
        <v>0</v>
      </c>
      <c r="N246" s="66">
        <f>'дод 3 '!O52+'дод 3 '!O308+'дод 3 '!O356+'дод 3 '!O365</f>
        <v>0</v>
      </c>
      <c r="O246" s="66">
        <f>'дод 3 '!P52+'дод 3 '!P308+'дод 3 '!P356+'дод 3 '!P365</f>
        <v>270080.63</v>
      </c>
      <c r="P246" s="283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3 '!E53+'дод 3 '!E380+'дод 3 '!E404+'дод 3 '!E137+'дод 3 '!E388+'дод 3 '!E399+'дод 3 '!E142</f>
        <v>3652330</v>
      </c>
      <c r="E247" s="66">
        <f>'дод 3 '!F53+'дод 3 '!F380+'дод 3 '!F404+'дод 3 '!F137+'дод 3 '!F388+'дод 3 '!F399+'дод 3 '!F142</f>
        <v>3302330</v>
      </c>
      <c r="F247" s="66">
        <f>'дод 3 '!G53+'дод 3 '!G380+'дод 3 '!G404+'дод 3 '!G137+'дод 3 '!G388+'дод 3 '!G399+'дод 3 '!G142</f>
        <v>0</v>
      </c>
      <c r="G247" s="66">
        <f>'дод 3 '!H53+'дод 3 '!H380+'дод 3 '!H404+'дод 3 '!H137+'дод 3 '!H388+'дод 3 '!H399+'дод 3 '!H142</f>
        <v>0</v>
      </c>
      <c r="H247" s="66">
        <f>'дод 3 '!I53+'дод 3 '!I380+'дод 3 '!I404+'дод 3 '!I137+'дод 3 '!I388+'дод 3 '!I399+'дод 3 '!I142</f>
        <v>350000</v>
      </c>
      <c r="I247" s="66">
        <f>'дод 3 '!J53+'дод 3 '!J380+'дод 3 '!J404+'дод 3 '!J137+'дод 3 '!J388+'дод 3 '!J399+'дод 3 '!J142</f>
        <v>0</v>
      </c>
      <c r="J247" s="66">
        <f>'дод 3 '!K53+'дод 3 '!K380+'дод 3 '!K404+'дод 3 '!K137+'дод 3 '!K388+'дод 3 '!K399+'дод 3 '!K142</f>
        <v>0</v>
      </c>
      <c r="K247" s="66">
        <f>'дод 3 '!L53+'дод 3 '!L380+'дод 3 '!L404+'дод 3 '!L137+'дод 3 '!L388+'дод 3 '!L399+'дод 3 '!L142</f>
        <v>0</v>
      </c>
      <c r="L247" s="66">
        <f>'дод 3 '!M53+'дод 3 '!M380+'дод 3 '!M404+'дод 3 '!M137+'дод 3 '!M388+'дод 3 '!M399+'дод 3 '!M142</f>
        <v>0</v>
      </c>
      <c r="M247" s="66">
        <f>'дод 3 '!N53+'дод 3 '!N380+'дод 3 '!N404+'дод 3 '!N137+'дод 3 '!N388+'дод 3 '!N399+'дод 3 '!N142</f>
        <v>0</v>
      </c>
      <c r="N247" s="66">
        <f>'дод 3 '!O53+'дод 3 '!O380+'дод 3 '!O404+'дод 3 '!O137+'дод 3 '!O388+'дод 3 '!O399+'дод 3 '!O142</f>
        <v>0</v>
      </c>
      <c r="O247" s="66">
        <f>'дод 3 '!P53+'дод 3 '!P380+'дод 3 '!P404+'дод 3 '!P137+'дод 3 '!P388+'дод 3 '!P399+'дод 3 '!P142</f>
        <v>3652330</v>
      </c>
      <c r="P247" s="283"/>
    </row>
    <row r="248" spans="1:16" s="27" customFormat="1" ht="59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3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3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3 '!E141+'дод 3 '!E188+'дод 3 '!E405+'дод 3 '!E143</f>
        <v>10000</v>
      </c>
      <c r="E250" s="66">
        <f>'дод 3 '!F141+'дод 3 '!F188+'дод 3 '!F405+'дод 3 '!F143</f>
        <v>10000</v>
      </c>
      <c r="F250" s="66">
        <f>'дод 3 '!G141+'дод 3 '!G188+'дод 3 '!G405+'дод 3 '!G143</f>
        <v>0</v>
      </c>
      <c r="G250" s="66">
        <f>'дод 3 '!H141+'дод 3 '!H188+'дод 3 '!H405+'дод 3 '!H143</f>
        <v>0</v>
      </c>
      <c r="H250" s="66">
        <f>'дод 3 '!I141+'дод 3 '!I188+'дод 3 '!I405+'дод 3 '!I143</f>
        <v>0</v>
      </c>
      <c r="I250" s="66">
        <f>'дод 3 '!J141+'дод 3 '!J188+'дод 3 '!J405+'дод 3 '!J143</f>
        <v>5010000</v>
      </c>
      <c r="J250" s="66">
        <f>'дод 3 '!K141+'дод 3 '!K188+'дод 3 '!K405+'дод 3 '!K143</f>
        <v>420000</v>
      </c>
      <c r="K250" s="66">
        <f>'дод 3 '!L141+'дод 3 '!L188+'дод 3 '!L405+'дод 3 '!L143</f>
        <v>50000</v>
      </c>
      <c r="L250" s="66">
        <f>'дод 3 '!M141+'дод 3 '!M188+'дод 3 '!M405+'дод 3 '!M143</f>
        <v>0</v>
      </c>
      <c r="M250" s="66">
        <f>'дод 3 '!N141+'дод 3 '!N188+'дод 3 '!N405+'дод 3 '!N143</f>
        <v>0</v>
      </c>
      <c r="N250" s="66">
        <f>'дод 3 '!O141+'дод 3 '!O188+'дод 3 '!O405+'дод 3 '!O143</f>
        <v>4960000</v>
      </c>
      <c r="O250" s="66">
        <f>'дод 3 '!P141+'дод 3 '!P188+'дод 3 '!P405+'дод 3 '!P143</f>
        <v>5020000</v>
      </c>
      <c r="P250" s="283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3 '!E189+'дод 3 '!E144</f>
        <v>0</v>
      </c>
      <c r="E251" s="66">
        <f>'дод 3 '!F189+'дод 3 '!F144</f>
        <v>0</v>
      </c>
      <c r="F251" s="66">
        <f>'дод 3 '!G189+'дод 3 '!G144</f>
        <v>0</v>
      </c>
      <c r="G251" s="66">
        <f>'дод 3 '!H189+'дод 3 '!H144</f>
        <v>0</v>
      </c>
      <c r="H251" s="66">
        <f>'дод 3 '!I189+'дод 3 '!I144</f>
        <v>0</v>
      </c>
      <c r="I251" s="67">
        <f>'дод 3 '!J189+'дод 3 '!J144</f>
        <v>4590000</v>
      </c>
      <c r="J251" s="66">
        <f>'дод 3 '!K189+'дод 3 '!K144</f>
        <v>0</v>
      </c>
      <c r="K251" s="67">
        <f>'дод 3 '!L189+'дод 3 '!L144</f>
        <v>50000</v>
      </c>
      <c r="L251" s="66">
        <f>'дод 3 '!M189+'дод 3 '!M144</f>
        <v>0</v>
      </c>
      <c r="M251" s="66">
        <f>'дод 3 '!N189+'дод 3 '!N144</f>
        <v>0</v>
      </c>
      <c r="N251" s="67">
        <f>'дод 3 '!O189+'дод 3 '!O144</f>
        <v>4540000</v>
      </c>
      <c r="O251" s="67">
        <f>'дод 3 '!P189+'дод 3 '!P144</f>
        <v>4590000</v>
      </c>
      <c r="P251" s="283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138946926.56</v>
      </c>
      <c r="E252" s="25">
        <f t="shared" si="49"/>
        <v>101388466</v>
      </c>
      <c r="F252" s="25">
        <f t="shared" si="49"/>
        <v>1999500</v>
      </c>
      <c r="G252" s="25">
        <f t="shared" si="49"/>
        <v>7734847</v>
      </c>
      <c r="H252" s="25">
        <f t="shared" si="49"/>
        <v>0</v>
      </c>
      <c r="I252" s="25">
        <f t="shared" si="49"/>
        <v>67390424</v>
      </c>
      <c r="J252" s="25">
        <f t="shared" si="49"/>
        <v>64048224</v>
      </c>
      <c r="K252" s="25">
        <f t="shared" si="49"/>
        <v>1947100</v>
      </c>
      <c r="L252" s="25">
        <f t="shared" si="49"/>
        <v>0</v>
      </c>
      <c r="M252" s="25">
        <f t="shared" si="49"/>
        <v>1600</v>
      </c>
      <c r="N252" s="25">
        <f t="shared" si="49"/>
        <v>65443324</v>
      </c>
      <c r="O252" s="25">
        <f t="shared" si="49"/>
        <v>206337350.56</v>
      </c>
      <c r="P252" s="283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3"/>
    </row>
    <row r="254" spans="1:16" s="26" customFormat="1" ht="44.25" customHeight="1" x14ac:dyDescent="0.25">
      <c r="A254" s="20" t="s">
        <v>95</v>
      </c>
      <c r="B254" s="21"/>
      <c r="C254" s="2" t="s">
        <v>678</v>
      </c>
      <c r="D254" s="25">
        <f t="shared" ref="D254:O254" si="51">D256+D257</f>
        <v>26084376</v>
      </c>
      <c r="E254" s="25">
        <f t="shared" si="51"/>
        <v>26084376</v>
      </c>
      <c r="F254" s="25">
        <f t="shared" si="51"/>
        <v>1999500</v>
      </c>
      <c r="G254" s="25">
        <f t="shared" si="51"/>
        <v>106500</v>
      </c>
      <c r="H254" s="25">
        <f t="shared" si="51"/>
        <v>0</v>
      </c>
      <c r="I254" s="25">
        <f>I256+I257</f>
        <v>55109605</v>
      </c>
      <c r="J254" s="25">
        <f t="shared" si="51"/>
        <v>55103505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55103505</v>
      </c>
      <c r="O254" s="25">
        <f t="shared" si="51"/>
        <v>81193981</v>
      </c>
      <c r="P254" s="283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3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3 '!E54+'дод 3 '!E309</f>
        <v>23486291</v>
      </c>
      <c r="E256" s="66">
        <f>'дод 3 '!F54+'дод 3 '!F309</f>
        <v>23486291</v>
      </c>
      <c r="F256" s="66">
        <f>'дод 3 '!G54+'дод 3 '!G309</f>
        <v>0</v>
      </c>
      <c r="G256" s="66">
        <f>'дод 3 '!H54+'дод 3 '!H309</f>
        <v>20900</v>
      </c>
      <c r="H256" s="66">
        <f>'дод 3 '!I54+'дод 3 '!I309</f>
        <v>0</v>
      </c>
      <c r="I256" s="66">
        <f>'дод 3 '!J54+'дод 3 '!J309</f>
        <v>55103505</v>
      </c>
      <c r="J256" s="66">
        <f>'дод 3 '!K54+'дод 3 '!K309</f>
        <v>55103505</v>
      </c>
      <c r="K256" s="66">
        <f>'дод 3 '!L54+'дод 3 '!L309</f>
        <v>0</v>
      </c>
      <c r="L256" s="66">
        <f>'дод 3 '!M54+'дод 3 '!M309</f>
        <v>0</v>
      </c>
      <c r="M256" s="66">
        <f>'дод 3 '!N54+'дод 3 '!N309</f>
        <v>0</v>
      </c>
      <c r="N256" s="66">
        <f>'дод 3 '!O54+'дод 3 '!O309</f>
        <v>55103505</v>
      </c>
      <c r="O256" s="66">
        <f>'дод 3 '!P54+'дод 3 '!P309</f>
        <v>78589796</v>
      </c>
      <c r="P256" s="283"/>
    </row>
    <row r="257" spans="1:16" ht="30" customHeight="1" x14ac:dyDescent="0.25">
      <c r="A257" s="19" t="s">
        <v>145</v>
      </c>
      <c r="B257" s="24" t="s">
        <v>88</v>
      </c>
      <c r="C257" s="3" t="s">
        <v>677</v>
      </c>
      <c r="D257" s="66">
        <f>'дод 3 '!E55</f>
        <v>2598085</v>
      </c>
      <c r="E257" s="66">
        <f>'дод 3 '!F55</f>
        <v>2598085</v>
      </c>
      <c r="F257" s="66">
        <f>'дод 3 '!G55</f>
        <v>1999500</v>
      </c>
      <c r="G257" s="66">
        <f>'дод 3 '!H55</f>
        <v>85600</v>
      </c>
      <c r="H257" s="66">
        <f>'дод 3 '!I55</f>
        <v>0</v>
      </c>
      <c r="I257" s="66">
        <f>'дод 3 '!J55</f>
        <v>6100</v>
      </c>
      <c r="J257" s="66">
        <f>'дод 3 '!K55</f>
        <v>0</v>
      </c>
      <c r="K257" s="66">
        <f>'дод 3 '!L55</f>
        <v>6100</v>
      </c>
      <c r="L257" s="66">
        <f>'дод 3 '!M55</f>
        <v>0</v>
      </c>
      <c r="M257" s="66">
        <f>'дод 3 '!N55</f>
        <v>1600</v>
      </c>
      <c r="N257" s="66">
        <f>'дод 3 '!O55</f>
        <v>0</v>
      </c>
      <c r="O257" s="66">
        <f>'дод 3 '!P55</f>
        <v>2604185</v>
      </c>
      <c r="P257" s="283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3 '!E56</f>
        <v>458400</v>
      </c>
      <c r="E258" s="67">
        <f>'дод 3 '!F56</f>
        <v>458400</v>
      </c>
      <c r="F258" s="67">
        <f>'дод 3 '!G56</f>
        <v>375680</v>
      </c>
      <c r="G258" s="67">
        <f>'дод 3 '!H56</f>
        <v>0</v>
      </c>
      <c r="H258" s="67">
        <f>'дод 3 '!I56</f>
        <v>0</v>
      </c>
      <c r="I258" s="67">
        <f>'дод 3 '!J56</f>
        <v>0</v>
      </c>
      <c r="J258" s="67">
        <f>'дод 3 '!K56</f>
        <v>0</v>
      </c>
      <c r="K258" s="67">
        <f>'дод 3 '!L56</f>
        <v>0</v>
      </c>
      <c r="L258" s="67">
        <f>'дод 3 '!M56</f>
        <v>0</v>
      </c>
      <c r="M258" s="67">
        <f>'дод 3 '!N56</f>
        <v>0</v>
      </c>
      <c r="N258" s="67">
        <f>'дод 3 '!O56</f>
        <v>0</v>
      </c>
      <c r="O258" s="67">
        <f>'дод 3 '!P56</f>
        <v>458400</v>
      </c>
      <c r="P258" s="283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73195281</v>
      </c>
      <c r="E259" s="25">
        <f t="shared" ref="E259:O259" si="53">E260+E261</f>
        <v>73195281</v>
      </c>
      <c r="F259" s="25">
        <f t="shared" si="53"/>
        <v>0</v>
      </c>
      <c r="G259" s="25">
        <f t="shared" si="53"/>
        <v>7628347</v>
      </c>
      <c r="H259" s="25">
        <f t="shared" si="53"/>
        <v>0</v>
      </c>
      <c r="I259" s="25">
        <f t="shared" si="53"/>
        <v>8944719</v>
      </c>
      <c r="J259" s="25">
        <f t="shared" si="53"/>
        <v>8944719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8944719</v>
      </c>
      <c r="O259" s="25">
        <f t="shared" si="53"/>
        <v>82140000</v>
      </c>
      <c r="P259" s="283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3 '!E57+'дод 3 '!E310</f>
        <v>603800</v>
      </c>
      <c r="E260" s="66">
        <f>'дод 3 '!F57+'дод 3 '!F310</f>
        <v>603800</v>
      </c>
      <c r="F260" s="66">
        <f>'дод 3 '!G57+'дод 3 '!G310</f>
        <v>0</v>
      </c>
      <c r="G260" s="66">
        <f>'дод 3 '!H57+'дод 3 '!H310</f>
        <v>421375</v>
      </c>
      <c r="H260" s="66">
        <f>'дод 3 '!I57+'дод 3 '!I310</f>
        <v>0</v>
      </c>
      <c r="I260" s="66">
        <f>'дод 3 '!J57+'дод 3 '!J310</f>
        <v>0</v>
      </c>
      <c r="J260" s="66">
        <f>'дод 3 '!K57+'дод 3 '!K310</f>
        <v>0</v>
      </c>
      <c r="K260" s="66">
        <f>'дод 3 '!L57+'дод 3 '!L310</f>
        <v>0</v>
      </c>
      <c r="L260" s="66">
        <f>'дод 3 '!M57+'дод 3 '!M310</f>
        <v>0</v>
      </c>
      <c r="M260" s="66">
        <f>'дод 3 '!N57+'дод 3 '!N310</f>
        <v>0</v>
      </c>
      <c r="N260" s="66">
        <f>'дод 3 '!O57+'дод 3 '!O310</f>
        <v>0</v>
      </c>
      <c r="O260" s="66">
        <f>'дод 3 '!P57+'дод 3 '!P310</f>
        <v>603800</v>
      </c>
      <c r="P260" s="283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3 '!E58+'дод 3 '!E311+'дод 3 '!E145</f>
        <v>72591481</v>
      </c>
      <c r="E261" s="66">
        <f>'дод 3 '!F58+'дод 3 '!F311+'дод 3 '!F145</f>
        <v>72591481</v>
      </c>
      <c r="F261" s="66">
        <f>'дод 3 '!G58+'дод 3 '!G311+'дод 3 '!G145</f>
        <v>0</v>
      </c>
      <c r="G261" s="66">
        <f>'дод 3 '!H58+'дод 3 '!H311+'дод 3 '!H145</f>
        <v>7206972</v>
      </c>
      <c r="H261" s="66">
        <f>'дод 3 '!I58+'дод 3 '!I311+'дод 3 '!I145</f>
        <v>0</v>
      </c>
      <c r="I261" s="66">
        <f>'дод 3 '!J58+'дод 3 '!J311+'дод 3 '!J145</f>
        <v>8944719</v>
      </c>
      <c r="J261" s="66">
        <f>'дод 3 '!K58+'дод 3 '!K311+'дод 3 '!K145</f>
        <v>8944719</v>
      </c>
      <c r="K261" s="66">
        <f>'дод 3 '!L58+'дод 3 '!L311+'дод 3 '!L145</f>
        <v>0</v>
      </c>
      <c r="L261" s="66">
        <f>'дод 3 '!M58+'дод 3 '!M311+'дод 3 '!M145</f>
        <v>0</v>
      </c>
      <c r="M261" s="66">
        <f>'дод 3 '!N58+'дод 3 '!N311+'дод 3 '!N145</f>
        <v>0</v>
      </c>
      <c r="N261" s="66">
        <f>'дод 3 '!O58+'дод 3 '!O311+'дод 3 '!O145</f>
        <v>8944719</v>
      </c>
      <c r="O261" s="66">
        <f>'дод 3 '!P58+'дод 3 '!P311+'дод 3 '!P145</f>
        <v>81536200</v>
      </c>
      <c r="P261" s="283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1941000</v>
      </c>
      <c r="L262" s="25">
        <f t="shared" si="54"/>
        <v>0</v>
      </c>
      <c r="M262" s="25">
        <f t="shared" si="54"/>
        <v>0</v>
      </c>
      <c r="N262" s="25">
        <f t="shared" si="54"/>
        <v>1395100</v>
      </c>
      <c r="O262" s="25">
        <f>O265+O264+O263</f>
        <v>3944100</v>
      </c>
      <c r="P262" s="283"/>
    </row>
    <row r="263" spans="1:16" s="26" customFormat="1" ht="22.5" customHeight="1" x14ac:dyDescent="0.25">
      <c r="A263" s="19">
        <v>8312</v>
      </c>
      <c r="B263" s="53" t="s">
        <v>688</v>
      </c>
      <c r="C263" s="3" t="s">
        <v>689</v>
      </c>
      <c r="D263" s="66">
        <f>'дод 3 '!E312</f>
        <v>500000</v>
      </c>
      <c r="E263" s="66">
        <f>'дод 3 '!F312</f>
        <v>500000</v>
      </c>
      <c r="F263" s="66">
        <f>'дод 3 '!G312</f>
        <v>0</v>
      </c>
      <c r="G263" s="66">
        <f>'дод 3 '!H312</f>
        <v>0</v>
      </c>
      <c r="H263" s="66">
        <f>'дод 3 '!I312</f>
        <v>0</v>
      </c>
      <c r="I263" s="66">
        <f>'дод 3 '!J312</f>
        <v>0</v>
      </c>
      <c r="J263" s="66">
        <f>'дод 3 '!K312</f>
        <v>0</v>
      </c>
      <c r="K263" s="66">
        <f>'дод 3 '!L312</f>
        <v>0</v>
      </c>
      <c r="L263" s="66">
        <f>'дод 3 '!M312</f>
        <v>0</v>
      </c>
      <c r="M263" s="66">
        <f>'дод 3 '!N312</f>
        <v>0</v>
      </c>
      <c r="N263" s="66">
        <f>'дод 3 '!O312</f>
        <v>0</v>
      </c>
      <c r="O263" s="66">
        <f>'дод 3 '!P312</f>
        <v>500000</v>
      </c>
      <c r="P263" s="283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3 '!E406</f>
        <v>108000</v>
      </c>
      <c r="E264" s="66">
        <f>'дод 3 '!F406</f>
        <v>108000</v>
      </c>
      <c r="F264" s="66">
        <f>'дод 3 '!G406</f>
        <v>0</v>
      </c>
      <c r="G264" s="66">
        <f>'дод 3 '!H406</f>
        <v>0</v>
      </c>
      <c r="H264" s="66">
        <f>'дод 3 '!I406</f>
        <v>0</v>
      </c>
      <c r="I264" s="66">
        <f>'дод 3 '!J406</f>
        <v>0</v>
      </c>
      <c r="J264" s="66">
        <f>'дод 3 '!K406</f>
        <v>0</v>
      </c>
      <c r="K264" s="66">
        <f>'дод 3 '!L406</f>
        <v>0</v>
      </c>
      <c r="L264" s="66">
        <f>'дод 3 '!M406</f>
        <v>0</v>
      </c>
      <c r="M264" s="66">
        <f>'дод 3 '!N406</f>
        <v>0</v>
      </c>
      <c r="N264" s="66">
        <f>'дод 3 '!O406</f>
        <v>0</v>
      </c>
      <c r="O264" s="66">
        <f>'дод 3 '!P406</f>
        <v>108000</v>
      </c>
      <c r="P264" s="283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3 '!E59+'дод 3 '!E146+'дод 3 '!E313+'дод 3 '!E407+'дод 3 '!E255</f>
        <v>0</v>
      </c>
      <c r="E265" s="66">
        <f>'дод 3 '!F59+'дод 3 '!F146+'дод 3 '!F313+'дод 3 '!F407+'дод 3 '!F255</f>
        <v>0</v>
      </c>
      <c r="F265" s="66">
        <f>'дод 3 '!G59+'дод 3 '!G146+'дод 3 '!G313+'дод 3 '!G407+'дод 3 '!G255</f>
        <v>0</v>
      </c>
      <c r="G265" s="66">
        <f>'дод 3 '!H59+'дод 3 '!H146+'дод 3 '!H313+'дод 3 '!H407+'дод 3 '!H255</f>
        <v>0</v>
      </c>
      <c r="H265" s="66">
        <f>'дод 3 '!I59+'дод 3 '!I146+'дод 3 '!I313+'дод 3 '!I407+'дод 3 '!I255</f>
        <v>0</v>
      </c>
      <c r="I265" s="66">
        <f>'дод 3 '!J59+'дод 3 '!J146+'дод 3 '!J313+'дод 3 '!J407+'дод 3 '!J255</f>
        <v>3336100</v>
      </c>
      <c r="J265" s="66">
        <f>'дод 3 '!K59+'дод 3 '!K146+'дод 3 '!K313+'дод 3 '!K407+'дод 3 '!K255</f>
        <v>0</v>
      </c>
      <c r="K265" s="66">
        <f>'дод 3 '!L59+'дод 3 '!L146+'дод 3 '!L313+'дод 3 '!L407+'дод 3 '!L255</f>
        <v>1941000</v>
      </c>
      <c r="L265" s="66">
        <f>'дод 3 '!M59+'дод 3 '!M146+'дод 3 '!M313+'дод 3 '!M407+'дод 3 '!M255</f>
        <v>0</v>
      </c>
      <c r="M265" s="66">
        <f>'дод 3 '!N59+'дод 3 '!N146+'дод 3 '!N313+'дод 3 '!N407+'дод 3 '!N255</f>
        <v>0</v>
      </c>
      <c r="N265" s="66">
        <f>'дод 3 '!O59+'дод 3 '!O146+'дод 3 '!O313+'дод 3 '!O407+'дод 3 '!O255</f>
        <v>1395100</v>
      </c>
      <c r="O265" s="66">
        <f>'дод 3 '!P59+'дод 3 '!P146+'дод 3 '!P313+'дод 3 '!P407+'дод 3 '!P255</f>
        <v>3336100</v>
      </c>
      <c r="P265" s="283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3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3 '!E60</f>
        <v>0</v>
      </c>
      <c r="E267" s="66">
        <f>'дод 3 '!F60</f>
        <v>0</v>
      </c>
      <c r="F267" s="66">
        <f>'дод 3 '!G60</f>
        <v>0</v>
      </c>
      <c r="G267" s="66">
        <f>'дод 3 '!H60</f>
        <v>0</v>
      </c>
      <c r="H267" s="66">
        <f>'дод 3 '!I60</f>
        <v>0</v>
      </c>
      <c r="I267" s="66">
        <f>'дод 3 '!J60</f>
        <v>0</v>
      </c>
      <c r="J267" s="66">
        <f>'дод 3 '!K60</f>
        <v>0</v>
      </c>
      <c r="K267" s="66">
        <f>'дод 3 '!L60</f>
        <v>0</v>
      </c>
      <c r="L267" s="66">
        <f>'дод 3 '!M60</f>
        <v>0</v>
      </c>
      <c r="M267" s="66">
        <f>'дод 3 '!N60</f>
        <v>0</v>
      </c>
      <c r="N267" s="66">
        <f>'дод 3 '!O60</f>
        <v>0</v>
      </c>
      <c r="O267" s="66">
        <f>'дод 3 '!P60</f>
        <v>0</v>
      </c>
      <c r="P267" s="283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3 '!E408</f>
        <v>1500809</v>
      </c>
      <c r="E268" s="25">
        <f>'дод 3 '!F408</f>
        <v>1500809</v>
      </c>
      <c r="F268" s="25">
        <f>'дод 3 '!G408</f>
        <v>0</v>
      </c>
      <c r="G268" s="25">
        <f>'дод 3 '!H408</f>
        <v>0</v>
      </c>
      <c r="H268" s="25">
        <f>'дод 3 '!I408</f>
        <v>0</v>
      </c>
      <c r="I268" s="25">
        <f>'дод 3 '!J408</f>
        <v>0</v>
      </c>
      <c r="J268" s="25">
        <f>'дод 3 '!K408</f>
        <v>0</v>
      </c>
      <c r="K268" s="25">
        <f>'дод 3 '!L408</f>
        <v>0</v>
      </c>
      <c r="L268" s="25">
        <f>'дод 3 '!M408</f>
        <v>0</v>
      </c>
      <c r="M268" s="25">
        <f>'дод 3 '!N408</f>
        <v>0</v>
      </c>
      <c r="N268" s="25">
        <f>'дод 3 '!O408</f>
        <v>0</v>
      </c>
      <c r="O268" s="25">
        <f>'дод 3 '!P408</f>
        <v>1500809</v>
      </c>
      <c r="P268" s="283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37558460.560000002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37558460.560000002</v>
      </c>
      <c r="P269" s="283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3 '!E409</f>
        <v>37558460.560000002</v>
      </c>
      <c r="E270" s="66">
        <f>'дод 3 '!F409</f>
        <v>0</v>
      </c>
      <c r="F270" s="66">
        <f>'дод 3 '!G409</f>
        <v>0</v>
      </c>
      <c r="G270" s="66">
        <f>'дод 3 '!H409</f>
        <v>0</v>
      </c>
      <c r="H270" s="66">
        <f>'дод 3 '!I409</f>
        <v>0</v>
      </c>
      <c r="I270" s="66">
        <f>'дод 3 '!J409</f>
        <v>0</v>
      </c>
      <c r="J270" s="66">
        <f>'дод 3 '!K409</f>
        <v>0</v>
      </c>
      <c r="K270" s="66">
        <f>'дод 3 '!L409</f>
        <v>0</v>
      </c>
      <c r="L270" s="66">
        <f>'дод 3 '!M409</f>
        <v>0</v>
      </c>
      <c r="M270" s="66">
        <f>'дод 3 '!N409</f>
        <v>0</v>
      </c>
      <c r="N270" s="66">
        <f>'дод 3 '!O409</f>
        <v>0</v>
      </c>
      <c r="O270" s="66">
        <f>'дод 3 '!P409</f>
        <v>37558460.560000002</v>
      </c>
      <c r="P270" s="283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3 '!E314</f>
        <v>0</v>
      </c>
      <c r="E271" s="66">
        <f>'дод 3 '!F314</f>
        <v>0</v>
      </c>
      <c r="F271" s="66">
        <f>'дод 3 '!G314</f>
        <v>0</v>
      </c>
      <c r="G271" s="66">
        <f>'дод 3 '!H314</f>
        <v>0</v>
      </c>
      <c r="H271" s="66">
        <f>'дод 3 '!I314</f>
        <v>0</v>
      </c>
      <c r="I271" s="66">
        <f>'дод 3 '!J314</f>
        <v>0</v>
      </c>
      <c r="J271" s="66">
        <f>'дод 3 '!K314</f>
        <v>0</v>
      </c>
      <c r="K271" s="66">
        <f>'дод 3 '!L314</f>
        <v>0</v>
      </c>
      <c r="L271" s="66">
        <f>'дод 3 '!M314</f>
        <v>0</v>
      </c>
      <c r="M271" s="66">
        <f>'дод 3 '!N314</f>
        <v>0</v>
      </c>
      <c r="N271" s="66">
        <f>'дод 3 '!O314</f>
        <v>0</v>
      </c>
      <c r="O271" s="66">
        <f>'дод 3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3 '!E315</f>
        <v>0</v>
      </c>
      <c r="E272" s="66">
        <f>'дод 3 '!F315</f>
        <v>0</v>
      </c>
      <c r="F272" s="66">
        <f>'дод 3 '!G315</f>
        <v>0</v>
      </c>
      <c r="G272" s="66">
        <f>'дод 3 '!H315</f>
        <v>0</v>
      </c>
      <c r="H272" s="66">
        <f>'дод 3 '!I315</f>
        <v>0</v>
      </c>
      <c r="I272" s="66">
        <f>'дод 3 '!J315</f>
        <v>0</v>
      </c>
      <c r="J272" s="66">
        <f>'дод 3 '!K315</f>
        <v>0</v>
      </c>
      <c r="K272" s="66">
        <f>'дод 3 '!L315</f>
        <v>0</v>
      </c>
      <c r="L272" s="66">
        <f>'дод 3 '!M315</f>
        <v>0</v>
      </c>
      <c r="M272" s="66">
        <f>'дод 3 '!N315</f>
        <v>0</v>
      </c>
      <c r="N272" s="66">
        <f>'дод 3 '!O315</f>
        <v>0</v>
      </c>
      <c r="O272" s="66">
        <f>'дод 3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3 '!E233</f>
        <v>0</v>
      </c>
      <c r="E273" s="66">
        <f>'дод 3 '!F233</f>
        <v>0</v>
      </c>
      <c r="F273" s="66">
        <f>'дод 3 '!G233</f>
        <v>0</v>
      </c>
      <c r="G273" s="66">
        <f>'дод 3 '!H233</f>
        <v>0</v>
      </c>
      <c r="H273" s="66">
        <f>'дод 3 '!I233</f>
        <v>0</v>
      </c>
      <c r="I273" s="66">
        <f>'дод 3 '!J233</f>
        <v>0</v>
      </c>
      <c r="J273" s="66">
        <f>'дод 3 '!K233</f>
        <v>0</v>
      </c>
      <c r="K273" s="66">
        <f>'дод 3 '!L233</f>
        <v>0</v>
      </c>
      <c r="L273" s="66">
        <f>'дод 3 '!M233</f>
        <v>0</v>
      </c>
      <c r="M273" s="66">
        <f>'дод 3 '!N233</f>
        <v>0</v>
      </c>
      <c r="N273" s="66">
        <f>'дод 3 '!O233</f>
        <v>0</v>
      </c>
      <c r="O273" s="66">
        <f>'дод 3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3 '!E62+'дод 3 '!E191+'дод 3 '!E234+'дод 3 '!E316</f>
        <v>0</v>
      </c>
      <c r="E274" s="66">
        <f>'дод 3 '!F62+'дод 3 '!F191+'дод 3 '!F234+'дод 3 '!F316</f>
        <v>0</v>
      </c>
      <c r="F274" s="66">
        <f>'дод 3 '!G62+'дод 3 '!G191+'дод 3 '!G234+'дод 3 '!G316</f>
        <v>0</v>
      </c>
      <c r="G274" s="66">
        <f>'дод 3 '!H62+'дод 3 '!H191+'дод 3 '!H234+'дод 3 '!H316</f>
        <v>0</v>
      </c>
      <c r="H274" s="66">
        <f>'дод 3 '!I62+'дод 3 '!I191+'дод 3 '!I234+'дод 3 '!I316</f>
        <v>0</v>
      </c>
      <c r="I274" s="66">
        <f>'дод 3 '!J62+'дод 3 '!J191+'дод 3 '!J234+'дод 3 '!J316</f>
        <v>0</v>
      </c>
      <c r="J274" s="66">
        <f>'дод 3 '!K62+'дод 3 '!K191+'дод 3 '!K234+'дод 3 '!K316</f>
        <v>0</v>
      </c>
      <c r="K274" s="66">
        <f>'дод 3 '!L62+'дод 3 '!L191+'дод 3 '!L234+'дод 3 '!L316</f>
        <v>0</v>
      </c>
      <c r="L274" s="66">
        <f>'дод 3 '!M62+'дод 3 '!M191+'дод 3 '!M234+'дод 3 '!M316</f>
        <v>0</v>
      </c>
      <c r="M274" s="66">
        <f>'дод 3 '!N62+'дод 3 '!N191+'дод 3 '!N234+'дод 3 '!N316</f>
        <v>0</v>
      </c>
      <c r="N274" s="66">
        <f>'дод 3 '!O62+'дод 3 '!O191+'дод 3 '!O234+'дод 3 '!O316</f>
        <v>0</v>
      </c>
      <c r="O274" s="66">
        <f>'дод 3 '!P62+'дод 3 '!P191+'дод 3 '!P234+'дод 3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182391842</v>
      </c>
      <c r="E275" s="25">
        <f t="shared" ref="E275:O275" si="57">E277+E279+E283+E287</f>
        <v>182391842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85432830.609999999</v>
      </c>
      <c r="J275" s="25">
        <f t="shared" si="57"/>
        <v>85432830.609999999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85432830.609999999</v>
      </c>
      <c r="O275" s="25">
        <f t="shared" si="57"/>
        <v>267824672.61000001</v>
      </c>
      <c r="P275" s="284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4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4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3 '!E410</f>
        <v>126998500</v>
      </c>
      <c r="E278" s="66">
        <f>'дод 3 '!F410</f>
        <v>126998500</v>
      </c>
      <c r="F278" s="66">
        <f>'дод 3 '!G410</f>
        <v>0</v>
      </c>
      <c r="G278" s="66">
        <f>'дод 3 '!H410</f>
        <v>0</v>
      </c>
      <c r="H278" s="66">
        <f>'дод 3 '!I410</f>
        <v>0</v>
      </c>
      <c r="I278" s="66">
        <f>'дод 3 '!J410</f>
        <v>0</v>
      </c>
      <c r="J278" s="66">
        <f>'дод 3 '!K410</f>
        <v>0</v>
      </c>
      <c r="K278" s="66">
        <f>'дод 3 '!L410</f>
        <v>0</v>
      </c>
      <c r="L278" s="66">
        <f>'дод 3 '!M410</f>
        <v>0</v>
      </c>
      <c r="M278" s="66">
        <f>'дод 3 '!N410</f>
        <v>0</v>
      </c>
      <c r="N278" s="66">
        <f>'дод 3 '!O410</f>
        <v>0</v>
      </c>
      <c r="O278" s="66">
        <f>'дод 3 '!P410</f>
        <v>126998500</v>
      </c>
      <c r="P278" s="284"/>
      <c r="R278" s="26" t="s">
        <v>700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4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4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3 '!E147</f>
        <v>0</v>
      </c>
      <c r="E281" s="66">
        <f>'дод 3 '!F147</f>
        <v>0</v>
      </c>
      <c r="F281" s="66">
        <f>'дод 3 '!G147</f>
        <v>0</v>
      </c>
      <c r="G281" s="66">
        <f>'дод 3 '!H147</f>
        <v>0</v>
      </c>
      <c r="H281" s="66">
        <f>'дод 3 '!I147</f>
        <v>0</v>
      </c>
      <c r="I281" s="66">
        <f>'дод 3 '!J147</f>
        <v>0</v>
      </c>
      <c r="J281" s="66">
        <f>'дод 3 '!K147</f>
        <v>0</v>
      </c>
      <c r="K281" s="66">
        <f>'дод 3 '!L147</f>
        <v>0</v>
      </c>
      <c r="L281" s="66">
        <f>'дод 3 '!M147</f>
        <v>0</v>
      </c>
      <c r="M281" s="66">
        <f>'дод 3 '!N147</f>
        <v>0</v>
      </c>
      <c r="N281" s="66">
        <f>'дод 3 '!O147</f>
        <v>0</v>
      </c>
      <c r="O281" s="66">
        <f>'дод 3 '!P147</f>
        <v>0</v>
      </c>
      <c r="P281" s="284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3 '!E148</f>
        <v>0</v>
      </c>
      <c r="E282" s="67">
        <f>'дод 3 '!F148</f>
        <v>0</v>
      </c>
      <c r="F282" s="67">
        <f>'дод 3 '!G148</f>
        <v>0</v>
      </c>
      <c r="G282" s="67">
        <f>'дод 3 '!H148</f>
        <v>0</v>
      </c>
      <c r="H282" s="67">
        <f>'дод 3 '!I148</f>
        <v>0</v>
      </c>
      <c r="I282" s="67">
        <f>'дод 3 '!J148</f>
        <v>0</v>
      </c>
      <c r="J282" s="67">
        <f>'дод 3 '!K148</f>
        <v>0</v>
      </c>
      <c r="K282" s="67">
        <f>'дод 3 '!L148</f>
        <v>0</v>
      </c>
      <c r="L282" s="67">
        <f>'дод 3 '!M148</f>
        <v>0</v>
      </c>
      <c r="M282" s="67">
        <f>'дод 3 '!N148</f>
        <v>0</v>
      </c>
      <c r="N282" s="67">
        <f>'дод 3 '!O148</f>
        <v>0</v>
      </c>
      <c r="O282" s="67">
        <f>'дод 3 '!P148</f>
        <v>0</v>
      </c>
      <c r="P282" s="284"/>
    </row>
    <row r="283" spans="1:18" s="26" customFormat="1" ht="57.75" customHeight="1" x14ac:dyDescent="0.25">
      <c r="A283" s="20" t="s">
        <v>13</v>
      </c>
      <c r="B283" s="56"/>
      <c r="C283" s="2" t="s">
        <v>342</v>
      </c>
      <c r="D283" s="25">
        <f>D284+D285+D286</f>
        <v>6355746</v>
      </c>
      <c r="E283" s="25">
        <f t="shared" ref="E283:O283" si="62">E284+E285+E286</f>
        <v>6355746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19873533.609999999</v>
      </c>
      <c r="P283" s="284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3 '!E317</f>
        <v>0</v>
      </c>
      <c r="E284" s="66">
        <f>'дод 3 '!F317</f>
        <v>0</v>
      </c>
      <c r="F284" s="66">
        <f>'дод 3 '!G317</f>
        <v>0</v>
      </c>
      <c r="G284" s="66">
        <f>'дод 3 '!H317</f>
        <v>0</v>
      </c>
      <c r="H284" s="66">
        <f>'дод 3 '!I317</f>
        <v>0</v>
      </c>
      <c r="I284" s="66">
        <f>'дод 3 '!J317</f>
        <v>0</v>
      </c>
      <c r="J284" s="66">
        <f>'дод 3 '!K317</f>
        <v>0</v>
      </c>
      <c r="K284" s="66">
        <f>'дод 3 '!L317</f>
        <v>0</v>
      </c>
      <c r="L284" s="66">
        <f>'дод 3 '!M317</f>
        <v>0</v>
      </c>
      <c r="M284" s="66">
        <f>'дод 3 '!N317</f>
        <v>0</v>
      </c>
      <c r="N284" s="66">
        <f>'дод 3 '!O317</f>
        <v>0</v>
      </c>
      <c r="O284" s="66">
        <f>'дод 3 '!P317</f>
        <v>0</v>
      </c>
      <c r="P284" s="284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3 '!E318</f>
        <v>0</v>
      </c>
      <c r="E285" s="66">
        <f>'дод 3 '!F318</f>
        <v>0</v>
      </c>
      <c r="F285" s="66">
        <f>'дод 3 '!G318</f>
        <v>0</v>
      </c>
      <c r="G285" s="66">
        <f>'дод 3 '!H318</f>
        <v>0</v>
      </c>
      <c r="H285" s="66">
        <f>'дод 3 '!I318</f>
        <v>0</v>
      </c>
      <c r="I285" s="66">
        <f>'дод 3 '!J318</f>
        <v>0</v>
      </c>
      <c r="J285" s="66">
        <f>'дод 3 '!K318</f>
        <v>0</v>
      </c>
      <c r="K285" s="66">
        <f>'дод 3 '!L318</f>
        <v>0</v>
      </c>
      <c r="L285" s="66">
        <f>'дод 3 '!M318</f>
        <v>0</v>
      </c>
      <c r="M285" s="66">
        <f>'дод 3 '!N318</f>
        <v>0</v>
      </c>
      <c r="N285" s="66">
        <f>'дод 3 '!O318</f>
        <v>0</v>
      </c>
      <c r="O285" s="66">
        <f>'дод 3 '!P318</f>
        <v>0</v>
      </c>
      <c r="P285" s="284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3 '!E149+'дод 3 '!E190+'дод 3 '!E235+'дод 3 '!E319+'дод 3 '!E61+'дод 3 '!E63</f>
        <v>6355746</v>
      </c>
      <c r="E286" s="66">
        <f>'дод 3 '!F149+'дод 3 '!F190+'дод 3 '!F235+'дод 3 '!F319+'дод 3 '!F61+'дод 3 '!F63</f>
        <v>6355746</v>
      </c>
      <c r="F286" s="66">
        <f>'дод 3 '!G149+'дод 3 '!G190+'дод 3 '!G235+'дод 3 '!G319+'дод 3 '!G61+'дод 3 '!G63</f>
        <v>0</v>
      </c>
      <c r="G286" s="66">
        <f>'дод 3 '!H149+'дод 3 '!H190+'дод 3 '!H235+'дод 3 '!H319+'дод 3 '!H61+'дод 3 '!H63</f>
        <v>0</v>
      </c>
      <c r="H286" s="66">
        <f>'дод 3 '!I149+'дод 3 '!I190+'дод 3 '!I235+'дод 3 '!I319+'дод 3 '!I61+'дод 3 '!I63</f>
        <v>0</v>
      </c>
      <c r="I286" s="66">
        <f>'дод 3 '!J149+'дод 3 '!J190+'дод 3 '!J235+'дод 3 '!J319+'дод 3 '!J61+'дод 3 '!J63</f>
        <v>13517787.609999999</v>
      </c>
      <c r="J286" s="66">
        <f>'дод 3 '!K149+'дод 3 '!K190+'дод 3 '!K235+'дод 3 '!K319+'дод 3 '!K61+'дод 3 '!K63</f>
        <v>13517787.609999999</v>
      </c>
      <c r="K286" s="66">
        <f>'дод 3 '!L149+'дод 3 '!L190+'дод 3 '!L235+'дод 3 '!L319+'дод 3 '!L61+'дод 3 '!L63</f>
        <v>0</v>
      </c>
      <c r="L286" s="66">
        <f>'дод 3 '!M149+'дод 3 '!M190+'дод 3 '!M235+'дод 3 '!M319+'дод 3 '!M61+'дод 3 '!M63</f>
        <v>0</v>
      </c>
      <c r="M286" s="66">
        <f>'дод 3 '!N149+'дод 3 '!N190+'дод 3 '!N235+'дод 3 '!N319+'дод 3 '!N61+'дод 3 '!N63</f>
        <v>0</v>
      </c>
      <c r="N286" s="66">
        <f>'дод 3 '!O149+'дод 3 '!O190+'дод 3 '!O235+'дод 3 '!O319+'дод 3 '!O61+'дод 3 '!O63</f>
        <v>13517787.609999999</v>
      </c>
      <c r="O286" s="66">
        <f>'дод 3 '!P149+'дод 3 '!P190+'дод 3 '!P235+'дод 3 '!P319+'дод 3 '!P61+'дод 3 '!P63</f>
        <v>19873533.609999999</v>
      </c>
      <c r="P286" s="284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3 '!E150+'дод 3 '!E64+'дод 3 '!E320</f>
        <v>49037596</v>
      </c>
      <c r="E287" s="25">
        <f>'дод 3 '!F150+'дод 3 '!F64+'дод 3 '!F320</f>
        <v>49037596</v>
      </c>
      <c r="F287" s="25">
        <f>'дод 3 '!G150+'дод 3 '!G64+'дод 3 '!G320</f>
        <v>0</v>
      </c>
      <c r="G287" s="25">
        <f>'дод 3 '!H150+'дод 3 '!H64+'дод 3 '!H320</f>
        <v>0</v>
      </c>
      <c r="H287" s="25">
        <f>'дод 3 '!I150+'дод 3 '!I64+'дод 3 '!I320</f>
        <v>0</v>
      </c>
      <c r="I287" s="25">
        <f>'дод 3 '!J150+'дод 3 '!J64+'дод 3 '!J320</f>
        <v>71915043</v>
      </c>
      <c r="J287" s="25">
        <f>'дод 3 '!K150+'дод 3 '!K64+'дод 3 '!K320</f>
        <v>71915043</v>
      </c>
      <c r="K287" s="25">
        <f>'дод 3 '!L150+'дод 3 '!L64+'дод 3 '!L320</f>
        <v>0</v>
      </c>
      <c r="L287" s="25">
        <f>'дод 3 '!M150+'дод 3 '!M64+'дод 3 '!M320</f>
        <v>0</v>
      </c>
      <c r="M287" s="25">
        <f>'дод 3 '!N150+'дод 3 '!N64+'дод 3 '!N320</f>
        <v>0</v>
      </c>
      <c r="N287" s="25">
        <f>'дод 3 '!O150+'дод 3 '!O64+'дод 3 '!O320</f>
        <v>71915043</v>
      </c>
      <c r="O287" s="25">
        <f>'дод 3 '!P150+'дод 3 '!P64+'дод 3 '!P320</f>
        <v>120952639</v>
      </c>
      <c r="P287" s="284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2980497849.8299999</v>
      </c>
      <c r="E288" s="25">
        <f t="shared" si="63"/>
        <v>2815808317.27</v>
      </c>
      <c r="F288" s="25">
        <f t="shared" si="63"/>
        <v>1204051598.28</v>
      </c>
      <c r="G288" s="25">
        <f t="shared" si="63"/>
        <v>157356814.28999999</v>
      </c>
      <c r="H288" s="25">
        <f t="shared" si="63"/>
        <v>127131072</v>
      </c>
      <c r="I288" s="25">
        <f t="shared" si="63"/>
        <v>1613846131.1299999</v>
      </c>
      <c r="J288" s="25">
        <f t="shared" si="63"/>
        <v>1016752812.9499999</v>
      </c>
      <c r="K288" s="25">
        <f t="shared" si="63"/>
        <v>121466185.63</v>
      </c>
      <c r="L288" s="25">
        <f t="shared" si="63"/>
        <v>9145692</v>
      </c>
      <c r="M288" s="25">
        <f t="shared" si="63"/>
        <v>6561045</v>
      </c>
      <c r="N288" s="25">
        <f t="shared" si="63"/>
        <v>1492379945.4999998</v>
      </c>
      <c r="O288" s="25">
        <f t="shared" si="63"/>
        <v>4594343980.96</v>
      </c>
      <c r="P288" s="284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389019340</v>
      </c>
      <c r="G289" s="68">
        <f t="shared" si="64"/>
        <v>0</v>
      </c>
      <c r="H289" s="68">
        <f t="shared" si="64"/>
        <v>0</v>
      </c>
      <c r="I289" s="68">
        <f t="shared" si="64"/>
        <v>400000000</v>
      </c>
      <c r="J289" s="68">
        <f t="shared" si="64"/>
        <v>0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400000000</v>
      </c>
      <c r="O289" s="68">
        <f t="shared" si="64"/>
        <v>873819800</v>
      </c>
      <c r="P289" s="284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9778293.8299999982</v>
      </c>
      <c r="E290" s="68">
        <f t="shared" ref="E290:O290" si="65">E24+E26+E118+E119+E258+E31+E93+E94+E162+E30+E187+E181+E96+E117+E116+E33+E222+E190+E34+E35</f>
        <v>9778293.8299999982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149417432.31999999</v>
      </c>
      <c r="J290" s="68">
        <f t="shared" si="65"/>
        <v>60375264.32</v>
      </c>
      <c r="K290" s="68">
        <f t="shared" si="65"/>
        <v>19631428</v>
      </c>
      <c r="L290" s="68">
        <f t="shared" si="65"/>
        <v>0</v>
      </c>
      <c r="M290" s="68">
        <f t="shared" si="65"/>
        <v>0</v>
      </c>
      <c r="N290" s="68">
        <f t="shared" si="65"/>
        <v>129786004.31999999</v>
      </c>
      <c r="O290" s="68">
        <f t="shared" si="65"/>
        <v>159195726.15000001</v>
      </c>
      <c r="P290" s="284"/>
    </row>
    <row r="291" spans="1:16" s="27" customFormat="1" ht="30.75" customHeight="1" x14ac:dyDescent="0.25">
      <c r="A291" s="45"/>
      <c r="B291" s="45"/>
      <c r="C291" s="36" t="s">
        <v>714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4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4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4"/>
    </row>
    <row r="294" spans="1:16" s="27" customFormat="1" ht="32.25" customHeight="1" x14ac:dyDescent="0.25">
      <c r="A294" s="75"/>
      <c r="B294" s="247"/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  <c r="O294" s="247"/>
      <c r="P294" s="284"/>
    </row>
    <row r="295" spans="1:16" s="27" customFormat="1" ht="32.25" customHeight="1" x14ac:dyDescent="0.55000000000000004">
      <c r="A295" s="75"/>
      <c r="B295" s="168" t="s">
        <v>738</v>
      </c>
      <c r="C295" s="169"/>
      <c r="D295" s="170"/>
      <c r="E295" s="171"/>
      <c r="F295" s="88"/>
      <c r="G295" s="87"/>
      <c r="H295" s="171"/>
      <c r="I295" s="171"/>
      <c r="J295" s="171"/>
      <c r="K295" s="171"/>
      <c r="L295" s="172"/>
      <c r="M295" s="171" t="s">
        <v>739</v>
      </c>
      <c r="N295" s="171"/>
      <c r="O295" s="248"/>
      <c r="P295" s="284"/>
    </row>
    <row r="296" spans="1:16" ht="10.5" customHeight="1" x14ac:dyDescent="0.55000000000000004">
      <c r="A296" s="168"/>
      <c r="B296" s="176"/>
      <c r="C296" s="177"/>
      <c r="D296" s="177"/>
      <c r="E296" s="178"/>
      <c r="F296" s="88"/>
      <c r="G296" s="87"/>
      <c r="H296" s="77"/>
      <c r="I296" s="77"/>
      <c r="J296" s="77"/>
      <c r="K296" s="77"/>
      <c r="L296" s="77"/>
      <c r="M296" s="77"/>
      <c r="N296" s="77"/>
      <c r="O296" s="248"/>
      <c r="P296" s="284"/>
    </row>
    <row r="297" spans="1:16" ht="31.5" customHeight="1" x14ac:dyDescent="0.55000000000000004">
      <c r="A297" s="168"/>
      <c r="B297" s="246" t="s">
        <v>737</v>
      </c>
      <c r="C297" s="246"/>
      <c r="D297" s="246"/>
      <c r="E297" s="246"/>
      <c r="F297" s="88"/>
      <c r="G297" s="87"/>
      <c r="H297" s="196"/>
      <c r="I297" s="196"/>
      <c r="J297" s="196"/>
      <c r="K297" s="196"/>
      <c r="L297" s="88"/>
      <c r="M297" s="196"/>
      <c r="N297" s="196"/>
      <c r="O297" s="248"/>
      <c r="P297" s="284"/>
    </row>
    <row r="298" spans="1:16" ht="34.5" customHeight="1" x14ac:dyDescent="0.25">
      <c r="P298" s="71"/>
    </row>
    <row r="299" spans="1:16" x14ac:dyDescent="0.25">
      <c r="D299" s="64">
        <f>D288-'дод 3 '!E411</f>
        <v>0</v>
      </c>
      <c r="E299" s="64">
        <f>E288-'дод 3 '!F411</f>
        <v>0</v>
      </c>
      <c r="F299" s="64">
        <f>F288-'дод 3 '!G411</f>
        <v>0</v>
      </c>
      <c r="G299" s="64">
        <f>G288-'дод 3 '!H411</f>
        <v>0</v>
      </c>
      <c r="H299" s="64">
        <f>H288-'дод 3 '!I411</f>
        <v>0</v>
      </c>
      <c r="I299" s="64">
        <f>I288-'дод 3 '!J411</f>
        <v>0</v>
      </c>
      <c r="K299" s="64">
        <f>K288-'дод 3 '!L411</f>
        <v>0</v>
      </c>
      <c r="L299" s="64">
        <f>L288-'дод 3 '!M411</f>
        <v>0</v>
      </c>
      <c r="M299" s="64">
        <f>M288-'дод 3 '!N411</f>
        <v>0</v>
      </c>
      <c r="N299" s="64">
        <f>N288-'дод 3 '!O411</f>
        <v>0</v>
      </c>
      <c r="O299" s="64">
        <f>O288-'дод 3 '!P411</f>
        <v>0</v>
      </c>
      <c r="P299" s="71"/>
    </row>
    <row r="300" spans="1:16" x14ac:dyDescent="0.25">
      <c r="D300" s="64">
        <f>D289-'дод 3 '!E412</f>
        <v>0</v>
      </c>
      <c r="E300" s="64">
        <f>E289-'дод 3 '!F412</f>
        <v>0</v>
      </c>
      <c r="F300" s="64">
        <f>F289-'дод 3 '!G412</f>
        <v>0</v>
      </c>
      <c r="G300" s="64">
        <f>G289-'дод 3 '!H412</f>
        <v>0</v>
      </c>
      <c r="H300" s="64">
        <f>H289-'дод 3 '!I412</f>
        <v>0</v>
      </c>
      <c r="I300" s="64">
        <f>I289-'дод 3 '!J412</f>
        <v>0</v>
      </c>
      <c r="J300" s="64">
        <f>J289-'дод 3 '!K412</f>
        <v>0</v>
      </c>
      <c r="K300" s="64">
        <f>K289-'дод 3 '!L412</f>
        <v>0</v>
      </c>
      <c r="L300" s="64">
        <f>L289-'дод 3 '!M412</f>
        <v>0</v>
      </c>
      <c r="M300" s="64">
        <f>M289-'дод 3 '!N412</f>
        <v>0</v>
      </c>
      <c r="N300" s="64">
        <f>N289-'дод 3 '!O412</f>
        <v>0</v>
      </c>
      <c r="O300" s="64">
        <f>O289-'дод 3 '!P412</f>
        <v>0</v>
      </c>
      <c r="P300" s="71"/>
    </row>
    <row r="301" spans="1:16" x14ac:dyDescent="0.25">
      <c r="D301" s="64">
        <f>D290-'дод 3 '!E413</f>
        <v>0</v>
      </c>
      <c r="E301" s="64">
        <f>E290-'дод 3 '!F413</f>
        <v>0</v>
      </c>
      <c r="F301" s="64">
        <f>F290-'дод 3 '!G413</f>
        <v>0</v>
      </c>
      <c r="G301" s="64">
        <f>G290-'дод 3 '!H413</f>
        <v>0</v>
      </c>
      <c r="H301" s="64">
        <f>H290-'дод 3 '!I413</f>
        <v>0</v>
      </c>
      <c r="I301" s="64">
        <f>I290-'дод 3 '!J413</f>
        <v>0</v>
      </c>
      <c r="J301" s="64">
        <f>J290-'дод 3 '!K413</f>
        <v>0</v>
      </c>
      <c r="K301" s="64">
        <f>K290-'дод 3 '!L413</f>
        <v>0</v>
      </c>
      <c r="L301" s="64">
        <f>L290-'дод 3 '!M413</f>
        <v>0</v>
      </c>
      <c r="M301" s="64">
        <f>M290-'дод 3 '!N413</f>
        <v>0</v>
      </c>
      <c r="N301" s="64">
        <f>N290-'дод 3 '!O413</f>
        <v>0</v>
      </c>
      <c r="O301" s="64">
        <f>O290-'дод 3 '!P413</f>
        <v>0</v>
      </c>
      <c r="P301" s="71"/>
    </row>
    <row r="302" spans="1:16" x14ac:dyDescent="0.25">
      <c r="D302" s="64">
        <f>D291-'дод 3 '!E414</f>
        <v>0</v>
      </c>
      <c r="E302" s="64">
        <f>E291-'дод 3 '!F414</f>
        <v>0</v>
      </c>
      <c r="F302" s="64">
        <f>F291-'дод 3 '!G414</f>
        <v>0</v>
      </c>
      <c r="G302" s="64">
        <f>G291-'дод 3 '!H414</f>
        <v>0</v>
      </c>
      <c r="H302" s="64">
        <f>H291-'дод 3 '!I414</f>
        <v>0</v>
      </c>
      <c r="I302" s="64">
        <f>I291-'дод 3 '!J414</f>
        <v>0</v>
      </c>
      <c r="J302" s="64">
        <f>J291-'дод 3 '!K414</f>
        <v>0</v>
      </c>
      <c r="K302" s="64">
        <f>K291-'дод 3 '!L414</f>
        <v>0</v>
      </c>
      <c r="L302" s="64">
        <f>L291-'дод 3 '!M414</f>
        <v>0</v>
      </c>
      <c r="M302" s="64">
        <f>M291-'дод 3 '!N414</f>
        <v>0</v>
      </c>
      <c r="N302" s="64">
        <f>N291-'дод 3 '!O414</f>
        <v>0</v>
      </c>
      <c r="O302" s="64">
        <f>O291-'дод 3 '!P414</f>
        <v>0</v>
      </c>
      <c r="P302" s="71"/>
    </row>
    <row r="303" spans="1:16" x14ac:dyDescent="0.25">
      <c r="D303" s="64">
        <f>D292-'дод 3 '!E415</f>
        <v>0</v>
      </c>
      <c r="E303" s="64">
        <f>E292-'дод 3 '!F415</f>
        <v>0</v>
      </c>
      <c r="F303" s="64">
        <f>F292-'дод 3 '!G415</f>
        <v>0</v>
      </c>
      <c r="G303" s="64">
        <f>G292-'дод 3 '!H415</f>
        <v>0</v>
      </c>
      <c r="H303" s="64">
        <f>H292-'дод 3 '!I415</f>
        <v>0</v>
      </c>
      <c r="I303" s="64">
        <f>I292-'дод 3 '!J415</f>
        <v>0</v>
      </c>
      <c r="J303" s="64">
        <f>J292-'дод 3 '!K415</f>
        <v>0</v>
      </c>
      <c r="K303" s="64">
        <f>K292-'дод 3 '!L415</f>
        <v>0</v>
      </c>
      <c r="L303" s="64">
        <f>L292-'дод 3 '!M415</f>
        <v>0</v>
      </c>
      <c r="M303" s="64">
        <f>M292-'дод 3 '!N415</f>
        <v>0</v>
      </c>
      <c r="N303" s="64">
        <f>N292-'дод 3 '!O415</f>
        <v>0</v>
      </c>
      <c r="O303" s="64">
        <f>O292-'дод 3 '!P415</f>
        <v>0</v>
      </c>
      <c r="P303" s="71"/>
    </row>
    <row r="304" spans="1:16" x14ac:dyDescent="0.25">
      <c r="D304" s="64">
        <f>D293-'дод 3 '!E416</f>
        <v>0</v>
      </c>
      <c r="E304" s="64">
        <f>E293-'дод 3 '!F416</f>
        <v>0</v>
      </c>
      <c r="F304" s="64">
        <f>F293-'дод 3 '!G416</f>
        <v>0</v>
      </c>
      <c r="G304" s="64">
        <f>G293-'дод 3 '!H416</f>
        <v>0</v>
      </c>
      <c r="H304" s="64">
        <f>H293-'дод 3 '!I416</f>
        <v>0</v>
      </c>
      <c r="I304" s="64">
        <f>I293-'дод 3 '!J416</f>
        <v>0</v>
      </c>
      <c r="J304" s="64">
        <f>J293-'дод 3 '!K416</f>
        <v>0</v>
      </c>
      <c r="K304" s="64">
        <f>K293-'дод 3 '!L416</f>
        <v>0</v>
      </c>
      <c r="L304" s="64">
        <f>L293-'дод 3 '!M416</f>
        <v>0</v>
      </c>
      <c r="M304" s="64">
        <f>M293-'дод 3 '!N416</f>
        <v>0</v>
      </c>
      <c r="N304" s="64">
        <f>N293-'дод 3 '!O416</f>
        <v>0</v>
      </c>
      <c r="O304" s="64">
        <f>O293-'дод 3 '!P416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7"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  <mergeCell ref="J3:M3"/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Єрмолова Надія Олександрівна</cp:lastModifiedBy>
  <cp:lastPrinted>2023-11-16T13:03:11Z</cp:lastPrinted>
  <dcterms:created xsi:type="dcterms:W3CDTF">2014-01-17T10:52:16Z</dcterms:created>
  <dcterms:modified xsi:type="dcterms:W3CDTF">2023-11-16T13:03:18Z</dcterms:modified>
</cp:coreProperties>
</file>