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5450" windowHeight="11100" tabRatio="0" activeTab="1"/>
  </bookViews>
  <sheets>
    <sheet name="Диаграмма1" sheetId="1" r:id="rId1"/>
    <sheet name="Sheet1" sheetId="2" r:id="rId2"/>
  </sheets>
  <definedNames>
    <definedName name="_xlnm.Print_Area" localSheetId="1">'Sheet1'!$A$1:$P$1009</definedName>
  </definedNames>
  <calcPr fullCalcOnLoad="1"/>
</workbook>
</file>

<file path=xl/sharedStrings.xml><?xml version="1.0" encoding="utf-8"?>
<sst xmlns="http://schemas.openxmlformats.org/spreadsheetml/2006/main" count="1021" uniqueCount="595">
  <si>
    <t xml:space="preserve">  Показник: кількість фонтанів, од.</t>
  </si>
  <si>
    <t xml:space="preserve"> Показник: видатки на забезпечення водопостачання фонтанів, грн</t>
  </si>
  <si>
    <t>Показник: середня вартість 1м3 води, грн.</t>
  </si>
  <si>
    <t>Показник: темп зростання середніх витрат на забезпечення водопостачання фонтанів порівняно з попереднім роком, %</t>
  </si>
  <si>
    <t>Показник: об'єм води, необхідний для забезпечення фонтанів, м3.</t>
  </si>
  <si>
    <t xml:space="preserve"> Показник: видатки на забезпечення утримання та поточного ремонту дитячих та спортивних майданчиків, грн</t>
  </si>
  <si>
    <t>Показник: кількість дитячих та спортивних майданчиків, що підлягають утриманню та поточному ремонту, од</t>
  </si>
  <si>
    <t>Показник: середня вартість утримання та поточного ремонту дитячого та спортивного майданчику, грн.</t>
  </si>
  <si>
    <t>Показник: темп зростання середніх витрат на забезпечення утримання та поточного ремонту дитячого та спортивного майданчиків порівняно з попереднім роком, %</t>
  </si>
  <si>
    <t xml:space="preserve"> Показник: видатки на забезпечення технічного обслуговування  камер відеоспостереження , грн</t>
  </si>
  <si>
    <t>Показник: середні витрати на один місяць технічного обслуговування камер відеоспостереження, грн.</t>
  </si>
  <si>
    <t>Показник: темп зростання середніх витрат на забезпечення одного місяця технічного обслуговування  камер відеоспостереження  порівняно з попереднім роком, %</t>
  </si>
  <si>
    <t xml:space="preserve"> Показник: видатки на забезпечення  функціонування громадських вбиралень , грн</t>
  </si>
  <si>
    <t>Показник: кількість туалетів, які планується утримувати</t>
  </si>
  <si>
    <t>Показник: темп зростання середніх витрат на функціонування громадських вбиралень  порівняно з попереднім роком, %</t>
  </si>
  <si>
    <t xml:space="preserve"> Показник: видатки на забезпечення  поточного ремонту малих архітектурних форм на території Сумської міської територіальної громади , грн</t>
  </si>
  <si>
    <t>Показник: кількість малих архітектурних форм, що потребують поточного ремонту, од.</t>
  </si>
  <si>
    <t>Показник: середні витрати на проведення поточного ремонту 1 малої архітектурної форми, грн.</t>
  </si>
  <si>
    <t xml:space="preserve"> Показник: видатки на створення електронної мапи благоустрою міста Суми , грн</t>
  </si>
  <si>
    <t>Показник: кількість електронних мап благоустрою міста Суми, од.</t>
  </si>
  <si>
    <t>Показник: середні витрати на створення електронної мапи благоустрою міста Суми, грн.</t>
  </si>
  <si>
    <t xml:space="preserve">  Завдання: 3.2. Забезпечення проведення поточного ремонту  малих архітектурних форм та споруд благоустрою у парках, скверах та зелених зонах </t>
  </si>
  <si>
    <t xml:space="preserve">  Завдання: 3.3. Забезпечення проведення утримання майданчику для складування відходів по вул. М. Лукаша</t>
  </si>
  <si>
    <t xml:space="preserve">  Завдання: 3.4. Забезпечення встановлення паркових лавочок в дитячому парку "Казка"</t>
  </si>
  <si>
    <t xml:space="preserve">  Завдання: 3.5. Забезпечення проведення капітального ремонту  парків, скверів тощо</t>
  </si>
  <si>
    <t xml:space="preserve"> 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</si>
  <si>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 xml:space="preserve"> Завдання: 4.1. Забезпечення утримання кладовищ</t>
  </si>
  <si>
    <t xml:space="preserve"> Завдання: 4.2. Забезпечення поточного ремонту, утримання місць поховань та елементів благоустрою</t>
  </si>
  <si>
    <t xml:space="preserve"> Завдання: 4.3. Забезпечення діяльності спецслужби</t>
  </si>
  <si>
    <t xml:space="preserve"> Завдання: 4.4. Забезпечення поховання безрідних</t>
  </si>
  <si>
    <t xml:space="preserve"> Завдання: 4.5. Забезпечення сервісного обслуговування водогонів</t>
  </si>
  <si>
    <t xml:space="preserve">  Завдання: 5.1.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</si>
  <si>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  Завдання: 5.2. Забезпечення утримання в належному стані об'єктів благоустрою міста Суми (утримання зупинок громадського транспорту)</t>
  </si>
  <si>
    <t xml:space="preserve">  Завдання: 5.3. Забезпечення придбання та встановлення урн </t>
  </si>
  <si>
    <t xml:space="preserve">  Завдання: 5.6. Проведення санітарних заходів у прибережних смугах річок Псел, Сумка, Стрілка, озера Чеха та ін. водних об’єктів </t>
  </si>
  <si>
    <t xml:space="preserve">  Завдання: 6. Поточний ремонт та утримання в належному стані об'єктів благоустрою </t>
  </si>
  <si>
    <t xml:space="preserve">  Завдання: 6.2. Спостереження, технічне обслуговування та поточний ремонт системи санкціонованого проїзду на перехресті провул. Терезова та вул. Воскресенської в м.Суми</t>
  </si>
  <si>
    <t xml:space="preserve">  Завдання: 6.5. Технічне обслуговування та поточний ремонт фонтанів</t>
  </si>
  <si>
    <t xml:space="preserve">  Завдання: 6.6. Забезпечення водопостачання фонтанів</t>
  </si>
  <si>
    <t xml:space="preserve">  Завдання: 6.7. Забезпечення утримання та поточного ремонту дитячих та спортивних майданчиків</t>
  </si>
  <si>
    <t>Завдання: 7. Забезпечення сприятливих умов для співіснування людей та тварин</t>
  </si>
  <si>
    <t xml:space="preserve">  Завдання: 8. Капітальний ремонт об'єктів та елементів благоустрою на загальних об'єктах</t>
  </si>
  <si>
    <t xml:space="preserve">  Завдання: 9.1.  Проведення капітального ремонту житлових будинків</t>
  </si>
  <si>
    <t xml:space="preserve">  Завдання: 9.2. Співфінансування капітального ремонту житлового фонду</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</si>
  <si>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</si>
  <si>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Завдання: 12. Регулювання діяльності у сфері розміщення зовнішньої реклами на території Сумської міської об'єднаної територіальної громади</t>
  </si>
  <si>
    <t xml:space="preserve">  Завдання: 12.1. Придбання та виготовлення рекламних матеріалів  соціального характеру, рекламних матеріалів до святкових та урочистих подій </t>
  </si>
  <si>
    <t xml:space="preserve">  Завдання: 12. 2. Демонтаж  рекламних засобів, розміщених самовільно та з порушенням порядку розміщення зовнішньої реклами на території Сумської міської об'єднаної територіальної громади</t>
  </si>
  <si>
    <t xml:space="preserve">  Завдання: 12.3. 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t>
  </si>
  <si>
    <t xml:space="preserve">  Завдання: 25. Повернення бюджетних позичок на поворотній основі</t>
  </si>
  <si>
    <t>Показник: сума видатків на поточний ремонт  проїздів, тротуарів, велосипедних доріжок, грн</t>
  </si>
  <si>
    <t xml:space="preserve">    Показник: площа проїздів, тротуарів, велосипедних доріжок, на якій планується провести поточний ремонт, кв.м</t>
  </si>
  <si>
    <t xml:space="preserve">    Показник: середня вартість поточного ремонту 1 кв. м проїздів, тротуарів, велосипедних доріжок, грн.</t>
  </si>
  <si>
    <t xml:space="preserve">    Показник: питома вага проїздів, тротуарів і велосипедних доріжок, що зазнала поточного ремонту до площі, що потребувала поточного ремонту</t>
  </si>
  <si>
    <t xml:space="preserve">    Показник: загальна площа пішохідних та велосипедних доріжок, що потребує капітального ремонту, кв. м</t>
  </si>
  <si>
    <t xml:space="preserve">    Показник: площа  пішохідних та велосипедних доріжок, на якій планується провести капітальний ремонт, кв.м</t>
  </si>
  <si>
    <t xml:space="preserve">    Показник: середня вартість капітального ремонту 1 кв. м  пішохідних та велосипедних доріжок, грн.</t>
  </si>
  <si>
    <t xml:space="preserve">    Показник: питома вага  пішохідних та велосипедних доріжок, що зазнала капітального ремонту до площі, що потребувала капітального ремонту, %</t>
  </si>
  <si>
    <t xml:space="preserve">    Показник: видатки на Оплата за спожиту електроенергію насосною станцією по вул.Тихорецька , грн</t>
  </si>
  <si>
    <t xml:space="preserve">    Показник: середні витрати на один кіловат спожитої електроенергії насосною станцією по вул.Тихорецька, грн.</t>
  </si>
  <si>
    <t xml:space="preserve">  Завдання: 6. 4. Поточний ремонт, утримання об'єктів та елементів благоустрою</t>
  </si>
  <si>
    <t xml:space="preserve">  Завдання: 6.8. Придбання та встановлення нових лавок</t>
  </si>
  <si>
    <t xml:space="preserve">  Завдання: 9.  Капітальний ремонт  житлового  фонду</t>
  </si>
  <si>
    <t xml:space="preserve"> Завдання: 11.2 Оплата податку на земельну ділянку за адресою: м.Суми, вул.Привокзальна, 4/13 (каналізаційно-насосна станція)</t>
  </si>
  <si>
    <t xml:space="preserve">  Завдання: 11.3. Забезпечення оплати за видачу сертифікату, який видається у разі прийняття в експлуатацію об'єкта</t>
  </si>
  <si>
    <t xml:space="preserve">  Завдання: 11.4. Забезпечення постачання природного газу монументу "Вічна Слава"</t>
  </si>
  <si>
    <t xml:space="preserve"> Завдання: 11.7. Встановлення інформаційних табло на зупинках громадського транспорту</t>
  </si>
  <si>
    <t>програми  реформування і розвитку житлово-</t>
  </si>
  <si>
    <t xml:space="preserve">Результативні показники виконання заходів Комплексної цільової програми  реформування і розвитку житлово-комунального господарства, на виконання яких виділяються кошти бюджету Сумської міської територіальної громади та інші надходження                                    </t>
  </si>
  <si>
    <t>затвердженої рішенням Сумської міської ради</t>
  </si>
  <si>
    <t xml:space="preserve">  Завдання: 6.1. Технічне обслуговування насосної станції по вул.Круговій та по вул.Тихорецька </t>
  </si>
  <si>
    <t xml:space="preserve">  Завдання: 6.3. Оплата за спожиту електроенергію насосною станцією по вул.Тихорецька та фонтан площа Театральна,3</t>
  </si>
  <si>
    <t>КПКВК 7462</t>
  </si>
  <si>
    <t xml:space="preserve"> Завдання: 14. Виконання заходів за рахунок цільових фондів </t>
  </si>
  <si>
    <t xml:space="preserve">  Завдання: 14.1. Садіння нових дерев і кущів за рахунок цільового фонду </t>
  </si>
  <si>
    <t xml:space="preserve">    Показник: площа вулично-дорожньої мережі, яка охоплена поточним ремонтом, кв.м</t>
  </si>
  <si>
    <t xml:space="preserve">    Показник: середня вартість поточного ремонту 1 кв. м вулично- дорожньої мережі, грн.</t>
  </si>
  <si>
    <t>Мета: Покращення стану автомобільних доріг</t>
  </si>
  <si>
    <t xml:space="preserve"> Завдання: 13. Проведення ремонту та утримання об'єктів транспортної інфраструктури </t>
  </si>
  <si>
    <t xml:space="preserve">  Завдання: 13.1. Забезпечення проведення поточного ремонту вулично-дорожньої мережі та штучних споруд за рахунок субвенції з державного бюджету</t>
  </si>
  <si>
    <t xml:space="preserve">  Завдання: 14.2. Кошти ОСББ/співвласників передбачені на співфінансування капітального ремонту житлового фонду</t>
  </si>
  <si>
    <t xml:space="preserve">  Завдання: 15. Забезпечення функціонування об'єктів житлово-комунального господарства</t>
  </si>
  <si>
    <t xml:space="preserve"> Завдання: 16.2 Фінансова підтримка КП «Міськводоканал» СМР (погашення заборгованості за судовим рішенням  перед ДПЗД "Укрінтеренерго")</t>
  </si>
  <si>
    <t xml:space="preserve"> Завдання: 16.3 Фінансова підтримка КП «Міськводоканал» СМР (погашення заборгованості за судовим рішенням перед ПАТ "Сумиобленерго")</t>
  </si>
  <si>
    <t xml:space="preserve">  Завдання: 16.4. Вимоги пожежної безпеки</t>
  </si>
  <si>
    <t>Завдання: 16.5. Фінансова підтримка КП «Міськводоканал» СМР (придбання водопровідних та каналізаційних люків)</t>
  </si>
  <si>
    <t>Завдання: 17. Впровадження енергозберігаючих заходів</t>
  </si>
  <si>
    <t xml:space="preserve">  Завдання: 18. Забезпечення зміцнення матеріально-технічної бази підприємств комунальної форми власності</t>
  </si>
  <si>
    <t xml:space="preserve">  Завдання: 19. Створення сприятливих умов проживання населення та забезпечення надання життєво необхідних послуг</t>
  </si>
  <si>
    <t xml:space="preserve">  Завдання: 20. Забезпечення надійного та безперебійного функціонування житлово-експлуатаційного господарства</t>
  </si>
  <si>
    <t xml:space="preserve">  Завдання: 21. Організація та проведення громадських робіт</t>
  </si>
  <si>
    <t xml:space="preserve">  Завдання: 22.Заходи з будівництва, реставрації  та реконструкції</t>
  </si>
  <si>
    <t xml:space="preserve">  Завдання: 23.Заходи з будівництва, реставрації  та реконструкції  інших об'єктів комунальної власності </t>
  </si>
  <si>
    <t xml:space="preserve">  Завдання: 24.Заходи з будівництва, реставрації  та реконструкції пам'яток архітектури</t>
  </si>
  <si>
    <t xml:space="preserve">  Завдання: 26. Повернення бюджетних позичок на поворотній основі</t>
  </si>
  <si>
    <t xml:space="preserve">  Завдання: 6.9. Забезпечення функціонування громадських вбиралень</t>
  </si>
  <si>
    <t>Завдання: 6.10. Забезпечення поточного ремонту малих архітектурних форм на території Сумської міської територіальної громади</t>
  </si>
  <si>
    <t>Завдання: 6.11. Створення електронної мапи благоустрою міста Суми</t>
  </si>
  <si>
    <t xml:space="preserve"> Завдання: 4.7. Поточний ремонт стаціонарних туалетів на Ново-Центральному Баранівському кладовищі м.Суми</t>
  </si>
  <si>
    <t xml:space="preserve"> Завдання: 4.8. Капітальний ремонт об'єкту благоустрою - встановлення стаціонарних туалетів на кладовищах </t>
  </si>
  <si>
    <t>Завдання: 17.3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</si>
  <si>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Завдання: 17. 1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</si>
  <si>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 xml:space="preserve"> Завдання: 2. Забезпечення функціонування мереж зовнішнього освітлення, в тому числі в приватному секторі  </t>
  </si>
  <si>
    <t xml:space="preserve">  Завдання: 1. Забезпечення проведення ремонту та утримання об'єктів транспортної інфраструктури, в тому числі в приватному секторі</t>
  </si>
  <si>
    <t xml:space="preserve">  Завдання: 1.1. Забезпечення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</si>
  <si>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 xml:space="preserve">  Завдання: 3. 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в тому числі в приватному секторі</t>
  </si>
  <si>
    <t xml:space="preserve">  Завдання: 3.1. Збереження та утримання на належному рівні зеленої зони та поліпшення його екологічних умов , в тому числі в приватному секторі</t>
  </si>
  <si>
    <t xml:space="preserve">  Завдання: 5. Забезпечення санітарної очистки території Сумської міської територіальної громади, в тому числі в приватному секторі</t>
  </si>
  <si>
    <t xml:space="preserve">  Завдання: 5.4. Забезпечення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</si>
  <si>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 xml:space="preserve">  Завдання: 5.5. Догляд за об'єктами благоустрою загального користування: ліквідація несанкціонованих і неконтрольованих звалищ відходів , в тому числі в приватному секторі</t>
  </si>
  <si>
    <t xml:space="preserve">  Завдання: 11. Інша діяльність у сфері житлово-комунального господарства, в тому числі в приватному секторі</t>
  </si>
  <si>
    <t xml:space="preserve"> Завдання: 11.5. Проведення санації шахтних колодязів, в тому числі в приватному секторі </t>
  </si>
  <si>
    <t xml:space="preserve"> Завдання: 11.6. Проведення поточного ремонту шахтних колодязів, в тому числі в приватному секторі</t>
  </si>
  <si>
    <t xml:space="preserve">  Завдання: 16. Забезпечення функціонування водопровідно-каналізаційного господарства, в тому числі в приватному секторі                                                                                   </t>
  </si>
  <si>
    <t>КПКВК 7363</t>
  </si>
  <si>
    <t xml:space="preserve">    Показник:кількість обєктів, од.</t>
  </si>
  <si>
    <t xml:space="preserve">    Показник: середня вартість, грн.</t>
  </si>
  <si>
    <t xml:space="preserve">    Мета: Субвенція з державного бюджету на капітальний ремонт обєктів благоустрою</t>
  </si>
  <si>
    <t xml:space="preserve">  Завдання: 27. Субвенція з державного бюджету місцевим бюджетам на здійснення заходів щодо соціально-економічного розвитку окремих територій на капітальний ремонт обєктів благоустрою</t>
  </si>
  <si>
    <t xml:space="preserve">  Завдання: 27.1. Капітальний ремонт обєктів благоустрою</t>
  </si>
  <si>
    <t>2022</t>
  </si>
  <si>
    <t>2023</t>
  </si>
  <si>
    <t>2024</t>
  </si>
  <si>
    <t>на 2022-2024 роки</t>
  </si>
  <si>
    <t xml:space="preserve">    Показник: кількість місяців, що будуть виконуватись з проведенням оплачуваних громадських робіт, міс.</t>
  </si>
  <si>
    <t xml:space="preserve">  Завдання: 16.1 Забезпечення охорони  каналізаційно-насосної станції за адресою м.Суми вул.Привокзальна 4/13</t>
  </si>
  <si>
    <t>Завдання: 16.8. Поточний ремонт, утримання та технічне обслуговування водонапірних башт та свердловин</t>
  </si>
  <si>
    <t xml:space="preserve"> Завдання: 11.8. Проведення інформайійно-розяснювальної роботи серед населення щодо роздільного збору ТПВ</t>
  </si>
  <si>
    <t xml:space="preserve"> Завдання: 11.9. Поточний ремонт та виготовлення  інформаційних щитів для кладовищ</t>
  </si>
  <si>
    <t xml:space="preserve"> Завдання: 11.10. Надання послуг з розробки звіту з оцінки впливу на довкілля</t>
  </si>
  <si>
    <t xml:space="preserve"> Завдання: 11.11. Надання послуг з виготовлення та встановлення покажчиків назв вулиць по місту, в тому числі в приватному секторі</t>
  </si>
  <si>
    <t xml:space="preserve">  Завдання: 11.13. 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</si>
  <si>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 xml:space="preserve">  Завдання: 11.14. Надання послуги з розробки проекту: організація дорожнього руху </t>
  </si>
  <si>
    <t xml:space="preserve">  Завдання: 11.15 Забезпечення технічного обслуговування  камер відеоспостереження </t>
  </si>
  <si>
    <t>Показник: площа огорож, м.кв</t>
  </si>
  <si>
    <t>Показник: середні витрати на поточний ремонт та улаштування 1 м.кв., грн.</t>
  </si>
  <si>
    <t>Показник: кількість водогонів, од.</t>
  </si>
  <si>
    <t>Завдання: 17.2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</si>
  <si>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 xml:space="preserve"> Показник: обсяг видатків на встановлення, проведення поточного та капітального ремонтів технічних засобів регулювання дорожнім рухом, грн.</t>
  </si>
  <si>
    <t xml:space="preserve">  Завдання: 1.2. Забезпечення проведення поточного ремонту вулично-дорожньої мережі та штучних споруд, в тому числі в приватному секторі</t>
  </si>
  <si>
    <t xml:space="preserve">  Завдання: 1.3.  Забезпечення проведення утримання вулично-дорожньої мережі та штучних споруд (чищення доріг, замітання вулиць, прибирання снігу, посипання піском тощо.), в тому числі в приватному секторі </t>
  </si>
  <si>
    <t xml:space="preserve">  Завдання: 1.4. Забезпечення поточного ремонту та улаштування огорож</t>
  </si>
  <si>
    <t xml:space="preserve">  Завдання: 1.5. Забезпечення поточного та капітального ремонту зупинок громадського транспорту</t>
  </si>
  <si>
    <t>Показник: кількість зупинок громадського транспорту, на яких плануються провести поточний та капітаальний ремонт, од</t>
  </si>
  <si>
    <t>Завдання: 1.6. Забезпечення проведення поточного ремонту проїздів, тротуарів, велосипедних доріжок</t>
  </si>
  <si>
    <t xml:space="preserve">    Показник: площа проїздів, тротуарів, велосипедних доріжок, кв.м</t>
  </si>
  <si>
    <t>Показник: кількість місяців передбачених для безперебійної роботи  системи санкціонованого проїзду на перехресті провул. Терезова та вул. Воскресенської в м.Суми, міс.</t>
  </si>
  <si>
    <t>Показник: кількість кіловат за спожиту електроенергію насосною станцією по вул.Тихорецька, кВт.</t>
  </si>
  <si>
    <t xml:space="preserve">    Показник: кількість об'єктів житлового фонду (будинків), що планується відремонтувати, од.</t>
  </si>
  <si>
    <t>Показник: кількість об'єктів житлового фонду (будинків), що потребують ремонту, од.</t>
  </si>
  <si>
    <t>Показник: кількість місяців, за які сплачується податок на земельну ділянку за адресою: м.Суми, вул.Привокзальна, 4/13 (каналізаційно-насосна станція), міс</t>
  </si>
  <si>
    <t xml:space="preserve"> Показник: кількість , міс.</t>
  </si>
  <si>
    <t>Показник: кількість місяців передбачених для технічного обслуговування камер відеоспостереження, міс.</t>
  </si>
  <si>
    <t xml:space="preserve">    Показник: кількість місяців, в яких плануються видатки на забезпечення функціонування водопровідно-каналізаційне господарство, міс.</t>
  </si>
  <si>
    <t xml:space="preserve">  Завдання: 1.7. Забезпечення проведення  утримання  та обслуговування технічних засобів регулювання дорожнім рухом</t>
  </si>
  <si>
    <t xml:space="preserve">  Завдання: 1.8. Забезпечення проведення ремонту мостів, шляхопроводів та пішохідних мостів</t>
  </si>
  <si>
    <t xml:space="preserve">  Завдання: 1.9. Забезпечення встановлення,  проведення поточного та капітального ремонтів  технічних засобів регулювання дорожнім рухом</t>
  </si>
  <si>
    <t xml:space="preserve">  Завдання: 1.10. Забезпечення  улаштування нових та розширення існуючих тротуарів, пішохідних та велосипедних доріжок </t>
  </si>
  <si>
    <t xml:space="preserve">  Завдання: 1.11. Забезпечення  проведення обстеження та екпертизи мостів та шляхопроводів</t>
  </si>
  <si>
    <t xml:space="preserve">  Завдання: 1.12. Забезпечення  інвентаризації та  паспортизації  левневих мереж міста (електронна мапа)</t>
  </si>
  <si>
    <t xml:space="preserve">  Завдання: 1.13. Забезпечення проведення технічної інвентаризації та паспортизації доріг</t>
  </si>
  <si>
    <t xml:space="preserve">  Завдання: 1.14. Забезпечення розроблення схеми дислокації дорожніх знаків та організації безпеки руху</t>
  </si>
  <si>
    <t xml:space="preserve">  Завдання: 1.15. Забезпечення проведення капітального ремонту об'єктів транспортної інфраструктури </t>
  </si>
  <si>
    <t>Показник: кількість об'єктів транспортної інфраструктури, що потребують капітального ремонту, од</t>
  </si>
  <si>
    <t>Показник: кількість туалетів на території дитячого "Казка, які планується утримувати, од</t>
  </si>
  <si>
    <t>Показник: кількість місяців передбачених для безперебійної роботи насосних станцій по вул. Тихорецька та вул. Кругова, міс.</t>
  </si>
  <si>
    <t xml:space="preserve"> Завдання: 11.1. Проведення поточного ремонту  хомутів із заміною  для кріплення прапорів на електричних та тролейбусних опорах</t>
  </si>
  <si>
    <t xml:space="preserve">    Показник: вартість садіння дерев та кущів, створення газонів  на території територыальноъ громади, грн</t>
  </si>
  <si>
    <t xml:space="preserve">    Показник: кількість  об'єктів водопостачання,  на яких планується замінити гідранти, шт.</t>
  </si>
  <si>
    <t xml:space="preserve">    Показник: обсяг видатків на поточний та капітальний ремонти, грн.</t>
  </si>
  <si>
    <t xml:space="preserve">    Показник: середня вартість капітального та поточного ремонту колекторів та каналізаційних мереж, грн.</t>
  </si>
  <si>
    <t>Показник: кількість об'єктів, що планується відремонтувати, од.</t>
  </si>
  <si>
    <t>Завдання: 16.6. Проведення капітального та поточного ремонту колекторів, водопровідних  та каналізаційних мереж</t>
  </si>
  <si>
    <t xml:space="preserve">    Показник: кількість підприємств, яким надається фінансова підтримка, од.</t>
  </si>
  <si>
    <t xml:space="preserve">    Показник: середня вартість однієї фінансової підтримки,  грн.</t>
  </si>
  <si>
    <t xml:space="preserve"> Завдання: 4.6. 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</si>
  <si>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 xml:space="preserve"> Показник: видатки на поховання, грн</t>
  </si>
  <si>
    <t>Показник: середня вартість  1 поховання, грн.</t>
  </si>
  <si>
    <t>КПКВК 6014</t>
  </si>
  <si>
    <t xml:space="preserve">    Показник:кількість відходів, куб. М</t>
  </si>
  <si>
    <t xml:space="preserve">    Показник: середня вартість перевезення, грн.</t>
  </si>
  <si>
    <t>Загальний фонд</t>
  </si>
  <si>
    <t>Спеціальний фонд</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</si>
  <si>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</si>
  <si>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</si>
  <si>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</si>
  <si>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</si>
  <si>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</si>
  <si>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</si>
  <si>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</si>
  <si>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</si>
  <si>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</si>
  <si>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</si>
  <si>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кв. м вулично-дорожньої мережі, грн.</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</si>
  <si>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</si>
  <si>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</si>
  <si>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виконання за _______ до уточненого плану</t>
  </si>
  <si>
    <t>Всього</t>
  </si>
  <si>
    <t>Код програмної класифікації видатків</t>
  </si>
  <si>
    <t>Код економічної класифікації видатків</t>
  </si>
  <si>
    <t>в тому числі</t>
  </si>
  <si>
    <t xml:space="preserve">    Тип показника: Витрати</t>
  </si>
  <si>
    <t>грн.</t>
  </si>
  <si>
    <t>Управління капітального будівництва та дорожнього господарства Сумської міської ради</t>
  </si>
  <si>
    <t xml:space="preserve">    Показник: обсяг видатків, грн.</t>
  </si>
  <si>
    <t>Департамент інфраструктури міста  Сумської міської ради</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</si>
  <si>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</si>
  <si>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</si>
  <si>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</si>
  <si>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</si>
  <si>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</si>
  <si>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</si>
  <si>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 ДІМ СМР</t>
  </si>
  <si>
    <t>УКБтаДГ СМР</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</si>
  <si>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</si>
  <si>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</si>
  <si>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</si>
  <si>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</si>
  <si>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</si>
  <si>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</si>
  <si>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</si>
  <si>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</si>
  <si>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</si>
  <si>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</si>
  <si>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</si>
  <si>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</si>
  <si>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</si>
  <si>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</si>
  <si>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</si>
  <si>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</si>
  <si>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</si>
  <si>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середні витрати на  висадження 1 тис. од. квіткової розсади, грн.</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</si>
  <si>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</si>
  <si>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</si>
  <si>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Показник: кількість світлоточок, які планується утримувати, од.</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</si>
  <si>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</si>
  <si>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</si>
  <si>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</si>
  <si>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</si>
  <si>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</si>
  <si>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</si>
  <si>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</si>
  <si>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</si>
  <si>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</si>
  <si>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</si>
  <si>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функціонування водопровідно-каналізаційного господарства</t>
  </si>
  <si>
    <t xml:space="preserve">РАЗОМ </t>
  </si>
  <si>
    <t xml:space="preserve">    Показник: загальна площа тротуарів, що потребує капітального ремонту, кв. м</t>
  </si>
  <si>
    <t xml:space="preserve">    Показник: площа тротуарів, на якій планується провести капітальний ремонт, кв.м</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</si>
  <si>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</si>
  <si>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тротуарів, грн.</t>
  </si>
  <si>
    <t xml:space="preserve">    Показник: площа дитячого парку "Казка", яку планується прибирати, га</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</si>
  <si>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</si>
  <si>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</si>
  <si>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</si>
  <si>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</si>
  <si>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</si>
  <si>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</si>
  <si>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</si>
  <si>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</si>
  <si>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</si>
  <si>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</si>
  <si>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</si>
  <si>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</si>
  <si>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Показник:кількість схем, шт.</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</si>
  <si>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</si>
  <si>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</si>
  <si>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</si>
  <si>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 xml:space="preserve">    Показник:кількість технічних паспортів, шт.</t>
  </si>
  <si>
    <t xml:space="preserve">    Показник: вартість розробки технічного паспорту,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</si>
  <si>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</si>
  <si>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</si>
  <si>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</si>
  <si>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</si>
  <si>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</si>
  <si>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</si>
  <si>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власні кошти підприємства</t>
  </si>
  <si>
    <t xml:space="preserve">    Показник:кількість об'єктів, шт.</t>
  </si>
  <si>
    <t xml:space="preserve">    Показник: середня вартість ремонту 1 об'єкта, грн.</t>
  </si>
  <si>
    <t>Показник: середня вартість поховання 1 безрідного, грн.</t>
  </si>
  <si>
    <t xml:space="preserve">    Показник: кількість об'єктів житлового фонду (будинків), що планується відремонтувати, шт.</t>
  </si>
  <si>
    <t xml:space="preserve">    Мета: Повернення бюджетних позичок      </t>
  </si>
  <si>
    <t xml:space="preserve">    Показник:кількість підприємств, яким надана бюджетна позичка, од.</t>
  </si>
  <si>
    <t xml:space="preserve">    Показник: обсяг бюджетної позички, який підлягає поверненню, грн.</t>
  </si>
  <si>
    <t xml:space="preserve">    Мета: Проведення будівництва об'єктів комунального господарства </t>
  </si>
  <si>
    <t xml:space="preserve">    Показник: загальна кількість об'єктів, що потребує поточного та капітального ремонту, шт.</t>
  </si>
  <si>
    <t xml:space="preserve">    Показник: питома вага об'ктів, що зазнали ремонту до кількості, що потребувала  ремонту</t>
  </si>
  <si>
    <t xml:space="preserve">    Показник:площа трави (амброзії), яку планується прополювати,  га</t>
  </si>
  <si>
    <t xml:space="preserve">    Показник:середні витрати на прополювання трави (амброзії), грн</t>
  </si>
  <si>
    <t>Показник: темп зростання середніх витрат на придбання однієї лавки порівняно з попереднім роком, %</t>
  </si>
  <si>
    <t xml:space="preserve">    Показник: середня вартість 1 кВт/год електроенергії необхідної для безперебійної роботи вуличного освітлення, грн</t>
  </si>
  <si>
    <t xml:space="preserve">    Показник: кількість дерев, що потребують висадженню, од.</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</si>
  <si>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</si>
  <si>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 грн.</t>
  </si>
  <si>
    <t xml:space="preserve">    Показник: кількість безпритульних тварин, які планується виловити (утримувати в притулку, стерилізувати), од.</t>
  </si>
  <si>
    <t xml:space="preserve">    Показник: середні витрати на проведення утримання в притулку, стерилізації тварини та їх виловлення, грн.</t>
  </si>
  <si>
    <t>КПКВК 6020</t>
  </si>
  <si>
    <t xml:space="preserve">    Показник: обсяг видатків, передбачений на забезпечення функціонування об'єктів житлово-комунального господарства, грн.</t>
  </si>
  <si>
    <t xml:space="preserve">    Показник: кількість підприємств, яким планується видатки на забезпечення функціонування об'єктів житлово-комунального господарства, од.</t>
  </si>
  <si>
    <t xml:space="preserve">    Показник: середня сума  видатків на забезпечення функціонування об'єктів житлово-комунального господарства,  грн.</t>
  </si>
  <si>
    <t xml:space="preserve">    Показник: середня сума   видатків на забезпечення функціонування водопровідно-каналізаційне господарство,  грн.</t>
  </si>
  <si>
    <t>КПКВК 6013</t>
  </si>
  <si>
    <t>КПКВК 7640</t>
  </si>
  <si>
    <t>КПКВК 7670</t>
  </si>
  <si>
    <t>КПКВК 9770</t>
  </si>
  <si>
    <t>КПКВК 8862</t>
  </si>
  <si>
    <t xml:space="preserve">    Мета: Розробка технічних паспортів на багатоквартирні житлові будинки</t>
  </si>
  <si>
    <t xml:space="preserve">    Показник: обсяг видатків на святкове оформлення та ремонт, грн.</t>
  </si>
  <si>
    <t xml:space="preserve">    Показник: середня вартість 1 святкового заходу та ремонту, грн.</t>
  </si>
  <si>
    <t xml:space="preserve">    Показник: площа тротуарів з асфальтобетонним покриттям та фігурними елиментами мощення, на якій  проведено роботи з очищення (утримання),  м.кв.</t>
  </si>
  <si>
    <t xml:space="preserve">    Показник: загальна площа тротуарів з асфальтобетонним покриттям та фігурними елиментами мощення, які визначені для чищення, кв.м.</t>
  </si>
  <si>
    <t xml:space="preserve">    Показник: середня вартість проведення одного заходу з розміщення рекламних матеріалів до святкових та урочистих подій, грн.</t>
  </si>
  <si>
    <t xml:space="preserve">    Показник: середня вартість проведення одного заходу з розміщення соціальної реклами, грн.</t>
  </si>
  <si>
    <t xml:space="preserve">    Показник: кількість часу витраченого на демонтаж (розбирання, знесення) рекламних засобів на висоті до 3 метрів, год.</t>
  </si>
  <si>
    <t xml:space="preserve">    Показник: кількість часу витраченого на демонтаж (розбирання, знесення) рекламних засобів на висоті вище 3 метрів, год.</t>
  </si>
  <si>
    <t>КПКВК 7691</t>
  </si>
  <si>
    <t xml:space="preserve">    Показник: кількість часу витраченого на демонтаж об'єктів без відключення від мережі електропостачання, год.</t>
  </si>
  <si>
    <t xml:space="preserve">    Показник: кількість часу витраченого на відключення об'єктів від мережі електропостачання , год.</t>
  </si>
  <si>
    <t xml:space="preserve">    Показник: кількість часу витраченого на доставку демонтованих об'єктів на майданчик тимчасового зберігання , год.</t>
  </si>
  <si>
    <t xml:space="preserve">    Показник: кількість куб.м. прибраного на території сміття </t>
  </si>
  <si>
    <t xml:space="preserve">    Показник: середня вартість,  грн.</t>
  </si>
  <si>
    <t>КПКВК 6017</t>
  </si>
  <si>
    <t xml:space="preserve"> КПКВК 3210</t>
  </si>
  <si>
    <t xml:space="preserve">    Показник: середні витрати на  висадження одного дерева та посадку куща, грн.</t>
  </si>
  <si>
    <t xml:space="preserve">    Показник: середня обсяг бюджетної позички,який підлягає поверненню, грн.</t>
  </si>
  <si>
    <t xml:space="preserve">    Показник: кількість дерев та кущів, які планується висадити, од.</t>
  </si>
  <si>
    <t>Показник: кількість похованих безрідних, чол.</t>
  </si>
  <si>
    <t>Показник: кількість об'єктів, на яких планується здійснити технічне обслуговування, грн.</t>
  </si>
  <si>
    <t>Показник: середня вартість видачі одного сертифікату, грн.</t>
  </si>
  <si>
    <t xml:space="preserve">    Мета: Передача іншої субвенції  Верхньосироватському сільському бюджету для Верхньосироватської сільської ради та об'єктів, що знаходяться на території Верхньосироватської обєднаної територіальної  громади згідно з їх пропозиціями</t>
  </si>
  <si>
    <t xml:space="preserve">    Показник: кількість , од.</t>
  </si>
  <si>
    <t>Показник: кількість інформаційних табло які необхідно встановаити, од</t>
  </si>
  <si>
    <t>Показник: середня вартість встановлення табло, грн.</t>
  </si>
  <si>
    <t xml:space="preserve">комунального господарства Сумської міської </t>
  </si>
  <si>
    <t xml:space="preserve">    Показник: середня обсяг бюджетної позички, який підлягає поверненню, грн.</t>
  </si>
  <si>
    <t xml:space="preserve">    Показник: середня вартість будівництва, реконструкції та реставрації для одного об'єкта,  грн.</t>
  </si>
  <si>
    <t>Мета: Забезпечення надійного та безперебійного функціонування житлово – комунального господарства</t>
  </si>
  <si>
    <t xml:space="preserve">    Мета:  Забезпечення демонтажу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 </t>
  </si>
  <si>
    <t xml:space="preserve">    Показник: обсяг видатків на  проведення демонтажу об'єктів без відключення від мережі електропостачання, грн.</t>
  </si>
  <si>
    <t xml:space="preserve">    Показник: обсяг видатків за послуги із відключення об'єктів від мережі електропостачання , грн.</t>
  </si>
  <si>
    <t xml:space="preserve">    Показник: обсяг видатків за послуги із доставки демонтованих об'єктів на майданчик тимчасового зберігання , грн.</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</si>
  <si>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 грн.</t>
  </si>
  <si>
    <t xml:space="preserve">    Показник: середня вартість однієї години демонтажу об'єктів без відключення від мережі електропостачання , грн.</t>
  </si>
  <si>
    <t xml:space="preserve">    Показник: середня вартість однієї години послуги з відключення об'єктів від мережі електропостачання , грн.</t>
  </si>
  <si>
    <t xml:space="preserve">    Показник: середня вартість однієї години послуги з доставки демонтованих об'єктів на майданчик тимчасового зберігання , грн.</t>
  </si>
  <si>
    <t xml:space="preserve">    Показник: середня вартість прибирання , вивезення на полігон та утилізації одного куб.м. сміття на території  , грн.</t>
  </si>
  <si>
    <t xml:space="preserve">  Завдання: 4. Зберігання демонтованих елементів благоустрою, тимчасових збірно-розбірних індивідуальних гаражів, тимчасових споруд та рекламних засобів</t>
  </si>
  <si>
    <t xml:space="preserve">    Показник: обсяг видатків на оплату послуги зберігання об'єктів, грн.</t>
  </si>
  <si>
    <t xml:space="preserve">    Показник: термін зберігання, міс.</t>
  </si>
  <si>
    <t xml:space="preserve">    Показник: середньомісячна вартість послуги зберігання, грн.</t>
  </si>
  <si>
    <t xml:space="preserve">    Мета:  Регулювання діяльності у сфері розміщення зовнішньої реклами на території Сумської міської об'єднаної територіальної громади</t>
  </si>
  <si>
    <t xml:space="preserve">    Показник: обсяг видатків на придбання та виготовлення  рекламних матеріалів до святкових та урочистих подій , грн.</t>
  </si>
  <si>
    <t xml:space="preserve">    Показник: обсяг видатків на придбання та виготовлення рекламних матеріалів  соціального характеру, грн.</t>
  </si>
  <si>
    <t xml:space="preserve">    Показник: загальна кількість святкових та урочистих подій, які підлягають святковому оформленню, од. </t>
  </si>
  <si>
    <t xml:space="preserve">    Показник: загальна кількість заходів з розміщення соціальної реклами, од. </t>
  </si>
  <si>
    <t xml:space="preserve">Показник: загальна кількість розробки/коригування макетів для друку рекламного матеріалу, од. </t>
  </si>
  <si>
    <t xml:space="preserve">    Показник: середня вартість розробка/коригування одного макету для друку рекламного матеріалу </t>
  </si>
  <si>
    <t xml:space="preserve">    Показник: обсяг видатків на демонтаж (розбирання, знесення) рекламних засобів на висоті до 3 метрів, грн.</t>
  </si>
  <si>
    <t xml:space="preserve">    Показник: обсяг видатків на демонтаж (розбирання, знесення) рекламних засобів на висоті вище 3 метрів, грн.</t>
  </si>
  <si>
    <t xml:space="preserve">    Показник: обсяг видатків на демонтаж (розбирання, знесення) великоформатних рекламних засобів (типу «біг-борд» та ін.) , грн.</t>
  </si>
  <si>
    <t xml:space="preserve">    Показник: обсяг видатків за послуги із доставки демонтованих рекламних засобів на майданчик тимчасового зберігання , грн.</t>
  </si>
  <si>
    <t xml:space="preserve">    Показник: обсяг видатків за послуги із відключення від мережі електропостачання , грн.</t>
  </si>
  <si>
    <t xml:space="preserve">    Показник: кількість часу витраченого на демонтаж (розбирання, знесення) великоформатних рекламних засобів (типу «біг-борд» та ін.) , год.</t>
  </si>
  <si>
    <t xml:space="preserve">    Показник: кількість часу витраченого на доставку демонтованих рекламних засобів на майданчик тимчасового зберігання , год.</t>
  </si>
  <si>
    <t xml:space="preserve">    Показник: кількість часу витраченого на відключення від мережі електропостачання , год.</t>
  </si>
  <si>
    <t xml:space="preserve">    Показник: кількість куб.м. прибраного на території сміття</t>
  </si>
  <si>
    <t xml:space="preserve">    Показник: середня вартість однієї години демонтажу (розбирання, знесення) рекламних засобів на висоті до 3 метрів , грн.</t>
  </si>
  <si>
    <t xml:space="preserve">    Показник: середня вартість однієї години демонтажу (розбирання, знесення) рекламних засобів на висоті вище 3 метрів, грн.</t>
  </si>
  <si>
    <t xml:space="preserve">    Показник: середня вартість однієї години демонтажу (розбирання, знесення) великоформатних рекламних засобів (типу «біг-борд» та ін.), грн.</t>
  </si>
  <si>
    <t xml:space="preserve">    Показник: середня вартість однієї години послуги з доставки демонтованих рекламних засобів на майданчик тимчасового зберігання , грн.</t>
  </si>
  <si>
    <t xml:space="preserve">    Показник: середня вартість однієї години послуги з відключення від мережі електропостачання , грн.</t>
  </si>
  <si>
    <t xml:space="preserve">    Показник: середня вартість прибирання, вивезення на полігон та утилізації одного куб.м. сміття на території  , грн.</t>
  </si>
  <si>
    <t>Тип показника: Ефективності</t>
  </si>
  <si>
    <t xml:space="preserve">    Показник: середня вартість проведення санації,  грн.</t>
  </si>
  <si>
    <t xml:space="preserve">    Показник: середня вартість проведення поточного ремонту,  грн.</t>
  </si>
  <si>
    <t xml:space="preserve"> Показник: кількість колодязів, по яких буде проведено поточний ремонт, од</t>
  </si>
  <si>
    <t>Тип показника: Продукту</t>
  </si>
  <si>
    <t xml:space="preserve"> Показник: обсяг видатків, грн.</t>
  </si>
  <si>
    <t>Показник: обсяг видатків, грн.</t>
  </si>
  <si>
    <t>Показник: кількість розроблиних звітів з оцінки впливу на довкілля, од</t>
  </si>
  <si>
    <t>Показник: середня вартість 1 звіту, грн.</t>
  </si>
  <si>
    <t>Показник: кількість покажчиків, од</t>
  </si>
  <si>
    <t>Показник: середня 1 послуги, грн.</t>
  </si>
  <si>
    <t>Показник:  кількість щитів, од.</t>
  </si>
  <si>
    <t>Показник: середня вартість 1 послуги  грн.</t>
  </si>
  <si>
    <t>Показник: кількість проєктів, од</t>
  </si>
  <si>
    <t>Показник: середня вартість проєкту , грн.</t>
  </si>
  <si>
    <t xml:space="preserve">Мета:  Забезпечення святкового оформлення міста до пам'ятних та історичних дат, культурно-мистецьких, релігійних, інших святкових заходів та інша діяльність у сфері житлово-комунального господарства </t>
  </si>
  <si>
    <t>КПКВК 6011</t>
  </si>
  <si>
    <t>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</si>
  <si>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Показник:вартість капітального ремонту житлового фонду (будинку), грн.</t>
  </si>
  <si>
    <t>Показник: кількість позичальників, що отримали відшкодування відсоткових ставок, од.</t>
  </si>
  <si>
    <t>КПКВК 7310</t>
  </si>
  <si>
    <t>КПКВК 7330</t>
  </si>
  <si>
    <t>КПКВК 7340</t>
  </si>
  <si>
    <t xml:space="preserve">    Мета: Проведення проектування, реставраціъ та охорони пам'яток архітектури</t>
  </si>
  <si>
    <t xml:space="preserve">    Мета: Проведення будівництва інших об'єктів комунальної власності </t>
  </si>
  <si>
    <t xml:space="preserve">    Показник: середні витрати на садіння 1 дерева/ куща, грн.</t>
  </si>
  <si>
    <t>Показник: довжина мереж зовнішнього освітлення, на якій проведено капітальний ремонт, км</t>
  </si>
  <si>
    <t xml:space="preserve"> Показник: обсяг видатків на утримання кладовищ, грн.</t>
  </si>
  <si>
    <t>Показник: кількість кладовищ, які  планується утримувати, од</t>
  </si>
  <si>
    <t>Показник: середньорічні витрати на утримання 1 кладовища, грн.</t>
  </si>
  <si>
    <t xml:space="preserve"> Показник:  видатки на поточний ремонт, утримання місць поховань та елементів благоустрою, грн</t>
  </si>
  <si>
    <t>Показник: кількість кладовищ, на яких планується  проводити поточний ремонт, утримання місць поховань та елементів благоустрою , од</t>
  </si>
  <si>
    <t>Показник: середньорічні витрати на поточний ремонт, утримання місць поховань та елементів благоустрою на  1 кладовищі, грн.</t>
  </si>
  <si>
    <t xml:space="preserve"> Показник:  видатки по забезпеченню діяльності спецслужби, грн</t>
  </si>
  <si>
    <t>Показник: середні витрати на один виїзд спецслужби, грн.</t>
  </si>
  <si>
    <t xml:space="preserve"> Показник: видатки на забезпечення поховання безрідних, грн</t>
  </si>
  <si>
    <t xml:space="preserve"> Показник: видатки на забезпечення сервісного обслуговування водогонів, грн</t>
  </si>
  <si>
    <t>Показник: середня вартість сервісного обслуговування 1 водогону, грн.</t>
  </si>
  <si>
    <t xml:space="preserve"> Тип показника: Продукту</t>
  </si>
  <si>
    <t>Показник: видатки на послуги зі збирання безпечних відходів, непридатних для вторинного використання (прибирання урн від сміття по місту), грн</t>
  </si>
  <si>
    <t>Показник: видатки на послуги з утримання в належному стані об'єктів благоустрою міста Суми (утримання зупинок громадського транспорту)</t>
  </si>
  <si>
    <t>Показник: кількість зупинок громадського транспорту, од.</t>
  </si>
  <si>
    <t xml:space="preserve">Мета: Підвищення рівня благоустрою міста, підвищення експлуатаційних властивостей житлового фонду </t>
  </si>
  <si>
    <t xml:space="preserve">    Показник: середня вартість робіт по співфінансуванню робіт з капітального ремонту житлового фонду (будинку), грн.</t>
  </si>
  <si>
    <t>Показник: середня вартість буклетів для здійснення просвітницької діяльності серед населення, грн.</t>
  </si>
  <si>
    <t>Показник: кількість буклетів для здійснення просвітницької діяльності серед населення, од</t>
  </si>
  <si>
    <t>Показник: кількість колодязів, по яких буде проведена санація, од</t>
  </si>
  <si>
    <t>Показник: середня вартість1 куб.м. спожитотого прородного газу, грн.</t>
  </si>
  <si>
    <t xml:space="preserve"> Тип показника: Ефективності</t>
  </si>
  <si>
    <t xml:space="preserve"> Показник: кількість , од.</t>
  </si>
  <si>
    <t>Показник: середня вартість,  грн.</t>
  </si>
  <si>
    <t xml:space="preserve">    Показник: кількість об'єктів, яка охоплена поточним та капітальним ремонтом, шт.</t>
  </si>
  <si>
    <t xml:space="preserve"> Показник: обсяг видатків на поточний ремонт та улаштування огорож, грн.</t>
  </si>
  <si>
    <t xml:space="preserve"> Показник: обсяг видатків на поточний та капітальний ремонт зупинок громадського транспорту, грн.</t>
  </si>
  <si>
    <t>Показник: середні витрати на поточний  та капітальний ремонт 1 зупинки громадського транспорту, грн.</t>
  </si>
  <si>
    <t xml:space="preserve"> Показник: обсяг видатків на  проведення обстеження та екпертизи мостів та шляхопроводів, грн.</t>
  </si>
  <si>
    <t>Показник: кількість обстежень та екпертиз мостів та шляхопроводів, од</t>
  </si>
  <si>
    <t>Показник: середні витрати на  проведення обстеження та екпертизи мостів та шляхопроводів, грн.</t>
  </si>
  <si>
    <t xml:space="preserve"> Показник: обсяг видатків на  проведення інвентаризації та  паспортизації  левневих мереж міста (електронна мапа), грн.</t>
  </si>
  <si>
    <t>Показник: од</t>
  </si>
  <si>
    <t>Показник: середні витрати, грн.</t>
  </si>
  <si>
    <t xml:space="preserve"> Показник: обсяг видатків на  проведення технічної інвентаризації та паспортизації доріг, грн.</t>
  </si>
  <si>
    <t>Показник: середні витрати на проведення технічної інвентаризації та паспортизації доріг, грн.</t>
  </si>
  <si>
    <t xml:space="preserve"> Показник: обсяг видатків на  розроблення схеми дислокації дорожніх знаків та організації безпеки руху, грн.</t>
  </si>
  <si>
    <t>Показник: середні витрати на розроблення схеми дислокації дорожніх знаків та організації безпеки руху, грн.</t>
  </si>
  <si>
    <t xml:space="preserve"> Показник: обсяг видатків на  проведення капітального ремонту об'єктів транспортної інфраструктури , грн.</t>
  </si>
  <si>
    <t>Показник: кількість засобів регулювання дорожнім рухом, од</t>
  </si>
  <si>
    <t>Показник: середні витрати на проведення поточного та капітального ремонту  (встановлення) технічних засобів регулювання дорожнім рухом, грн.</t>
  </si>
  <si>
    <t xml:space="preserve"> Показник: обсяг видатків на проведення ремонту та обслуговування технічних засобів регулювання дорожнім рухом, грн.</t>
  </si>
  <si>
    <t>Показник: середні витрати на проведення ремонту та обслуговування технічних засобів регулювання дорожнім рухом, грн.</t>
  </si>
  <si>
    <t>Показник:  од</t>
  </si>
  <si>
    <t>Показник: середні витрати на проведення капітального ремонту об'єктів транспортної інфраструктури , грн.</t>
  </si>
  <si>
    <t xml:space="preserve"> Показник: обсяг видатків на  проведення капітального ремонту парків, скверів тощо , грн.</t>
  </si>
  <si>
    <t>Показник:кількість парків, скверів тощо , що потребують капітального ремонту, од</t>
  </si>
  <si>
    <t>Показник: середні витрати на проведення капітального ремонту парків, скверів тощо , грн.</t>
  </si>
  <si>
    <t xml:space="preserve">    Показник: середні витрати на догляд за деревами та кущами, грн.</t>
  </si>
  <si>
    <t xml:space="preserve">    Показник: кількість дерев та кущів, за якими планується догляд од.</t>
  </si>
  <si>
    <t xml:space="preserve">    Показник: площа газонів, яку планується утримувати, га</t>
  </si>
  <si>
    <t xml:space="preserve"> Показник: обсяг видатків на  проведення  поточного ремонту  малих архітектурних форм та споруд благоустрою у парках, скверах та зелених зонах, грн.</t>
  </si>
  <si>
    <t>Показник: кількість малих архітектурних форм та споруд благоустрою у парках, скверах та зелених зонах, що потребують поточного ремонту, од</t>
  </si>
  <si>
    <t>Показник: середні витрати на проведення поточного ремонту малих архітектурних форм та споруд благоустрою у парках, скверах та зелених зонах , грн.</t>
  </si>
  <si>
    <t xml:space="preserve"> Показник: обсяг видатків на  проведення утримання майданчику для складування відходів по вул. М.Лукаша, грн.</t>
  </si>
  <si>
    <t>Показник: кількість місяців, що планується утримувати майданчик для складування відходів по вул. М.Лукаша, од</t>
  </si>
  <si>
    <t>Показник: середні витрати на утримання 1 місяця майданчику для складування відходів по вул. М.Лукаша , грн.</t>
  </si>
  <si>
    <t>Показник: середні витрати на догляд за 1 од. троянди</t>
  </si>
  <si>
    <t xml:space="preserve"> Показник: обсяг видатків на  встановлення паркових лавочок в дитячому парку "Казка", грн.</t>
  </si>
  <si>
    <t>Показник: кількість паркових лавочок в дитячому парку "Казка", які планується встановити, од</t>
  </si>
  <si>
    <t>Показник: середні витрати на встановлення паркових лавочок в дитячому парку "Казка", грн.</t>
  </si>
  <si>
    <t xml:space="preserve">    Показник: кількість троянд, за якими планується провести догляд,. од.</t>
  </si>
  <si>
    <t>Показник: середні витрати на утримання туалету на території дитячого "Казка</t>
  </si>
  <si>
    <t xml:space="preserve">    Показник: середні витрати на  догляд 1 дерева на  території дитячого парку "Казка",  грн.</t>
  </si>
  <si>
    <t xml:space="preserve">    Показник: кількість дерев на території дитячого парку "Казка", які планується доглянути,од</t>
  </si>
  <si>
    <t xml:space="preserve">    Показник: кількість дерев на території дитячого парку "Казка", які планується висадити,од</t>
  </si>
  <si>
    <t xml:space="preserve">    Показник: середні витрати на  висадку 1 дерева на  території дитячого парку "Казка",  грн.</t>
  </si>
  <si>
    <t xml:space="preserve">    Показник: середні витрати на улаштування 1 тис.од. квіткової розсали на  території дитячого парку "Казка",  грн.</t>
  </si>
  <si>
    <t xml:space="preserve">    Показник: площа газонів, яку планується відновити (створити), га.</t>
  </si>
  <si>
    <t>Показник: середні витрати на  відновлення  (створення) 1 га газонів,грн.</t>
  </si>
  <si>
    <t xml:space="preserve">    Показник: кількість дерев та кущів, які потребують догляду, од.</t>
  </si>
  <si>
    <t xml:space="preserve">    Показник: Питома вага утриманої териорії до території, що підлягає утриманню, %</t>
  </si>
  <si>
    <t xml:space="preserve">    Показник: Питома вага дерев та кущів, які потребують догляду до загальної їх кількості , %,</t>
  </si>
  <si>
    <t xml:space="preserve">    Показник: площа дитячого парку "Казка", що підлягає прибиранню,  га</t>
  </si>
  <si>
    <t xml:space="preserve">    Показник: Площа газонів, яку необхідно утримувати, га</t>
  </si>
  <si>
    <t>Показник: площа трави (амброзії), що підлягає прополюванню,  га</t>
  </si>
  <si>
    <t>Показник: площа газонів, які планується відновити (створити), га</t>
  </si>
  <si>
    <t xml:space="preserve">    Показник: кількість зелених насаджень (дерев та кущів), що планується висадити , од.</t>
  </si>
  <si>
    <t xml:space="preserve">    Показник: середні витрати на утримання 1 га газонів, грн.</t>
  </si>
  <si>
    <t xml:space="preserve"> Показник: видатки на встановлення стаціонарних туалетів на кладовищах,  грн</t>
  </si>
  <si>
    <t>Показник: кількість туалетів, чол.</t>
  </si>
  <si>
    <t>Показник: середня вартість  встановлення 1 туалету, грн.</t>
  </si>
  <si>
    <t>Показник: середня вартість одного заходу з утримання в належному стані об'єктів благоустрою міста Суми (утримання зупинок громадського транспорту), грн.</t>
  </si>
  <si>
    <t xml:space="preserve">    Показник: видатки на придбання та встановлення урн, грн</t>
  </si>
  <si>
    <t xml:space="preserve">    Показник: кількість урн, які планується придбати та встановити, од.</t>
  </si>
  <si>
    <t xml:space="preserve">    Показник: середня вартість придбання та встановлення однієї урни, грн.</t>
  </si>
  <si>
    <t xml:space="preserve">    Показник: видатки на бирання та вивезення сміття на території Сумської міської територіальної громади (після проведення місячника благоустрою), грн</t>
  </si>
  <si>
    <t>Показник: об'єм сміття, який планується зібрати та вивезти, м3.</t>
  </si>
  <si>
    <t xml:space="preserve">    Показник: середня вартість збирання та вивезення 1 м3 сміття, грн.</t>
  </si>
  <si>
    <t xml:space="preserve">    Показник: видатки на догляд за об'єктами благоустрою загального користування: ліквідація несанкціонованих і неконтрольованих звалищ відходів , грн</t>
  </si>
  <si>
    <t xml:space="preserve">    Показник: видатки на проведення санітарних заходів у прибережних смугах річок Псел, Сумка, Стрілка, озера Чеха та ін. водних об’єктів , грн</t>
  </si>
  <si>
    <t>Показник: площа території, на якій проводиться благоустрій, тис.м2.</t>
  </si>
  <si>
    <t xml:space="preserve">    Показник: витрати на одиницю показника продукту, грн./тис.м2 </t>
  </si>
  <si>
    <t xml:space="preserve">    Показник: видатки на проведення технічного обслуговування насосної станції по вул.Круговій та по вул.Тихорецька , грн</t>
  </si>
  <si>
    <t xml:space="preserve">    Показник: середні витрати на один місяць безперебійної роботи насосних станцій по вул. Тихорецька та вул. Кругова, грн
</t>
  </si>
  <si>
    <t xml:space="preserve">    Показник: видатки на проведення спостереження, технічного обслуговування та поточного ремонту системи санкціонованого проїзду на перехресті провул. Терезова та вул. Воскресенської в м.Суми , грн</t>
  </si>
  <si>
    <t xml:space="preserve">    Показник: середні витрати на один місяць безперебійної роботи  системи санкціонованого проїзду на перехресті провул. Терезова та вул. Воскресенської в м.Суми, грн.
</t>
  </si>
  <si>
    <t xml:space="preserve">    Показник: середня вартість одного заходу з поточного ремонту об'єктів та елементів благоустрою на рік, грн.</t>
  </si>
  <si>
    <t xml:space="preserve">    Показник: середня вартість одного заходу з утримання об'єктів та елементів благоустрою на рік, грн.</t>
  </si>
  <si>
    <t xml:space="preserve"> Показник: видатки на придбання та встановлення нових лавок, грн</t>
  </si>
  <si>
    <t xml:space="preserve"> Тип показника: Якості</t>
  </si>
  <si>
    <t xml:space="preserve"> Показник: видатки на технічне обслуговування та поточний ремонт фонтанів, грн</t>
  </si>
  <si>
    <t>Показник: середня вартість технічного обслуговування та поточного ремонту 1 фонтану, грн.</t>
  </si>
  <si>
    <t>Показник: темп зростання середніх витрат на технічне обслуговування та поточний ремонт фонтанів порівняно з попереднім роком, %</t>
  </si>
  <si>
    <t>Завдання: 16.9. Поточний ремонт інших об'єктів - заміна насосного обладнання (придбання)</t>
  </si>
  <si>
    <t xml:space="preserve">  Завдання: 1.16. Забезпечення проведення благоустрою населених пунктів вулично-дорожньої мережі та штучних споруд, в тому числі в приватному секторі</t>
  </si>
  <si>
    <t xml:space="preserve">    Показник: загальна площа вулично-дорожньої мережі, що потребує проведення благоустрою, кв. м</t>
  </si>
  <si>
    <t xml:space="preserve">    Показник: площа вуличної-дорожньої мережі, яка охоплена проведенням благоустрою, кв.м</t>
  </si>
  <si>
    <t xml:space="preserve">    Показник: середня вартість проведення благоустрою 1 кв. м вулично-дорожньої мережі, грн.</t>
  </si>
  <si>
    <t xml:space="preserve">    Показник: % доріг з проведеним благоустроєм від потребуючих </t>
  </si>
  <si>
    <t xml:space="preserve">  Завдання: 27. Перевезення тимчасово складованих побутових відходів на полігон для складування твердих побутових відходів</t>
  </si>
  <si>
    <t xml:space="preserve">    Показник:середні витрати на проведення поточного ремонту доріжок в дитячому парку "Казка", грн</t>
  </si>
  <si>
    <t xml:space="preserve">Показник: площа доріжок в дитячому парку "Казка",  які потребують ремонту,  кв. м </t>
  </si>
  <si>
    <t xml:space="preserve">    Показник: площа   доріжок в дитячому парку "Казка", на якій планується провести поточний  ремонт кв. м </t>
  </si>
  <si>
    <t xml:space="preserve">    Показник: середні витрати на  прибирання  та косіння трави 1 га території дитячого парку "Казка",  грн.</t>
  </si>
  <si>
    <t xml:space="preserve">  Завдання: 28. Капітальний ремонт об'єктів та елементів благоустрою на загальних об'єктах</t>
  </si>
  <si>
    <t xml:space="preserve"> Показник: видатки на надання послуг з проведення контрольного топографо-геофізичного знімання , грн</t>
  </si>
  <si>
    <t>Показник: кількість послуг з проведення контрольного топографо-геофізичного знімання, од.</t>
  </si>
  <si>
    <t>Показник: середні витрати на послугу з проведення контрольного топографо-геофізичного знімання, грн.</t>
  </si>
  <si>
    <t>Завдання: 11.17. Надання послуг з проведення контрольного топографо-геофізичного знімання</t>
  </si>
  <si>
    <t>Завдання: 11.16  Надання послуг зі створення та розміщення інформаційної продукції (табличок для найпростіших укриттів (підвалів) в житлових будинках</t>
  </si>
  <si>
    <t xml:space="preserve"> Показник: видатки на надання послуг зі створення та розміщення інформаційної продукції (табличок для найпростіших укриттів (підвалів) в житлових будинках , грн</t>
  </si>
  <si>
    <t>Показник: кількість послуг зі створення та розміщення інформаційної продукції (табличок для найпростіших укриттів (підвалів) в житлових будинках, од.</t>
  </si>
  <si>
    <t>Показник: середні витрати на послугу зі створення та розміщення інформаційної продукції (табличок для найпростіших укриттів (підвалів) в житлових будинках, грн.</t>
  </si>
  <si>
    <r>
      <t xml:space="preserve">   </t>
    </r>
    <r>
      <rPr>
        <b/>
        <sz val="10"/>
        <rFont val="Times New Roman"/>
        <family val="1"/>
      </rPr>
      <t xml:space="preserve"> Тип показника: Продукту</t>
    </r>
  </si>
  <si>
    <r>
      <t xml:space="preserve">   </t>
    </r>
    <r>
      <rPr>
        <b/>
        <sz val="10"/>
        <rFont val="Times New Roman"/>
        <family val="1"/>
      </rPr>
      <t xml:space="preserve"> Тип показника: Ефективності</t>
    </r>
  </si>
  <si>
    <t>Показник: кількість похованих тіл, чол.</t>
  </si>
  <si>
    <t>Показник: середні витрати на утримання 1 туалету на  місяць, грн.</t>
  </si>
  <si>
    <t xml:space="preserve">    Показник: середні витрати на поточний ремонт та утримання парків, скверів міста, зелених зон та пляжів, грн.</t>
  </si>
  <si>
    <t xml:space="preserve">    Показник: кількість парків, скверів міста, зелених зон та пляжів, на якій планується поточний ремонт та утримання, од.</t>
  </si>
  <si>
    <t xml:space="preserve">    Показник: територія парків, скверів міста, зелених зон та пляжів, на якій планується поточний ремонт та  утримання, од.</t>
  </si>
  <si>
    <t xml:space="preserve"> Показник: середня вартість податку на земельну ділянку, грн.</t>
  </si>
  <si>
    <t>КПКВК  6090, КПКВК 7691</t>
  </si>
  <si>
    <t>Завдання: 11.18. Надання послуг з проведення технічної інвентаризації та паспортизації об'єктів благоустрою</t>
  </si>
  <si>
    <t xml:space="preserve"> Показник: видатки на надання послуг з проведення технічної інвентаризації та паспортизації об'єктів благоустрою , грн</t>
  </si>
  <si>
    <t>Показник: кількість послуг з проведення технічної інвентаризації та паспортизації об'єктів благоустрою, од.</t>
  </si>
  <si>
    <t>Показник: середні витрати на послугу з проведення технічної інвентаризації та паспортизації об'єктів благоустрою, грн.</t>
  </si>
  <si>
    <t>КПКВК 6072</t>
  </si>
  <si>
    <t xml:space="preserve">    Показник:кількість суб'єктів господарювання, од.</t>
  </si>
  <si>
    <t xml:space="preserve">  Завдання: 29. 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за рахунок субвенції з державного бюджету</t>
  </si>
  <si>
    <t>2</t>
  </si>
  <si>
    <t xml:space="preserve">    Показник: середній обсяг компенсації, який буде погашатися, грн.</t>
  </si>
  <si>
    <t xml:space="preserve"> Показник: видатки на інші видатки у сфері житлово-комунального господарства  , грн</t>
  </si>
  <si>
    <t>Показник: кількість послуг з проведення інших видатків у сфері житлово-комунального господарства , од.</t>
  </si>
  <si>
    <t>Показник: середні витрати на інші видатки у сфері житлово-комунального господарства , грн.</t>
  </si>
  <si>
    <t xml:space="preserve">Завдання: 11.19. Інші видатки у сфері житлово-комунального господарства </t>
  </si>
  <si>
    <t>Завдання: 11.20. Придбання гусеничного бульдозеру</t>
  </si>
  <si>
    <t xml:space="preserve"> Показник: видатки на придбання гусеничного бульдозеру, грн</t>
  </si>
  <si>
    <t>Показник: кількість придбаних гусеничних бульдозерів , од.</t>
  </si>
  <si>
    <t xml:space="preserve">    Показник: кількість квіткової розсади на території дитячого парку "Казка", які планується висадити,од</t>
  </si>
  <si>
    <t>«Про внесення змін до Комплексної цільової</t>
  </si>
  <si>
    <t xml:space="preserve">від 26 січня 2022 року № 2718-МР (зі змінами)»       </t>
  </si>
  <si>
    <t>територіальної громади на 2022-2024 роки,</t>
  </si>
  <si>
    <t>Департамент забезпечення ресурсних платежів Сумської міської ради, Управління  архітектури та містобудування Сумської міської ради</t>
  </si>
  <si>
    <t>Департамент забезпечення ресурсних платежів СМР, УАМ СМР</t>
  </si>
  <si>
    <t xml:space="preserve">  Завдання: 30.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t>
  </si>
  <si>
    <t xml:space="preserve">    Показник: середня вартість проведення ремонтно-відновлювальних робіт  одного об'єкта житлового фонду (будинку), грн.</t>
  </si>
  <si>
    <t>Завдання: 16.7  Надання послуг по обстеженню води на території старостинських округів, промивка та знезараження води</t>
  </si>
  <si>
    <t>Показник: кількість будівель , од.</t>
  </si>
  <si>
    <t>Завдання: 11.21. Демонтаж будівлі Ритуального залу на Ново – Центральному Баранівському  кладовищі  м.Суми</t>
  </si>
  <si>
    <t xml:space="preserve"> Показник: видатки на демонтаж будівлі Ритуального залу на Ново – Центральному Баранівському  кладовищі  , грн</t>
  </si>
  <si>
    <t xml:space="preserve">    Показник: витрати на проведення поточного ремонту вулично-дорожньої мережі та штучних споруд за рахунок субвенції з державного бюджету, грн</t>
  </si>
  <si>
    <t xml:space="preserve"> Показник: обсяг видатків на розробку/коригування макетів для друку рекламного матеріалу, грн</t>
  </si>
  <si>
    <t>Показник: середні витрати на демонтаж будівлі Ритуального залу на Ново – Центральному Баранівському  кладовищі , грн.</t>
  </si>
  <si>
    <t>Показник: середні витрати на придбання гусеничного бульдозеру, грн.</t>
  </si>
  <si>
    <t>Показник: Кількість сертифікатів для введення в експлуатацію обєктів, од.</t>
  </si>
  <si>
    <t xml:space="preserve">    Показник: загальна кількість святкових заходів, які підлягають святковому оформленню, од</t>
  </si>
  <si>
    <t xml:space="preserve"> Завдання: 11.12. Реалізація проєкту «Circular-based waste management» («Управління відходами на основі замкненого циклу»)в тому числі придбання спеціалізованої техніки (подрібнювач для будівельних та ремонтних відходів – шредер)</t>
  </si>
  <si>
    <t>КПКВК 7383</t>
  </si>
  <si>
    <t xml:space="preserve">  Завдання: 31. Реалізація проектів (об’єктів, заходів) за рахунок коштів фонду ліквідації наслідків збройної агресії</t>
  </si>
  <si>
    <t>1</t>
  </si>
  <si>
    <t xml:space="preserve">    Показник: кількість об'єктів, які будуть збудовані за рахунок коштів фонду ліквідації наслідків збройної агресії, од.</t>
  </si>
  <si>
    <t xml:space="preserve">    Показник: середня вартість проведення  робіт  за рахунок коштів фонду ліквідації наслідків збройної агресії, грн.</t>
  </si>
  <si>
    <t xml:space="preserve">    Показник: кількість  проведених експертиз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 та з обстеження технічного стану житлових будинків на території Сумської міської територіальної громади внаслідок збройної агресії Російської Федерації проти України, шт.</t>
  </si>
  <si>
    <t xml:space="preserve">    Показник: вартість проведення експертизи оцінки шкод та обстеження технічного стану житлових будинків,  грн.</t>
  </si>
  <si>
    <t>Завдання: 16.10.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 погашення податкового боргу з рентної плати за спеціальне використання води)</t>
  </si>
  <si>
    <t>КПКВК 6086, 7375</t>
  </si>
  <si>
    <t xml:space="preserve"> КПКВК 6030, 7461</t>
  </si>
  <si>
    <t xml:space="preserve">  Завдання: 32. Утримання та розвиток автомобільних доріг та дорожньої інфраструктури за рахунок субвенції з державного бюджету</t>
  </si>
  <si>
    <t xml:space="preserve">    Показник: кількість об'єктів, які будуть відремонтовані  за рахунок коштів субвенції з державного бюджету, од.</t>
  </si>
  <si>
    <t xml:space="preserve">    Показник: середня вартість проведення  робіт  за рахунок коштів субвенції з державного бюджету, грн.</t>
  </si>
  <si>
    <t>35</t>
  </si>
  <si>
    <t>КПКВК 7384</t>
  </si>
  <si>
    <t xml:space="preserve">  Завдання: 33.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</si>
  <si>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 xml:space="preserve">Виконавець: Євген БРОВЕНКО  </t>
  </si>
  <si>
    <t>військової адміністрації</t>
  </si>
  <si>
    <t xml:space="preserve">до  наказу начальника Сумської міської </t>
  </si>
  <si>
    <t>Начальник міської
військової адміністрації</t>
  </si>
  <si>
    <t xml:space="preserve">    Показник: кількість об'єктів щодо забезпечення житлом громадян, од.</t>
  </si>
  <si>
    <t xml:space="preserve">    Показник: середня вартість забезпечення житлом громадян, грн.</t>
  </si>
  <si>
    <t>В.о.директора Департаменту інфраструктури міста Сумської міської ради</t>
  </si>
  <si>
    <t>Євген БРОВЕНКО</t>
  </si>
  <si>
    <t>Додаток 2</t>
  </si>
  <si>
    <t xml:space="preserve">    Показник: обсяг видатків на проведення ремонтно-відновлювальних робіт, грн.</t>
  </si>
  <si>
    <t xml:space="preserve">    Показник: обсяг видатків на придбання об'єктів щодо забезпечення житлом громадян, грн.</t>
  </si>
  <si>
    <t xml:space="preserve">від   28.11.2023  №  19  - СМР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</si>
</sst>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0.0000"/>
    <numFmt numFmtId="199" formatCode="0.00000"/>
    <numFmt numFmtId="200" formatCode="0.000"/>
    <numFmt numFmtId="201" formatCode="0.0"/>
    <numFmt numFmtId="202" formatCode="0.000000000"/>
    <numFmt numFmtId="203" formatCode="0.0000000000"/>
    <numFmt numFmtId="204" formatCode="0.00000000"/>
    <numFmt numFmtId="205" formatCode="0.0000000"/>
    <numFmt numFmtId="206" formatCode="0.000000"/>
    <numFmt numFmtId="207" formatCode="#,##0.0"/>
    <numFmt numFmtId="208" formatCode="#,##0.000"/>
    <numFmt numFmtId="209" formatCode="#,##0.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_ ;[Red]\-#,##0.00\ "/>
    <numFmt numFmtId="215" formatCode="#"/>
    <numFmt numFmtId="216" formatCode="#,##0.000_₴"/>
    <numFmt numFmtId="217" formatCode="#,##0.00000"/>
    <numFmt numFmtId="218" formatCode="#,##0.000000"/>
    <numFmt numFmtId="219" formatCode="#,##0_р_."/>
    <numFmt numFmtId="220" formatCode="[$-422]d\ mmmm\ yyyy&quot; р.&quot;"/>
  </numFmts>
  <fonts count="61">
    <font>
      <sz val="8"/>
      <name val="Arial"/>
      <family val="2"/>
    </font>
    <font>
      <sz val="8"/>
      <name val="Times New Roman"/>
      <family val="1"/>
    </font>
    <font>
      <b/>
      <sz val="8"/>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b/>
      <sz val="9"/>
      <name val="Times New Roman"/>
      <family val="1"/>
    </font>
    <font>
      <sz val="12"/>
      <name val="Times New Roman"/>
      <family val="1"/>
    </font>
    <font>
      <sz val="10"/>
      <name val="Times New Roman"/>
      <family val="1"/>
    </font>
    <font>
      <b/>
      <sz val="12"/>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b/>
      <sz val="10"/>
      <name val="Times New Roman"/>
      <family val="1"/>
    </font>
    <font>
      <b/>
      <i/>
      <sz val="8"/>
      <name val="Arial"/>
      <family val="2"/>
    </font>
    <font>
      <b/>
      <sz val="8"/>
      <name val="Arial"/>
      <family val="2"/>
    </font>
    <font>
      <sz val="10"/>
      <name val="Arial"/>
      <family val="2"/>
    </font>
    <font>
      <b/>
      <sz val="10"/>
      <name val="Arial"/>
      <family val="2"/>
    </font>
    <font>
      <i/>
      <sz val="10"/>
      <name val="Times New Roman"/>
      <family val="1"/>
    </font>
    <font>
      <b/>
      <i/>
      <sz val="10"/>
      <name val="Times New Roman"/>
      <family val="1"/>
    </font>
    <font>
      <sz val="10"/>
      <color indexed="10"/>
      <name val="Times New Roman"/>
      <family val="1"/>
    </font>
    <font>
      <b/>
      <i/>
      <sz val="10"/>
      <color indexed="10"/>
      <name val="Times New Roman"/>
      <family val="1"/>
    </font>
    <font>
      <b/>
      <sz val="10"/>
      <color indexed="10"/>
      <name val="Times New Roman"/>
      <family val="1"/>
    </font>
    <font>
      <b/>
      <i/>
      <sz val="10"/>
      <color indexed="8"/>
      <name val="Times New Roman"/>
      <family val="1"/>
    </font>
    <font>
      <b/>
      <sz val="10"/>
      <color indexed="8"/>
      <name val="Times New Roman"/>
      <family val="1"/>
    </font>
    <font>
      <sz val="10"/>
      <color indexed="8"/>
      <name val="Times New Roman"/>
      <family val="1"/>
    </font>
    <font>
      <i/>
      <sz val="11"/>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indexed="6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18" fillId="0" borderId="0">
      <alignment/>
      <protection/>
    </xf>
    <xf numFmtId="0" fontId="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358">
    <xf numFmtId="0" fontId="0" fillId="0" borderId="0" xfId="0" applyAlignment="1">
      <alignment/>
    </xf>
    <xf numFmtId="0" fontId="1" fillId="0" borderId="0" xfId="0" applyFont="1" applyFill="1" applyAlignment="1">
      <alignment horizontal="center"/>
    </xf>
    <xf numFmtId="4" fontId="1" fillId="0" borderId="0" xfId="0" applyNumberFormat="1" applyFont="1" applyFill="1" applyAlignment="1">
      <alignment horizontal="center"/>
    </xf>
    <xf numFmtId="2" fontId="1" fillId="0" borderId="0" xfId="0" applyNumberFormat="1" applyFont="1" applyFill="1" applyBorder="1" applyAlignment="1">
      <alignment horizontal="center" vertical="center" wrapText="1"/>
    </xf>
    <xf numFmtId="0" fontId="1" fillId="0" borderId="0" xfId="0" applyFont="1" applyFill="1" applyAlignment="1">
      <alignment/>
    </xf>
    <xf numFmtId="4" fontId="1" fillId="0" borderId="0" xfId="0" applyNumberFormat="1" applyFont="1" applyFill="1" applyAlignment="1">
      <alignment/>
    </xf>
    <xf numFmtId="0" fontId="8" fillId="0" borderId="0" xfId="0" applyFont="1" applyFill="1" applyAlignment="1">
      <alignment/>
    </xf>
    <xf numFmtId="1" fontId="1" fillId="0" borderId="0" xfId="0" applyNumberFormat="1" applyFont="1" applyFill="1" applyAlignment="1">
      <alignment/>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3"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0" fillId="0" borderId="0" xfId="0" applyFont="1" applyFill="1" applyAlignment="1">
      <alignment/>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16" fillId="0" borderId="0" xfId="0" applyFont="1" applyFill="1" applyAlignment="1">
      <alignment vertical="center"/>
    </xf>
    <xf numFmtId="2" fontId="3" fillId="0" borderId="0" xfId="0" applyNumberFormat="1" applyFont="1" applyFill="1" applyBorder="1" applyAlignment="1">
      <alignment horizontal="left" vertical="center" wrapText="1"/>
    </xf>
    <xf numFmtId="0" fontId="16" fillId="0" borderId="0" xfId="0" applyFont="1" applyFill="1" applyAlignment="1">
      <alignment horizontal="left"/>
    </xf>
    <xf numFmtId="4" fontId="1"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left" vertical="center" wrapText="1"/>
    </xf>
    <xf numFmtId="4" fontId="0" fillId="0" borderId="0" xfId="0" applyNumberFormat="1" applyFont="1" applyFill="1" applyAlignment="1">
      <alignment/>
    </xf>
    <xf numFmtId="4" fontId="8" fillId="0" borderId="0" xfId="0" applyNumberFormat="1" applyFont="1" applyFill="1" applyAlignment="1">
      <alignment/>
    </xf>
    <xf numFmtId="0" fontId="12" fillId="0" borderId="0" xfId="0" applyFont="1" applyFill="1" applyAlignment="1">
      <alignment vertical="center" wrapText="1"/>
    </xf>
    <xf numFmtId="2" fontId="0" fillId="0" borderId="0" xfId="0" applyNumberFormat="1" applyFont="1" applyFill="1" applyAlignment="1">
      <alignment/>
    </xf>
    <xf numFmtId="0" fontId="12" fillId="0" borderId="0" xfId="0" applyFont="1" applyFill="1" applyAlignment="1">
      <alignment/>
    </xf>
    <xf numFmtId="14" fontId="8" fillId="0" borderId="0" xfId="0" applyNumberFormat="1" applyFont="1" applyFill="1" applyAlignment="1">
      <alignment horizontal="left" vertical="center" wrapText="1"/>
    </xf>
    <xf numFmtId="0" fontId="8" fillId="0" borderId="0" xfId="0" applyFont="1" applyFill="1" applyAlignment="1">
      <alignment horizontal="center" vertical="center" wrapText="1"/>
    </xf>
    <xf numFmtId="4" fontId="8" fillId="0" borderId="0" xfId="0" applyNumberFormat="1" applyFont="1" applyFill="1" applyAlignment="1">
      <alignment horizontal="center" vertical="center" wrapText="1"/>
    </xf>
    <xf numFmtId="1" fontId="0" fillId="0" borderId="0" xfId="0" applyNumberFormat="1" applyFont="1" applyFill="1" applyAlignment="1">
      <alignment/>
    </xf>
    <xf numFmtId="4" fontId="12" fillId="0" borderId="0" xfId="0" applyNumberFormat="1" applyFont="1" applyFill="1" applyAlignment="1">
      <alignment/>
    </xf>
    <xf numFmtId="0" fontId="12" fillId="0" borderId="0" xfId="0" applyFont="1" applyFill="1" applyBorder="1" applyAlignment="1">
      <alignment/>
    </xf>
    <xf numFmtId="4" fontId="12" fillId="0" borderId="0" xfId="0" applyNumberFormat="1" applyFont="1" applyFill="1" applyBorder="1" applyAlignment="1">
      <alignment/>
    </xf>
    <xf numFmtId="0" fontId="11" fillId="0" borderId="0" xfId="0" applyFont="1" applyFill="1" applyAlignment="1">
      <alignment horizontal="center"/>
    </xf>
    <xf numFmtId="4" fontId="11" fillId="0" borderId="0" xfId="0" applyNumberFormat="1" applyFont="1" applyFill="1" applyAlignment="1">
      <alignment horizontal="center"/>
    </xf>
    <xf numFmtId="1" fontId="15" fillId="0" borderId="10" xfId="0" applyNumberFormat="1" applyFont="1" applyFill="1" applyBorder="1" applyAlignment="1">
      <alignment horizontal="center" vertical="center" wrapText="1"/>
    </xf>
    <xf numFmtId="0" fontId="1" fillId="33" borderId="0" xfId="0" applyFont="1" applyFill="1" applyAlignment="1">
      <alignment/>
    </xf>
    <xf numFmtId="0" fontId="0" fillId="33" borderId="0" xfId="0" applyFont="1" applyFill="1" applyAlignment="1">
      <alignment/>
    </xf>
    <xf numFmtId="4" fontId="7"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7"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2" fontId="3" fillId="33" borderId="0" xfId="0" applyNumberFormat="1" applyFont="1" applyFill="1" applyBorder="1" applyAlignment="1">
      <alignment horizontal="center" vertical="center" wrapText="1"/>
    </xf>
    <xf numFmtId="0" fontId="16" fillId="33" borderId="0" xfId="0" applyFont="1" applyFill="1" applyAlignment="1">
      <alignment/>
    </xf>
    <xf numFmtId="4" fontId="8" fillId="0" borderId="0" xfId="0" applyNumberFormat="1" applyFont="1" applyFill="1" applyAlignment="1">
      <alignment horizontal="center"/>
    </xf>
    <xf numFmtId="0" fontId="8" fillId="33" borderId="0" xfId="53" applyFont="1" applyFill="1">
      <alignment/>
      <protection/>
    </xf>
    <xf numFmtId="0" fontId="8" fillId="33" borderId="0" xfId="53" applyFont="1" applyFill="1" applyAlignment="1">
      <alignment/>
      <protection/>
    </xf>
    <xf numFmtId="0" fontId="8" fillId="33" borderId="0" xfId="53" applyFont="1" applyFill="1" applyAlignment="1">
      <alignment horizontal="center"/>
      <protection/>
    </xf>
    <xf numFmtId="0" fontId="1" fillId="34" borderId="0" xfId="0" applyFont="1" applyFill="1" applyAlignment="1">
      <alignment/>
    </xf>
    <xf numFmtId="0" fontId="0" fillId="34" borderId="0" xfId="0" applyFont="1" applyFill="1" applyAlignment="1">
      <alignment/>
    </xf>
    <xf numFmtId="0" fontId="3" fillId="34" borderId="0" xfId="0" applyFont="1" applyFill="1" applyAlignment="1">
      <alignment/>
    </xf>
    <xf numFmtId="0" fontId="16" fillId="34" borderId="0" xfId="0" applyFont="1" applyFill="1" applyAlignment="1">
      <alignment/>
    </xf>
    <xf numFmtId="0" fontId="3" fillId="33" borderId="0" xfId="0" applyFont="1" applyFill="1" applyAlignment="1">
      <alignment/>
    </xf>
    <xf numFmtId="0" fontId="2" fillId="34" borderId="0" xfId="0" applyFont="1" applyFill="1" applyAlignment="1">
      <alignment/>
    </xf>
    <xf numFmtId="0" fontId="17" fillId="34" borderId="0" xfId="0" applyFont="1" applyFill="1" applyAlignment="1">
      <alignment/>
    </xf>
    <xf numFmtId="0" fontId="0" fillId="33" borderId="0" xfId="0" applyFont="1" applyFill="1" applyAlignment="1">
      <alignment/>
    </xf>
    <xf numFmtId="0" fontId="0" fillId="34" borderId="0" xfId="0" applyFont="1" applyFill="1" applyAlignment="1">
      <alignment/>
    </xf>
    <xf numFmtId="0" fontId="2" fillId="33" borderId="0" xfId="0" applyFont="1" applyFill="1" applyAlignment="1">
      <alignment/>
    </xf>
    <xf numFmtId="0" fontId="17" fillId="33" borderId="0" xfId="0" applyFont="1" applyFill="1" applyAlignment="1">
      <alignment/>
    </xf>
    <xf numFmtId="0" fontId="1" fillId="33" borderId="10" xfId="0" applyFont="1" applyFill="1" applyBorder="1" applyAlignment="1">
      <alignment/>
    </xf>
    <xf numFmtId="0" fontId="0" fillId="33" borderId="10" xfId="0" applyFont="1" applyFill="1" applyBorder="1" applyAlignment="1">
      <alignment/>
    </xf>
    <xf numFmtId="0" fontId="1" fillId="35" borderId="0" xfId="0" applyFont="1" applyFill="1" applyAlignment="1">
      <alignment/>
    </xf>
    <xf numFmtId="0" fontId="0" fillId="35" borderId="0" xfId="0" applyFont="1" applyFill="1" applyAlignment="1">
      <alignment/>
    </xf>
    <xf numFmtId="0" fontId="3" fillId="35"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0" xfId="0" applyFont="1" applyFill="1" applyAlignment="1">
      <alignment/>
    </xf>
    <xf numFmtId="0" fontId="18" fillId="34" borderId="0" xfId="0" applyFont="1" applyFill="1" applyAlignment="1">
      <alignment/>
    </xf>
    <xf numFmtId="4" fontId="15" fillId="34" borderId="10" xfId="0" applyNumberFormat="1" applyFont="1" applyFill="1" applyBorder="1" applyAlignment="1">
      <alignment horizontal="center" vertical="center" wrapText="1"/>
    </xf>
    <xf numFmtId="0" fontId="15"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15" fillId="34" borderId="0" xfId="0" applyFont="1" applyFill="1" applyAlignment="1">
      <alignment/>
    </xf>
    <xf numFmtId="0" fontId="19" fillId="34" borderId="0" xfId="0" applyFont="1" applyFill="1" applyAlignment="1">
      <alignment/>
    </xf>
    <xf numFmtId="4" fontId="7" fillId="35" borderId="10" xfId="0" applyNumberFormat="1" applyFont="1" applyFill="1" applyBorder="1" applyAlignment="1">
      <alignment horizontal="center" vertical="center" wrapText="1"/>
    </xf>
    <xf numFmtId="0" fontId="15" fillId="35" borderId="10" xfId="0" applyFont="1" applyFill="1" applyBorder="1" applyAlignment="1">
      <alignment horizontal="center" vertical="center" wrapText="1"/>
    </xf>
    <xf numFmtId="4" fontId="15" fillId="35" borderId="10" xfId="0" applyNumberFormat="1" applyFont="1" applyFill="1" applyBorder="1" applyAlignment="1">
      <alignment horizontal="center" vertical="center" wrapText="1"/>
    </xf>
    <xf numFmtId="0" fontId="9" fillId="35" borderId="0" xfId="0" applyFont="1" applyFill="1" applyAlignment="1">
      <alignment/>
    </xf>
    <xf numFmtId="0" fontId="18" fillId="35" borderId="0" xfId="0" applyFont="1" applyFill="1" applyAlignment="1">
      <alignment/>
    </xf>
    <xf numFmtId="0" fontId="15" fillId="34" borderId="10" xfId="0" applyFont="1" applyFill="1" applyBorder="1" applyAlignment="1">
      <alignment/>
    </xf>
    <xf numFmtId="0" fontId="19" fillId="34" borderId="10" xfId="0" applyFont="1" applyFill="1" applyBorder="1" applyAlignment="1">
      <alignment/>
    </xf>
    <xf numFmtId="0" fontId="2" fillId="0" borderId="0" xfId="0" applyFont="1" applyFill="1" applyAlignment="1">
      <alignment/>
    </xf>
    <xf numFmtId="0" fontId="3" fillId="0" borderId="10" xfId="0" applyFont="1" applyFill="1" applyBorder="1" applyAlignment="1">
      <alignment/>
    </xf>
    <xf numFmtId="0" fontId="16" fillId="0" borderId="10" xfId="0" applyFont="1" applyFill="1" applyBorder="1" applyAlignment="1">
      <alignment/>
    </xf>
    <xf numFmtId="0" fontId="9" fillId="35" borderId="10" xfId="0" applyFont="1" applyFill="1" applyBorder="1" applyAlignment="1">
      <alignment horizontal="left" wrapText="1"/>
    </xf>
    <xf numFmtId="0" fontId="15" fillId="35" borderId="0" xfId="0" applyFont="1" applyFill="1" applyAlignment="1">
      <alignment/>
    </xf>
    <xf numFmtId="0" fontId="19" fillId="35" borderId="0" xfId="0" applyFont="1" applyFill="1" applyAlignment="1">
      <alignment/>
    </xf>
    <xf numFmtId="4" fontId="20" fillId="35" borderId="10" xfId="0" applyNumberFormat="1" applyFont="1" applyFill="1" applyBorder="1" applyAlignment="1">
      <alignment horizontal="center" vertical="center"/>
    </xf>
    <xf numFmtId="4" fontId="15" fillId="35" borderId="10" xfId="0" applyNumberFormat="1" applyFont="1" applyFill="1" applyBorder="1" applyAlignment="1">
      <alignment horizontal="center" vertical="center"/>
    </xf>
    <xf numFmtId="0" fontId="9" fillId="34" borderId="10" xfId="0" applyFont="1" applyFill="1" applyBorder="1" applyAlignment="1">
      <alignment horizontal="left" wrapText="1"/>
    </xf>
    <xf numFmtId="4" fontId="9" fillId="34" borderId="10" xfId="0" applyNumberFormat="1" applyFont="1" applyFill="1" applyBorder="1" applyAlignment="1">
      <alignment horizontal="center" vertical="center"/>
    </xf>
    <xf numFmtId="4" fontId="15" fillId="34" borderId="10" xfId="0" applyNumberFormat="1" applyFont="1" applyFill="1" applyBorder="1" applyAlignment="1">
      <alignment horizontal="center" vertical="center"/>
    </xf>
    <xf numFmtId="0" fontId="9" fillId="33" borderId="10" xfId="0" applyFont="1" applyFill="1" applyBorder="1" applyAlignment="1">
      <alignment horizontal="left" wrapText="1"/>
    </xf>
    <xf numFmtId="4" fontId="9" fillId="33" borderId="10" xfId="0" applyNumberFormat="1" applyFont="1" applyFill="1" applyBorder="1" applyAlignment="1">
      <alignment horizontal="center" vertical="center"/>
    </xf>
    <xf numFmtId="4" fontId="15" fillId="33" borderId="10" xfId="0" applyNumberFormat="1" applyFont="1" applyFill="1" applyBorder="1" applyAlignment="1">
      <alignment horizontal="center" vertical="center"/>
    </xf>
    <xf numFmtId="0" fontId="15" fillId="33" borderId="0" xfId="0" applyFont="1" applyFill="1" applyAlignment="1">
      <alignment/>
    </xf>
    <xf numFmtId="0" fontId="19" fillId="33" borderId="0" xfId="0" applyFont="1" applyFill="1" applyAlignment="1">
      <alignment/>
    </xf>
    <xf numFmtId="0" fontId="15" fillId="0" borderId="0" xfId="0" applyFont="1" applyFill="1" applyAlignment="1">
      <alignment/>
    </xf>
    <xf numFmtId="0" fontId="19" fillId="0" borderId="0" xfId="0" applyFont="1" applyFill="1" applyAlignment="1">
      <alignment/>
    </xf>
    <xf numFmtId="0" fontId="9" fillId="35" borderId="10" xfId="0" applyFont="1" applyFill="1" applyBorder="1" applyAlignment="1">
      <alignment horizontal="center" vertical="center" wrapText="1"/>
    </xf>
    <xf numFmtId="2" fontId="1" fillId="33" borderId="0" xfId="0" applyNumberFormat="1" applyFont="1" applyFill="1" applyBorder="1" applyAlignment="1">
      <alignment horizontal="center" vertical="center" wrapText="1"/>
    </xf>
    <xf numFmtId="2" fontId="9" fillId="35" borderId="0" xfId="0" applyNumberFormat="1" applyFont="1" applyFill="1" applyBorder="1" applyAlignment="1">
      <alignment horizontal="center" vertical="center" wrapText="1"/>
    </xf>
    <xf numFmtId="2" fontId="15" fillId="34" borderId="0" xfId="0" applyNumberFormat="1" applyFont="1" applyFill="1" applyBorder="1" applyAlignment="1">
      <alignment horizontal="center" vertical="center" wrapText="1"/>
    </xf>
    <xf numFmtId="0" fontId="19" fillId="34" borderId="0" xfId="0" applyFont="1" applyFill="1" applyAlignment="1">
      <alignment horizontal="center" vertical="center"/>
    </xf>
    <xf numFmtId="49" fontId="15" fillId="35" borderId="10" xfId="0" applyNumberFormat="1" applyFont="1" applyFill="1" applyBorder="1" applyAlignment="1">
      <alignment horizontal="center" vertical="center" wrapText="1"/>
    </xf>
    <xf numFmtId="4" fontId="9" fillId="35" borderId="10" xfId="0" applyNumberFormat="1" applyFont="1" applyFill="1" applyBorder="1" applyAlignment="1">
      <alignment horizontal="center" vertical="center" wrapText="1"/>
    </xf>
    <xf numFmtId="4" fontId="9" fillId="34" borderId="10" xfId="0" applyNumberFormat="1" applyFont="1" applyFill="1" applyBorder="1" applyAlignment="1">
      <alignment horizontal="center" vertical="center" wrapText="1"/>
    </xf>
    <xf numFmtId="4" fontId="15" fillId="34" borderId="10" xfId="0" applyNumberFormat="1" applyFont="1" applyFill="1" applyBorder="1" applyAlignment="1">
      <alignment horizontal="center"/>
    </xf>
    <xf numFmtId="4" fontId="9" fillId="35" borderId="10" xfId="0" applyNumberFormat="1" applyFont="1" applyFill="1" applyBorder="1" applyAlignment="1">
      <alignment horizontal="center"/>
    </xf>
    <xf numFmtId="2" fontId="15" fillId="35" borderId="0" xfId="0" applyNumberFormat="1" applyFont="1" applyFill="1" applyBorder="1" applyAlignment="1">
      <alignment horizontal="center" vertical="center" wrapText="1"/>
    </xf>
    <xf numFmtId="2" fontId="9" fillId="34" borderId="0" xfId="0" applyNumberFormat="1" applyFont="1" applyFill="1" applyBorder="1" applyAlignment="1">
      <alignment horizontal="center" vertical="center" wrapText="1"/>
    </xf>
    <xf numFmtId="4" fontId="15" fillId="35" borderId="10" xfId="0" applyNumberFormat="1" applyFont="1" applyFill="1" applyBorder="1" applyAlignment="1">
      <alignment horizontal="center"/>
    </xf>
    <xf numFmtId="4" fontId="20" fillId="35" borderId="10" xfId="0" applyNumberFormat="1" applyFont="1" applyFill="1" applyBorder="1" applyAlignment="1">
      <alignment horizontal="center" vertical="center" wrapText="1"/>
    </xf>
    <xf numFmtId="3" fontId="15" fillId="35" borderId="10" xfId="0" applyNumberFormat="1" applyFont="1" applyFill="1" applyBorder="1" applyAlignment="1">
      <alignment horizontal="center" vertical="center" wrapText="1"/>
    </xf>
    <xf numFmtId="3" fontId="15" fillId="34" borderId="10" xfId="0" applyNumberFormat="1" applyFont="1" applyFill="1" applyBorder="1" applyAlignment="1">
      <alignment horizontal="center" vertical="center" wrapText="1"/>
    </xf>
    <xf numFmtId="0" fontId="15" fillId="34" borderId="10" xfId="0" applyFont="1" applyFill="1" applyBorder="1" applyAlignment="1">
      <alignment horizontal="left" wrapText="1"/>
    </xf>
    <xf numFmtId="2" fontId="1" fillId="36" borderId="0" xfId="0" applyNumberFormat="1" applyFont="1" applyFill="1" applyBorder="1" applyAlignment="1">
      <alignment horizontal="center" vertical="center" wrapText="1"/>
    </xf>
    <xf numFmtId="0" fontId="0" fillId="36" borderId="0" xfId="0" applyFont="1" applyFill="1" applyAlignment="1">
      <alignment/>
    </xf>
    <xf numFmtId="0" fontId="1" fillId="36" borderId="0" xfId="0" applyFont="1" applyFill="1" applyAlignment="1">
      <alignment/>
    </xf>
    <xf numFmtId="4" fontId="9" fillId="0" borderId="10" xfId="0" applyNumberFormat="1" applyFont="1" applyFill="1" applyBorder="1" applyAlignment="1">
      <alignment horizontal="center" vertical="center"/>
    </xf>
    <xf numFmtId="0" fontId="15" fillId="2" borderId="10" xfId="0" applyFont="1" applyFill="1" applyBorder="1" applyAlignment="1">
      <alignment horizontal="left" vertical="center" wrapText="1"/>
    </xf>
    <xf numFmtId="0" fontId="9" fillId="2" borderId="10" xfId="0" applyFont="1" applyFill="1" applyBorder="1" applyAlignment="1">
      <alignment horizontal="center" vertical="center" wrapText="1"/>
    </xf>
    <xf numFmtId="4" fontId="9" fillId="2" borderId="10" xfId="0" applyNumberFormat="1" applyFont="1" applyFill="1" applyBorder="1" applyAlignment="1">
      <alignment horizontal="center" vertical="center"/>
    </xf>
    <xf numFmtId="4" fontId="15" fillId="2" borderId="10" xfId="0" applyNumberFormat="1" applyFont="1" applyFill="1" applyBorder="1" applyAlignment="1">
      <alignment horizontal="center" vertical="center"/>
    </xf>
    <xf numFmtId="4" fontId="15" fillId="2" borderId="10" xfId="0" applyNumberFormat="1"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3" fontId="15" fillId="2" borderId="10"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0" fontId="0" fillId="2" borderId="0" xfId="0" applyFont="1" applyFill="1" applyAlignment="1">
      <alignment/>
    </xf>
    <xf numFmtId="4" fontId="10" fillId="0" borderId="0" xfId="0" applyNumberFormat="1" applyFont="1" applyFill="1" applyBorder="1" applyAlignment="1">
      <alignment horizontal="left" wrapText="1"/>
    </xf>
    <xf numFmtId="4" fontId="9"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1" fillId="0" borderId="12" xfId="0" applyFont="1" applyFill="1" applyBorder="1" applyAlignment="1">
      <alignment horizontal="left" wrapText="1"/>
    </xf>
    <xf numFmtId="0" fontId="21"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15" fillId="33" borderId="10" xfId="0" applyFont="1" applyFill="1" applyBorder="1" applyAlignment="1">
      <alignment horizontal="left" vertical="center" wrapText="1"/>
    </xf>
    <xf numFmtId="219" fontId="21" fillId="37" borderId="10" xfId="0" applyNumberFormat="1" applyFont="1" applyFill="1" applyBorder="1" applyAlignment="1">
      <alignment horizontal="left" vertical="center" wrapText="1"/>
    </xf>
    <xf numFmtId="0" fontId="21" fillId="33" borderId="10" xfId="0" applyFont="1" applyFill="1" applyBorder="1" applyAlignment="1">
      <alignment horizontal="left" wrapText="1"/>
    </xf>
    <xf numFmtId="0" fontId="15" fillId="33" borderId="10" xfId="0" applyFont="1" applyFill="1" applyBorder="1" applyAlignment="1">
      <alignment horizontal="left" wrapText="1"/>
    </xf>
    <xf numFmtId="0" fontId="9" fillId="33" borderId="10" xfId="0" applyFont="1" applyFill="1" applyBorder="1" applyAlignment="1">
      <alignment horizontal="left" vertical="top" wrapText="1"/>
    </xf>
    <xf numFmtId="0" fontId="9" fillId="33" borderId="11" xfId="0" applyFont="1" applyFill="1" applyBorder="1" applyAlignment="1">
      <alignment horizontal="left" wrapText="1"/>
    </xf>
    <xf numFmtId="0" fontId="21" fillId="0" borderId="10" xfId="0" applyFont="1" applyFill="1" applyBorder="1" applyAlignment="1">
      <alignment horizontal="left" wrapText="1"/>
    </xf>
    <xf numFmtId="0" fontId="15" fillId="0" borderId="10" xfId="0" applyFont="1" applyFill="1" applyBorder="1" applyAlignment="1">
      <alignment horizontal="left" wrapText="1"/>
    </xf>
    <xf numFmtId="0" fontId="9" fillId="0" borderId="10" xfId="0" applyFont="1" applyFill="1" applyBorder="1" applyAlignment="1">
      <alignment horizontal="left" wrapText="1"/>
    </xf>
    <xf numFmtId="0" fontId="15" fillId="0" borderId="12" xfId="0" applyFont="1" applyFill="1" applyBorder="1" applyAlignment="1">
      <alignment horizontal="left" wrapText="1"/>
    </xf>
    <xf numFmtId="0" fontId="9" fillId="0" borderId="13" xfId="0" applyFont="1" applyFill="1" applyBorder="1" applyAlignment="1">
      <alignment horizontal="left" wrapText="1"/>
    </xf>
    <xf numFmtId="0" fontId="9" fillId="0" borderId="10" xfId="0" applyFont="1" applyFill="1" applyBorder="1" applyAlignment="1">
      <alignment wrapText="1"/>
    </xf>
    <xf numFmtId="0" fontId="21" fillId="0" borderId="10" xfId="53" applyFont="1" applyFill="1" applyBorder="1" applyAlignment="1">
      <alignment horizontal="left" vertical="center" wrapText="1"/>
      <protection/>
    </xf>
    <xf numFmtId="0" fontId="21" fillId="36" borderId="10" xfId="53" applyFont="1" applyFill="1" applyBorder="1" applyAlignment="1">
      <alignment horizontal="left" vertical="center" wrapText="1"/>
      <protection/>
    </xf>
    <xf numFmtId="0" fontId="20" fillId="33"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4" fontId="21" fillId="33" borderId="10" xfId="0" applyNumberFormat="1" applyFont="1" applyFill="1" applyBorder="1" applyAlignment="1">
      <alignment horizontal="center" vertical="center" wrapText="1"/>
    </xf>
    <xf numFmtId="4"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33" borderId="0" xfId="0" applyFont="1" applyFill="1" applyBorder="1" applyAlignment="1">
      <alignment horizontal="left" vertical="center" wrapText="1"/>
    </xf>
    <xf numFmtId="3" fontId="9"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0" fontId="21" fillId="37" borderId="10" xfId="0" applyFont="1" applyFill="1" applyBorder="1" applyAlignment="1">
      <alignment horizontal="left" vertical="center" wrapText="1"/>
    </xf>
    <xf numFmtId="0" fontId="9" fillId="36" borderId="10" xfId="0" applyFont="1" applyFill="1" applyBorder="1" applyAlignment="1">
      <alignment horizontal="left" vertical="center" wrapText="1"/>
    </xf>
    <xf numFmtId="0" fontId="9" fillId="36" borderId="10" xfId="0" applyFont="1" applyFill="1" applyBorder="1" applyAlignment="1">
      <alignment horizontal="center" vertical="center" wrapText="1"/>
    </xf>
    <xf numFmtId="4" fontId="9" fillId="36" borderId="10" xfId="0" applyNumberFormat="1" applyFont="1" applyFill="1" applyBorder="1" applyAlignment="1">
      <alignment horizontal="center" vertical="center" wrapText="1"/>
    </xf>
    <xf numFmtId="4" fontId="9" fillId="37" borderId="10" xfId="0" applyNumberFormat="1" applyFont="1" applyFill="1" applyBorder="1" applyAlignment="1">
      <alignment horizontal="center" vertical="center" wrapText="1"/>
    </xf>
    <xf numFmtId="0" fontId="9" fillId="37" borderId="10" xfId="0" applyFont="1" applyFill="1" applyBorder="1" applyAlignment="1">
      <alignment horizontal="left" vertical="center" wrapText="1"/>
    </xf>
    <xf numFmtId="0" fontId="22" fillId="33" borderId="10" xfId="0" applyFont="1" applyFill="1" applyBorder="1" applyAlignment="1">
      <alignment horizontal="center" vertical="center" wrapText="1"/>
    </xf>
    <xf numFmtId="0" fontId="23" fillId="33"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3" fillId="33" borderId="10" xfId="0" applyFont="1" applyFill="1" applyBorder="1" applyAlignment="1">
      <alignment horizontal="center" vertical="center" wrapText="1"/>
    </xf>
    <xf numFmtId="4" fontId="20" fillId="33" borderId="10" xfId="0" applyNumberFormat="1" applyFont="1" applyFill="1" applyBorder="1" applyAlignment="1">
      <alignment horizontal="center" vertical="center" wrapText="1"/>
    </xf>
    <xf numFmtId="0" fontId="21" fillId="34" borderId="10" xfId="0" applyFont="1" applyFill="1" applyBorder="1" applyAlignment="1">
      <alignment horizontal="center" vertical="center" wrapText="1"/>
    </xf>
    <xf numFmtId="4" fontId="21" fillId="34"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4" fontId="9" fillId="0" borderId="11" xfId="0" applyNumberFormat="1" applyFont="1" applyFill="1" applyBorder="1" applyAlignment="1">
      <alignment horizontal="center" vertical="center" wrapText="1"/>
    </xf>
    <xf numFmtId="4" fontId="21" fillId="0" borderId="12" xfId="0" applyNumberFormat="1" applyFont="1" applyFill="1" applyBorder="1" applyAlignment="1">
      <alignment horizontal="center" vertical="center"/>
    </xf>
    <xf numFmtId="0" fontId="9" fillId="0" borderId="12" xfId="0" applyFont="1" applyFill="1" applyBorder="1" applyAlignment="1">
      <alignment horizontal="left" wrapText="1"/>
    </xf>
    <xf numFmtId="4" fontId="20" fillId="0" borderId="12"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3" fontId="20" fillId="0" borderId="12" xfId="0" applyNumberFormat="1" applyFont="1" applyFill="1" applyBorder="1" applyAlignment="1">
      <alignment horizontal="center" vertical="center"/>
    </xf>
    <xf numFmtId="0" fontId="21" fillId="0" borderId="0" xfId="0" applyFont="1" applyFill="1" applyBorder="1" applyAlignment="1">
      <alignment horizontal="left" wrapText="1"/>
    </xf>
    <xf numFmtId="4" fontId="15" fillId="0" borderId="12" xfId="0" applyNumberFormat="1" applyFont="1" applyFill="1" applyBorder="1" applyAlignment="1">
      <alignment horizontal="center" vertical="center"/>
    </xf>
    <xf numFmtId="0" fontId="15" fillId="33" borderId="12" xfId="0" applyFont="1" applyFill="1" applyBorder="1" applyAlignment="1">
      <alignment horizontal="left" wrapText="1"/>
    </xf>
    <xf numFmtId="4" fontId="21" fillId="33" borderId="12" xfId="0" applyNumberFormat="1" applyFont="1" applyFill="1" applyBorder="1" applyAlignment="1">
      <alignment horizontal="center" vertical="center"/>
    </xf>
    <xf numFmtId="4" fontId="15" fillId="33" borderId="12" xfId="0" applyNumberFormat="1" applyFont="1" applyFill="1" applyBorder="1" applyAlignment="1">
      <alignment horizontal="center" vertical="center"/>
    </xf>
    <xf numFmtId="4" fontId="9" fillId="33" borderId="12" xfId="0" applyNumberFormat="1" applyFont="1" applyFill="1" applyBorder="1" applyAlignment="1">
      <alignment horizontal="center" vertical="center"/>
    </xf>
    <xf numFmtId="0" fontId="9" fillId="0" borderId="0" xfId="0" applyFont="1" applyFill="1" applyBorder="1" applyAlignment="1">
      <alignment horizontal="left" wrapText="1"/>
    </xf>
    <xf numFmtId="0" fontId="9" fillId="0" borderId="14" xfId="0" applyFont="1" applyFill="1" applyBorder="1" applyAlignment="1">
      <alignment horizontal="left" wrapText="1"/>
    </xf>
    <xf numFmtId="0" fontId="9" fillId="33" borderId="12" xfId="0" applyFont="1" applyFill="1" applyBorder="1" applyAlignment="1">
      <alignment horizontal="left" wrapText="1"/>
    </xf>
    <xf numFmtId="4" fontId="20" fillId="33" borderId="12" xfId="0" applyNumberFormat="1" applyFont="1" applyFill="1" applyBorder="1" applyAlignment="1">
      <alignment horizontal="center" vertical="center"/>
    </xf>
    <xf numFmtId="0" fontId="9" fillId="33" borderId="13" xfId="0" applyFont="1" applyFill="1" applyBorder="1" applyAlignment="1">
      <alignment horizontal="left" wrapText="1"/>
    </xf>
    <xf numFmtId="4" fontId="20" fillId="33" borderId="13" xfId="0" applyNumberFormat="1" applyFont="1" applyFill="1" applyBorder="1" applyAlignment="1">
      <alignment horizontal="center" vertical="center"/>
    </xf>
    <xf numFmtId="4" fontId="9" fillId="33" borderId="13"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xf>
    <xf numFmtId="4" fontId="21" fillId="0" borderId="10" xfId="0" applyNumberFormat="1" applyFont="1" applyFill="1" applyBorder="1" applyAlignment="1">
      <alignment horizontal="center" vertical="center"/>
    </xf>
    <xf numFmtId="4" fontId="20" fillId="33"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xf>
    <xf numFmtId="0" fontId="9" fillId="38" borderId="10" xfId="0" applyFont="1" applyFill="1" applyBorder="1" applyAlignment="1">
      <alignment horizontal="center" vertical="center" wrapText="1"/>
    </xf>
    <xf numFmtId="4" fontId="15" fillId="37" borderId="10" xfId="0" applyNumberFormat="1" applyFont="1" applyFill="1" applyBorder="1" applyAlignment="1">
      <alignment horizontal="center" vertical="center" wrapText="1"/>
    </xf>
    <xf numFmtId="4" fontId="9" fillId="33" borderId="15" xfId="0" applyNumberFormat="1" applyFont="1" applyFill="1" applyBorder="1" applyAlignment="1">
      <alignment horizontal="center" vertical="center" wrapText="1"/>
    </xf>
    <xf numFmtId="0" fontId="15" fillId="34" borderId="15" xfId="0"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2" fontId="21" fillId="33" borderId="10" xfId="0" applyNumberFormat="1" applyFont="1" applyFill="1" applyBorder="1" applyAlignment="1">
      <alignment horizontal="center" vertical="center"/>
    </xf>
    <xf numFmtId="0" fontId="21" fillId="33" borderId="10" xfId="0" applyFont="1" applyFill="1" applyBorder="1" applyAlignment="1">
      <alignment horizontal="center" vertical="center"/>
    </xf>
    <xf numFmtId="0" fontId="15" fillId="33" borderId="10" xfId="0" applyFont="1" applyFill="1" applyBorder="1" applyAlignment="1">
      <alignment horizontal="center" vertical="center"/>
    </xf>
    <xf numFmtId="2" fontId="9" fillId="33" borderId="10" xfId="0" applyNumberFormat="1" applyFont="1" applyFill="1" applyBorder="1" applyAlignment="1">
      <alignment horizontal="center" vertical="center"/>
    </xf>
    <xf numFmtId="37" fontId="21" fillId="33" borderId="10" xfId="0" applyNumberFormat="1" applyFont="1" applyFill="1" applyBorder="1" applyAlignment="1">
      <alignment horizontal="center" vertical="center"/>
    </xf>
    <xf numFmtId="37" fontId="20" fillId="33" borderId="10" xfId="0" applyNumberFormat="1" applyFont="1" applyFill="1" applyBorder="1" applyAlignment="1">
      <alignment horizontal="center" vertical="center"/>
    </xf>
    <xf numFmtId="1" fontId="9"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215" fontId="9" fillId="33" borderId="10" xfId="0" applyNumberFormat="1" applyFont="1" applyFill="1" applyBorder="1" applyAlignment="1">
      <alignment horizontal="center" vertical="center"/>
    </xf>
    <xf numFmtId="215" fontId="20" fillId="33" borderId="10" xfId="0" applyNumberFormat="1" applyFont="1" applyFill="1" applyBorder="1" applyAlignment="1">
      <alignment horizontal="center" vertical="center"/>
    </xf>
    <xf numFmtId="2" fontId="20" fillId="33" borderId="10" xfId="0" applyNumberFormat="1" applyFont="1" applyFill="1" applyBorder="1" applyAlignment="1">
      <alignment horizontal="center" vertical="center"/>
    </xf>
    <xf numFmtId="0" fontId="20" fillId="33" borderId="10" xfId="0" applyFont="1" applyFill="1" applyBorder="1" applyAlignment="1">
      <alignment horizontal="center" vertical="center"/>
    </xf>
    <xf numFmtId="4" fontId="21" fillId="33" borderId="10" xfId="0" applyNumberFormat="1" applyFont="1" applyFill="1" applyBorder="1" applyAlignment="1">
      <alignment horizontal="center" vertical="center"/>
    </xf>
    <xf numFmtId="2" fontId="15" fillId="33" borderId="10" xfId="0" applyNumberFormat="1" applyFont="1" applyFill="1" applyBorder="1" applyAlignment="1">
      <alignment horizontal="center" vertical="center"/>
    </xf>
    <xf numFmtId="4" fontId="9" fillId="33" borderId="11" xfId="0" applyNumberFormat="1" applyFont="1" applyFill="1" applyBorder="1" applyAlignment="1">
      <alignment horizontal="center" vertical="center"/>
    </xf>
    <xf numFmtId="2" fontId="9" fillId="33" borderId="11" xfId="0" applyNumberFormat="1" applyFont="1" applyFill="1" applyBorder="1" applyAlignment="1">
      <alignment horizontal="center" vertical="center"/>
    </xf>
    <xf numFmtId="0" fontId="9" fillId="33" borderId="11" xfId="0" applyFont="1" applyFill="1" applyBorder="1" applyAlignment="1">
      <alignment horizontal="center" vertical="center"/>
    </xf>
    <xf numFmtId="0" fontId="25" fillId="0" borderId="10" xfId="0" applyFont="1" applyFill="1" applyBorder="1" applyAlignment="1">
      <alignment horizontal="left" wrapText="1"/>
    </xf>
    <xf numFmtId="2" fontId="21"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xf>
    <xf numFmtId="2" fontId="9" fillId="0" borderId="10" xfId="0" applyNumberFormat="1" applyFont="1" applyFill="1" applyBorder="1" applyAlignment="1">
      <alignment horizontal="center" vertical="center"/>
    </xf>
    <xf numFmtId="2"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26" fillId="0" borderId="10" xfId="0" applyFont="1" applyFill="1" applyBorder="1" applyAlignment="1">
      <alignment horizontal="left" wrapText="1"/>
    </xf>
    <xf numFmtId="0" fontId="27" fillId="0" borderId="10" xfId="0" applyFont="1" applyFill="1" applyBorder="1" applyAlignment="1">
      <alignment horizontal="left" wrapText="1"/>
    </xf>
    <xf numFmtId="37" fontId="20" fillId="0" borderId="10" xfId="0" applyNumberFormat="1" applyFont="1" applyFill="1" applyBorder="1" applyAlignment="1">
      <alignment horizontal="center" vertical="center"/>
    </xf>
    <xf numFmtId="37" fontId="9" fillId="0" borderId="10" xfId="0" applyNumberFormat="1" applyFont="1" applyFill="1" applyBorder="1" applyAlignment="1">
      <alignment horizontal="center" vertical="center"/>
    </xf>
    <xf numFmtId="0" fontId="22" fillId="0" borderId="10" xfId="0" applyFont="1" applyFill="1" applyBorder="1" applyAlignment="1">
      <alignment horizontal="left" wrapText="1"/>
    </xf>
    <xf numFmtId="0" fontId="9" fillId="0" borderId="10" xfId="0" applyFont="1" applyFill="1" applyBorder="1" applyAlignment="1">
      <alignment horizontal="center" vertical="center"/>
    </xf>
    <xf numFmtId="3" fontId="9"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4" fontId="20"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9" fillId="33" borderId="10" xfId="0" applyNumberFormat="1" applyFont="1" applyFill="1" applyBorder="1" applyAlignment="1">
      <alignment horizontal="center"/>
    </xf>
    <xf numFmtId="4" fontId="21" fillId="36" borderId="10" xfId="0" applyNumberFormat="1" applyFont="1" applyFill="1" applyBorder="1" applyAlignment="1">
      <alignment horizontal="center" vertical="center"/>
    </xf>
    <xf numFmtId="4" fontId="21" fillId="36" borderId="1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4" fontId="9" fillId="0" borderId="10" xfId="0" applyNumberFormat="1" applyFont="1" applyFill="1" applyBorder="1" applyAlignment="1">
      <alignment horizontal="center"/>
    </xf>
    <xf numFmtId="4" fontId="21" fillId="33" borderId="10" xfId="0" applyNumberFormat="1" applyFont="1" applyFill="1" applyBorder="1" applyAlignment="1">
      <alignment horizontal="center"/>
    </xf>
    <xf numFmtId="0" fontId="20" fillId="33" borderId="10" xfId="0" applyFont="1" applyFill="1" applyBorder="1" applyAlignment="1">
      <alignment horizontal="center" vertical="center" wrapText="1"/>
    </xf>
    <xf numFmtId="3" fontId="20" fillId="33" borderId="10" xfId="0" applyNumberFormat="1" applyFont="1" applyFill="1" applyBorder="1" applyAlignment="1">
      <alignment horizontal="center" vertical="center"/>
    </xf>
    <xf numFmtId="3" fontId="20" fillId="0" borderId="10" xfId="0" applyNumberFormat="1" applyFont="1" applyFill="1" applyBorder="1" applyAlignment="1">
      <alignment horizontal="center" vertical="center" wrapText="1"/>
    </xf>
    <xf numFmtId="49" fontId="9" fillId="33" borderId="10" xfId="0" applyNumberFormat="1" applyFont="1" applyFill="1" applyBorder="1" applyAlignment="1">
      <alignment horizontal="center" vertical="center"/>
    </xf>
    <xf numFmtId="4" fontId="20" fillId="2" borderId="10" xfId="0" applyNumberFormat="1" applyFont="1" applyFill="1" applyBorder="1" applyAlignment="1">
      <alignment horizontal="center" vertical="center"/>
    </xf>
    <xf numFmtId="4" fontId="20" fillId="2" borderId="10" xfId="0" applyNumberFormat="1" applyFont="1" applyFill="1" applyBorder="1" applyAlignment="1">
      <alignment horizontal="center" vertical="center" wrapText="1"/>
    </xf>
    <xf numFmtId="3" fontId="20" fillId="2" borderId="10"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xf>
    <xf numFmtId="1" fontId="9" fillId="2" borderId="10" xfId="0" applyNumberFormat="1" applyFont="1" applyFill="1" applyBorder="1" applyAlignment="1">
      <alignment horizontal="center" vertical="center"/>
    </xf>
    <xf numFmtId="0" fontId="9" fillId="34" borderId="0" xfId="0" applyFont="1" applyFill="1" applyBorder="1" applyAlignment="1">
      <alignment horizontal="center" vertical="center" wrapText="1"/>
    </xf>
    <xf numFmtId="4" fontId="20" fillId="34" borderId="10" xfId="0" applyNumberFormat="1" applyFont="1" applyFill="1" applyBorder="1" applyAlignment="1">
      <alignment horizontal="center" vertical="center"/>
    </xf>
    <xf numFmtId="4" fontId="20" fillId="34" borderId="10" xfId="0" applyNumberFormat="1" applyFont="1" applyFill="1" applyBorder="1" applyAlignment="1">
      <alignment horizontal="center" vertical="center" wrapText="1"/>
    </xf>
    <xf numFmtId="3" fontId="20" fillId="34"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2" fontId="15" fillId="0" borderId="0" xfId="0" applyNumberFormat="1" applyFont="1" applyFill="1" applyBorder="1" applyAlignment="1">
      <alignment horizontal="left" vertical="center" wrapText="1"/>
    </xf>
    <xf numFmtId="4" fontId="15" fillId="0" borderId="10" xfId="0" applyNumberFormat="1" applyFont="1" applyFill="1" applyBorder="1" applyAlignment="1">
      <alignment horizontal="left" vertical="center" wrapText="1"/>
    </xf>
    <xf numFmtId="4" fontId="15" fillId="0" borderId="10" xfId="0" applyNumberFormat="1" applyFont="1" applyFill="1" applyBorder="1" applyAlignment="1">
      <alignment horizontal="left" wrapText="1"/>
    </xf>
    <xf numFmtId="0" fontId="21" fillId="33" borderId="10" xfId="0" applyFont="1" applyFill="1" applyBorder="1" applyAlignment="1">
      <alignment horizontal="left" vertical="top" wrapText="1"/>
    </xf>
    <xf numFmtId="4" fontId="15" fillId="34" borderId="15" xfId="0" applyNumberFormat="1" applyFont="1" applyFill="1" applyBorder="1" applyAlignment="1">
      <alignment horizontal="center" wrapText="1"/>
    </xf>
    <xf numFmtId="0" fontId="15" fillId="37" borderId="10" xfId="0" applyFont="1" applyFill="1" applyBorder="1" applyAlignment="1">
      <alignment horizontal="center" vertical="center" wrapText="1"/>
    </xf>
    <xf numFmtId="0" fontId="1" fillId="37" borderId="0" xfId="0" applyFont="1" applyFill="1" applyAlignment="1">
      <alignment/>
    </xf>
    <xf numFmtId="0" fontId="0" fillId="37" borderId="0" xfId="0" applyFont="1" applyFill="1" applyAlignment="1">
      <alignment/>
    </xf>
    <xf numFmtId="4" fontId="21" fillId="37" borderId="10" xfId="0" applyNumberFormat="1" applyFont="1" applyFill="1" applyBorder="1" applyAlignment="1">
      <alignment horizontal="center" vertical="center" wrapText="1"/>
    </xf>
    <xf numFmtId="0" fontId="9" fillId="35" borderId="15" xfId="0" applyFont="1" applyFill="1" applyBorder="1" applyAlignment="1">
      <alignment horizontal="center" vertical="center" wrapText="1"/>
    </xf>
    <xf numFmtId="3" fontId="9" fillId="33" borderId="15" xfId="0" applyNumberFormat="1" applyFont="1" applyFill="1" applyBorder="1" applyAlignment="1">
      <alignment horizontal="center" vertical="center" wrapText="1"/>
    </xf>
    <xf numFmtId="4" fontId="15" fillId="33" borderId="15" xfId="0" applyNumberFormat="1" applyFont="1" applyFill="1" applyBorder="1" applyAlignment="1">
      <alignment horizontal="center" vertical="center" wrapText="1"/>
    </xf>
    <xf numFmtId="0" fontId="21" fillId="0" borderId="12" xfId="0" applyFont="1" applyFill="1" applyBorder="1" applyAlignment="1">
      <alignment horizontal="left" vertical="center" wrapText="1"/>
    </xf>
    <xf numFmtId="3" fontId="20" fillId="33" borderId="10" xfId="0" applyNumberFormat="1" applyFont="1" applyFill="1" applyBorder="1" applyAlignment="1">
      <alignment horizontal="center" vertical="center" wrapText="1"/>
    </xf>
    <xf numFmtId="0" fontId="15" fillId="38" borderId="10" xfId="0" applyFont="1" applyFill="1" applyBorder="1" applyAlignment="1">
      <alignment horizontal="center" vertical="center" wrapText="1"/>
    </xf>
    <xf numFmtId="4" fontId="15" fillId="38" borderId="10" xfId="0" applyNumberFormat="1" applyFont="1" applyFill="1" applyBorder="1" applyAlignment="1">
      <alignment horizontal="center" vertical="center"/>
    </xf>
    <xf numFmtId="4" fontId="15" fillId="38" borderId="10" xfId="0" applyNumberFormat="1" applyFont="1" applyFill="1" applyBorder="1" applyAlignment="1">
      <alignment horizontal="center"/>
    </xf>
    <xf numFmtId="4" fontId="20" fillId="38" borderId="10" xfId="0" applyNumberFormat="1" applyFont="1" applyFill="1" applyBorder="1" applyAlignment="1">
      <alignment horizontal="center" vertical="center" wrapText="1"/>
    </xf>
    <xf numFmtId="3" fontId="15" fillId="38" borderId="10" xfId="0" applyNumberFormat="1" applyFont="1" applyFill="1" applyBorder="1" applyAlignment="1">
      <alignment horizontal="center" vertical="center" wrapText="1"/>
    </xf>
    <xf numFmtId="0" fontId="15" fillId="39" borderId="10" xfId="0" applyFont="1" applyFill="1" applyBorder="1" applyAlignment="1">
      <alignment horizontal="left" vertical="center" wrapText="1"/>
    </xf>
    <xf numFmtId="0" fontId="9" fillId="39" borderId="10" xfId="0" applyFont="1" applyFill="1" applyBorder="1" applyAlignment="1">
      <alignment horizontal="center" vertical="center" wrapText="1"/>
    </xf>
    <xf numFmtId="4" fontId="15" fillId="39" borderId="10" xfId="0" applyNumberFormat="1" applyFont="1" applyFill="1" applyBorder="1" applyAlignment="1">
      <alignment horizontal="center" vertical="center"/>
    </xf>
    <xf numFmtId="4" fontId="28" fillId="39" borderId="10" xfId="0" applyNumberFormat="1" applyFont="1" applyFill="1" applyBorder="1" applyAlignment="1">
      <alignment horizontal="center" vertical="center" wrapText="1"/>
    </xf>
    <xf numFmtId="3" fontId="28" fillId="39"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 fontId="1" fillId="37"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4" fontId="1" fillId="0" borderId="10" xfId="0" applyNumberFormat="1" applyFont="1" applyFill="1" applyBorder="1" applyAlignment="1">
      <alignment horizontal="center" vertical="center"/>
    </xf>
    <xf numFmtId="49" fontId="1" fillId="37" borderId="10" xfId="0" applyNumberFormat="1" applyFont="1" applyFill="1" applyBorder="1" applyAlignment="1">
      <alignment horizontal="center" vertical="center"/>
    </xf>
    <xf numFmtId="1" fontId="1" fillId="37"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4" fontId="20" fillId="37" borderId="10" xfId="0" applyNumberFormat="1" applyFont="1" applyFill="1" applyBorder="1" applyAlignment="1">
      <alignment horizontal="center" vertical="center" wrapText="1"/>
    </xf>
    <xf numFmtId="4" fontId="21" fillId="37" borderId="12" xfId="0" applyNumberFormat="1" applyFont="1" applyFill="1" applyBorder="1" applyAlignment="1">
      <alignment horizontal="center" vertical="center"/>
    </xf>
    <xf numFmtId="4" fontId="20" fillId="37" borderId="12"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9" fillId="37"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xf>
    <xf numFmtId="4" fontId="9" fillId="0" borderId="10" xfId="0" applyNumberFormat="1" applyFont="1" applyFill="1" applyBorder="1" applyAlignment="1">
      <alignment horizontal="center" wrapText="1"/>
    </xf>
    <xf numFmtId="0" fontId="12" fillId="37" borderId="10" xfId="53" applyFont="1" applyFill="1" applyBorder="1" applyAlignment="1">
      <alignment horizontal="left" vertical="center" wrapText="1"/>
      <protection/>
    </xf>
    <xf numFmtId="3" fontId="20" fillId="0" borderId="10" xfId="0" applyNumberFormat="1" applyFont="1" applyFill="1" applyBorder="1" applyAlignment="1">
      <alignment horizontal="center" vertical="center"/>
    </xf>
    <xf numFmtId="3" fontId="9" fillId="33" borderId="10" xfId="0" applyNumberFormat="1" applyFont="1" applyFill="1" applyBorder="1" applyAlignment="1">
      <alignment horizontal="center" vertical="center"/>
    </xf>
    <xf numFmtId="3" fontId="20" fillId="37" borderId="12" xfId="0" applyNumberFormat="1" applyFont="1" applyFill="1" applyBorder="1" applyAlignment="1">
      <alignment horizontal="center" vertical="center"/>
    </xf>
    <xf numFmtId="4" fontId="9" fillId="33" borderId="1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37"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wrapText="1"/>
    </xf>
    <xf numFmtId="179" fontId="1" fillId="37" borderId="10" xfId="61" applyFont="1" applyFill="1" applyBorder="1" applyAlignment="1">
      <alignment horizontal="center" vertical="center"/>
    </xf>
    <xf numFmtId="4" fontId="12" fillId="37" borderId="0" xfId="0" applyNumberFormat="1" applyFont="1" applyFill="1" applyAlignment="1">
      <alignment horizontal="center" vertical="center" wrapText="1"/>
    </xf>
    <xf numFmtId="4" fontId="8" fillId="37" borderId="0" xfId="0" applyNumberFormat="1" applyFont="1" applyFill="1" applyBorder="1" applyAlignment="1">
      <alignment horizontal="center" vertical="center"/>
    </xf>
    <xf numFmtId="4" fontId="0" fillId="37" borderId="0" xfId="0" applyNumberFormat="1" applyFont="1" applyFill="1" applyAlignment="1">
      <alignment/>
    </xf>
    <xf numFmtId="4" fontId="8" fillId="37" borderId="0" xfId="0" applyNumberFormat="1" applyFont="1" applyFill="1" applyBorder="1" applyAlignment="1">
      <alignment horizontal="center" vertical="center" wrapText="1"/>
    </xf>
    <xf numFmtId="0" fontId="12" fillId="37" borderId="0" xfId="0" applyFont="1" applyFill="1" applyBorder="1" applyAlignment="1">
      <alignment horizontal="left" vertical="center" wrapText="1"/>
    </xf>
    <xf numFmtId="4" fontId="12" fillId="37" borderId="0" xfId="0" applyNumberFormat="1" applyFont="1" applyFill="1" applyAlignment="1">
      <alignment horizontal="center"/>
    </xf>
    <xf numFmtId="0" fontId="8" fillId="37" borderId="0" xfId="0" applyFont="1" applyFill="1" applyBorder="1" applyAlignment="1">
      <alignment vertical="center" wrapText="1"/>
    </xf>
    <xf numFmtId="4" fontId="8" fillId="37" borderId="0" xfId="0" applyNumberFormat="1" applyFont="1" applyFill="1" applyAlignment="1">
      <alignment/>
    </xf>
    <xf numFmtId="4" fontId="12" fillId="37" borderId="0" xfId="0" applyNumberFormat="1" applyFont="1" applyFill="1" applyAlignment="1">
      <alignment vertical="center" wrapText="1"/>
    </xf>
    <xf numFmtId="4" fontId="11" fillId="37" borderId="0" xfId="0" applyNumberFormat="1" applyFont="1" applyFill="1" applyAlignment="1">
      <alignment horizontal="center" vertical="center" wrapText="1"/>
    </xf>
    <xf numFmtId="4" fontId="10" fillId="37" borderId="0" xfId="0" applyNumberFormat="1" applyFont="1" applyFill="1" applyBorder="1" applyAlignment="1">
      <alignment horizontal="center" vertical="center"/>
    </xf>
    <xf numFmtId="4" fontId="17" fillId="37" borderId="0" xfId="0" applyNumberFormat="1" applyFont="1" applyFill="1" applyAlignment="1">
      <alignment/>
    </xf>
    <xf numFmtId="4" fontId="10" fillId="37" borderId="0" xfId="0" applyNumberFormat="1" applyFont="1" applyFill="1" applyBorder="1" applyAlignment="1">
      <alignment horizontal="center" vertical="center" wrapText="1"/>
    </xf>
    <xf numFmtId="0" fontId="8" fillId="33" borderId="0" xfId="53" applyFont="1" applyFill="1" applyAlignment="1">
      <alignment horizontal="left" vertical="center" wrapText="1"/>
      <protection/>
    </xf>
    <xf numFmtId="4" fontId="11" fillId="0" borderId="16" xfId="0" applyNumberFormat="1" applyFont="1" applyFill="1" applyBorder="1" applyAlignment="1">
      <alignment horizontal="center"/>
    </xf>
    <xf numFmtId="4" fontId="8" fillId="0" borderId="0" xfId="0" applyNumberFormat="1" applyFont="1" applyFill="1" applyAlignment="1">
      <alignment horizontal="left"/>
    </xf>
    <xf numFmtId="0" fontId="11" fillId="0" borderId="0" xfId="0" applyFont="1" applyFill="1" applyAlignment="1">
      <alignment horizontal="center" wrapText="1"/>
    </xf>
    <xf numFmtId="4" fontId="15"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0" xfId="0" applyFont="1" applyAlignment="1">
      <alignment horizontal="left" wrapText="1"/>
    </xf>
    <xf numFmtId="4" fontId="11" fillId="37" borderId="0" xfId="0" applyNumberFormat="1" applyFont="1" applyFill="1" applyAlignment="1">
      <alignment horizontal="center"/>
    </xf>
    <xf numFmtId="49" fontId="15" fillId="0" borderId="18"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4" fontId="9" fillId="0" borderId="20" xfId="0" applyNumberFormat="1" applyFont="1" applyFill="1" applyBorder="1" applyAlignment="1">
      <alignment horizontal="center" vertical="center" wrapText="1"/>
    </xf>
    <xf numFmtId="4" fontId="15" fillId="0" borderId="11" xfId="0" applyNumberFormat="1" applyFont="1" applyFill="1" applyBorder="1" applyAlignment="1">
      <alignment horizontal="center" vertical="center" wrapText="1"/>
    </xf>
    <xf numFmtId="4" fontId="15" fillId="0" borderId="15" xfId="0" applyNumberFormat="1" applyFont="1" applyFill="1" applyBorder="1" applyAlignment="1">
      <alignment horizontal="center" vertical="center" wrapText="1"/>
    </xf>
    <xf numFmtId="4" fontId="15" fillId="0" borderId="18" xfId="0" applyNumberFormat="1" applyFont="1" applyFill="1" applyBorder="1" applyAlignment="1">
      <alignment horizontal="center" vertical="center" wrapText="1"/>
    </xf>
    <xf numFmtId="4" fontId="15" fillId="0" borderId="19" xfId="0" applyNumberFormat="1" applyFont="1" applyFill="1" applyBorder="1" applyAlignment="1">
      <alignment horizontal="center" vertical="center" wrapText="1"/>
    </xf>
    <xf numFmtId="4" fontId="15" fillId="0" borderId="20" xfId="0" applyNumberFormat="1" applyFont="1" applyFill="1" applyBorder="1" applyAlignment="1">
      <alignment horizontal="center" vertical="center" wrapText="1"/>
    </xf>
    <xf numFmtId="49" fontId="8" fillId="0" borderId="0" xfId="0" applyNumberFormat="1" applyFont="1" applyFill="1" applyAlignment="1">
      <alignment horizontal="left"/>
    </xf>
    <xf numFmtId="0" fontId="8" fillId="37" borderId="0" xfId="0" applyFont="1" applyFill="1" applyBorder="1" applyAlignment="1">
      <alignment horizontal="left" vertical="center" wrapText="1"/>
    </xf>
    <xf numFmtId="4" fontId="9" fillId="0" borderId="10" xfId="0" applyNumberFormat="1" applyFont="1" applyFill="1" applyBorder="1" applyAlignment="1">
      <alignment horizontal="center" vertical="center" wrapText="1"/>
    </xf>
    <xf numFmtId="0" fontId="11" fillId="37" borderId="0"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9"/>
          <c:w val="0.97375"/>
          <c:h val="0.96425"/>
        </c:manualLayout>
      </c:layout>
      <c:barChart>
        <c:barDir val="col"/>
        <c:grouping val="clustered"/>
        <c:varyColors val="0"/>
        <c:axId val="9600316"/>
        <c:axId val="19293981"/>
      </c:barChart>
      <c:catAx>
        <c:axId val="9600316"/>
        <c:scaling>
          <c:orientation val="minMax"/>
        </c:scaling>
        <c:axPos val="b"/>
        <c:delete val="0"/>
        <c:numFmt formatCode="General" sourceLinked="1"/>
        <c:majorTickMark val="out"/>
        <c:minorTickMark val="none"/>
        <c:tickLblPos val="nextTo"/>
        <c:spPr>
          <a:ln w="3175">
            <a:solidFill>
              <a:srgbClr val="000000"/>
            </a:solidFill>
          </a:ln>
        </c:spPr>
        <c:crossAx val="19293981"/>
        <c:crosses val="autoZero"/>
        <c:auto val="1"/>
        <c:lblOffset val="100"/>
        <c:tickLblSkip val="1"/>
        <c:noMultiLvlLbl val="0"/>
      </c:catAx>
      <c:valAx>
        <c:axId val="192939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600316"/>
        <c:crossesAt val="1"/>
        <c:crossBetween val="between"/>
        <c:dispUnits/>
      </c:valAx>
      <c:spPr>
        <a:solidFill>
          <a:srgbClr val="808080"/>
        </a:solidFill>
        <a:ln w="12700">
          <a:solidFill>
            <a:srgbClr val="C0C0C0"/>
          </a:solidFill>
        </a:ln>
      </c:spPr>
    </c:plotArea>
    <c:legend>
      <c:legendPos val="r"/>
      <c:layout>
        <c:manualLayout>
          <c:xMode val="edge"/>
          <c:yMode val="edge"/>
          <c:x val="0.99575"/>
          <c:y val="0.501"/>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667375"/>
    <xdr:graphicFrame>
      <xdr:nvGraphicFramePr>
        <xdr:cNvPr id="1" name="Chart 1"/>
        <xdr:cNvGraphicFramePr/>
      </xdr:nvGraphicFramePr>
      <xdr:xfrm>
        <a:off x="0" y="0"/>
        <a:ext cx="92011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F1106"/>
  <sheetViews>
    <sheetView tabSelected="1" view="pageBreakPreview" zoomScale="112" zoomScaleNormal="85" zoomScaleSheetLayoutView="112" workbookViewId="0" topLeftCell="A1">
      <pane ySplit="18" topLeftCell="A19" activePane="bottomLeft" state="frozen"/>
      <selection pane="topLeft" activeCell="A2" sqref="A2"/>
      <selection pane="bottomLeft" activeCell="N11" sqref="N11:Q11"/>
    </sheetView>
  </sheetViews>
  <sheetFormatPr defaultColWidth="9.33203125" defaultRowHeight="11.25"/>
  <cols>
    <col min="1" max="1" width="89.83203125" style="4" customWidth="1"/>
    <col min="2" max="2" width="9.5" style="4" hidden="1" customWidth="1"/>
    <col min="3" max="3" width="0.4921875" style="4" hidden="1" customWidth="1"/>
    <col min="4" max="4" width="19.33203125" style="5" customWidth="1"/>
    <col min="5" max="6" width="18.5" style="5" customWidth="1"/>
    <col min="7" max="7" width="19.83203125" style="5" bestFit="1" customWidth="1"/>
    <col min="8" max="8" width="17.83203125" style="5" customWidth="1"/>
    <col min="9" max="9" width="16.16015625" style="5" hidden="1" customWidth="1"/>
    <col min="10" max="10" width="18" style="5" bestFit="1" customWidth="1"/>
    <col min="11" max="13" width="16" style="5" hidden="1" customWidth="1"/>
    <col min="14" max="14" width="17.16015625" style="5" customWidth="1"/>
    <col min="15" max="15" width="17.5" style="5" customWidth="1"/>
    <col min="16" max="16" width="21.33203125" style="5" customWidth="1"/>
    <col min="17" max="17" width="0.328125" style="4" customWidth="1"/>
    <col min="18" max="102" width="10.33203125" style="4" customWidth="1"/>
    <col min="103" max="16384" width="9.33203125" style="13" customWidth="1"/>
  </cols>
  <sheetData>
    <row r="1" ht="3.75" customHeight="1"/>
    <row r="2" spans="1:17" ht="14.25" customHeight="1">
      <c r="A2" s="25"/>
      <c r="B2" s="25"/>
      <c r="C2" s="25"/>
      <c r="D2" s="45"/>
      <c r="E2" s="46"/>
      <c r="F2" s="47"/>
      <c r="G2" s="47"/>
      <c r="H2" s="30"/>
      <c r="I2" s="30"/>
      <c r="J2" s="335"/>
      <c r="K2" s="335"/>
      <c r="L2" s="335"/>
      <c r="M2" s="22"/>
      <c r="N2" s="354" t="s">
        <v>591</v>
      </c>
      <c r="O2" s="354"/>
      <c r="P2" s="354"/>
      <c r="Q2" s="22"/>
    </row>
    <row r="3" spans="1:17" ht="14.25" customHeight="1">
      <c r="A3" s="25"/>
      <c r="B3" s="25"/>
      <c r="C3" s="25"/>
      <c r="D3" s="333"/>
      <c r="E3" s="333"/>
      <c r="F3" s="333"/>
      <c r="G3" s="333"/>
      <c r="H3" s="30"/>
      <c r="I3" s="30"/>
      <c r="J3" s="22"/>
      <c r="K3" s="22"/>
      <c r="L3" s="22"/>
      <c r="M3" s="22"/>
      <c r="N3" s="22" t="s">
        <v>585</v>
      </c>
      <c r="O3" s="22"/>
      <c r="P3" s="22"/>
      <c r="Q3" s="22"/>
    </row>
    <row r="4" spans="1:17" ht="14.25" customHeight="1">
      <c r="A4" s="25"/>
      <c r="B4" s="25"/>
      <c r="C4" s="25"/>
      <c r="D4" s="333"/>
      <c r="E4" s="333"/>
      <c r="F4" s="333"/>
      <c r="G4" s="333"/>
      <c r="H4" s="30"/>
      <c r="I4" s="30"/>
      <c r="J4" s="22"/>
      <c r="K4" s="22"/>
      <c r="L4" s="22"/>
      <c r="M4" s="22"/>
      <c r="N4" s="22" t="s">
        <v>584</v>
      </c>
      <c r="O4" s="22"/>
      <c r="P4" s="22"/>
      <c r="Q4" s="22"/>
    </row>
    <row r="5" spans="1:17" ht="14.25" customHeight="1" hidden="1">
      <c r="A5" s="25"/>
      <c r="B5" s="25"/>
      <c r="C5" s="25"/>
      <c r="D5" s="333"/>
      <c r="E5" s="333"/>
      <c r="F5" s="333"/>
      <c r="G5" s="333"/>
      <c r="H5" s="30"/>
      <c r="I5" s="30"/>
      <c r="J5" s="22"/>
      <c r="K5" s="22"/>
      <c r="L5" s="22"/>
      <c r="M5" s="22"/>
      <c r="N5" s="22" t="s">
        <v>549</v>
      </c>
      <c r="O5" s="22"/>
      <c r="P5" s="22"/>
      <c r="Q5" s="22"/>
    </row>
    <row r="6" spans="1:17" ht="14.25" customHeight="1" hidden="1">
      <c r="A6" s="31"/>
      <c r="B6" s="31"/>
      <c r="C6" s="31"/>
      <c r="D6" s="333"/>
      <c r="E6" s="333"/>
      <c r="F6" s="333"/>
      <c r="G6" s="333"/>
      <c r="H6" s="32"/>
      <c r="I6" s="32"/>
      <c r="J6" s="22"/>
      <c r="K6" s="22"/>
      <c r="L6" s="22"/>
      <c r="M6" s="22"/>
      <c r="N6" s="22" t="s">
        <v>67</v>
      </c>
      <c r="O6" s="22"/>
      <c r="P6" s="22"/>
      <c r="Q6" s="22"/>
    </row>
    <row r="7" spans="1:17" ht="14.25" customHeight="1" hidden="1">
      <c r="A7" s="31"/>
      <c r="B7" s="31"/>
      <c r="C7" s="31"/>
      <c r="D7" s="333"/>
      <c r="E7" s="333"/>
      <c r="F7" s="333"/>
      <c r="G7" s="333"/>
      <c r="H7" s="32"/>
      <c r="I7" s="32"/>
      <c r="J7" s="22"/>
      <c r="K7" s="22"/>
      <c r="L7" s="22"/>
      <c r="M7" s="22"/>
      <c r="N7" s="22" t="s">
        <v>333</v>
      </c>
      <c r="O7" s="22"/>
      <c r="P7" s="22"/>
      <c r="Q7" s="22"/>
    </row>
    <row r="8" spans="1:17" ht="14.25" customHeight="1" hidden="1">
      <c r="A8" s="31"/>
      <c r="B8" s="31"/>
      <c r="C8" s="31"/>
      <c r="D8" s="333"/>
      <c r="E8" s="333"/>
      <c r="F8" s="333"/>
      <c r="G8" s="333"/>
      <c r="H8" s="32"/>
      <c r="I8" s="32"/>
      <c r="J8" s="22"/>
      <c r="K8" s="22"/>
      <c r="L8" s="22"/>
      <c r="M8" s="22"/>
      <c r="N8" s="22" t="s">
        <v>551</v>
      </c>
      <c r="O8" s="22"/>
      <c r="P8" s="22"/>
      <c r="Q8" s="22"/>
    </row>
    <row r="9" spans="1:17" ht="16.5" customHeight="1" hidden="1">
      <c r="A9" s="31"/>
      <c r="B9" s="31"/>
      <c r="C9" s="31"/>
      <c r="D9" s="333"/>
      <c r="E9" s="333"/>
      <c r="F9" s="333"/>
      <c r="G9" s="333"/>
      <c r="H9" s="32"/>
      <c r="I9" s="32"/>
      <c r="J9" s="22"/>
      <c r="K9" s="22"/>
      <c r="L9" s="22"/>
      <c r="M9" s="22"/>
      <c r="N9" s="22" t="s">
        <v>69</v>
      </c>
      <c r="O9" s="22"/>
      <c r="P9" s="22"/>
      <c r="Q9" s="22"/>
    </row>
    <row r="10" spans="1:17" ht="16.5" customHeight="1" hidden="1">
      <c r="A10" s="31"/>
      <c r="B10" s="31"/>
      <c r="C10" s="31"/>
      <c r="D10" s="333"/>
      <c r="E10" s="333"/>
      <c r="F10" s="333"/>
      <c r="G10" s="333"/>
      <c r="H10" s="32"/>
      <c r="I10" s="32"/>
      <c r="J10" s="22"/>
      <c r="K10" s="22"/>
      <c r="L10" s="22"/>
      <c r="M10" s="22"/>
      <c r="N10" s="22" t="s">
        <v>550</v>
      </c>
      <c r="O10" s="22"/>
      <c r="P10" s="22"/>
      <c r="Q10" s="22"/>
    </row>
    <row r="11" spans="1:17" ht="18.75" customHeight="1">
      <c r="A11" s="31"/>
      <c r="B11" s="31"/>
      <c r="C11" s="31"/>
      <c r="D11" s="333"/>
      <c r="E11" s="333"/>
      <c r="F11" s="333"/>
      <c r="G11" s="333"/>
      <c r="H11" s="32"/>
      <c r="I11" s="32"/>
      <c r="J11" s="22"/>
      <c r="K11" s="22"/>
      <c r="L11" s="22"/>
      <c r="M11" s="22"/>
      <c r="N11" s="342" t="s">
        <v>594</v>
      </c>
      <c r="O11" s="342"/>
      <c r="P11" s="342"/>
      <c r="Q11" s="342"/>
    </row>
    <row r="12" spans="1:16" ht="9.75" customHeight="1">
      <c r="A12" s="31"/>
      <c r="B12" s="31"/>
      <c r="C12" s="31"/>
      <c r="D12" s="32"/>
      <c r="E12" s="32"/>
      <c r="F12" s="32"/>
      <c r="G12" s="32"/>
      <c r="H12" s="32"/>
      <c r="I12" s="32"/>
      <c r="J12" s="22"/>
      <c r="K12" s="22"/>
      <c r="L12" s="22"/>
      <c r="M12" s="22"/>
      <c r="N12" s="22"/>
      <c r="O12" s="22"/>
      <c r="P12" s="22"/>
    </row>
    <row r="13" spans="1:16" ht="33.75" customHeight="1">
      <c r="A13" s="336" t="s">
        <v>68</v>
      </c>
      <c r="B13" s="336"/>
      <c r="C13" s="336"/>
      <c r="D13" s="336"/>
      <c r="E13" s="336"/>
      <c r="F13" s="336"/>
      <c r="G13" s="336"/>
      <c r="H13" s="336"/>
      <c r="I13" s="336"/>
      <c r="J13" s="336"/>
      <c r="K13" s="336"/>
      <c r="L13" s="336"/>
      <c r="M13" s="336"/>
      <c r="N13" s="336"/>
      <c r="O13" s="336"/>
      <c r="P13" s="336"/>
    </row>
    <row r="14" spans="1:16" ht="16.5" customHeight="1">
      <c r="A14" s="33"/>
      <c r="B14" s="33"/>
      <c r="C14" s="33"/>
      <c r="D14" s="34"/>
      <c r="E14" s="34"/>
      <c r="F14" s="334" t="s">
        <v>123</v>
      </c>
      <c r="G14" s="334"/>
      <c r="H14" s="34"/>
      <c r="I14" s="34"/>
      <c r="J14" s="30"/>
      <c r="K14" s="34"/>
      <c r="L14" s="30"/>
      <c r="M14" s="30"/>
      <c r="N14" s="30"/>
      <c r="O14" s="30"/>
      <c r="P14" s="44" t="s">
        <v>202</v>
      </c>
    </row>
    <row r="15" spans="1:108" ht="20.25" customHeight="1">
      <c r="A15" s="339"/>
      <c r="B15" s="339" t="s">
        <v>198</v>
      </c>
      <c r="C15" s="339" t="s">
        <v>199</v>
      </c>
      <c r="D15" s="344" t="s">
        <v>120</v>
      </c>
      <c r="E15" s="345"/>
      <c r="F15" s="346"/>
      <c r="G15" s="338" t="s">
        <v>121</v>
      </c>
      <c r="H15" s="338"/>
      <c r="I15" s="338"/>
      <c r="J15" s="338"/>
      <c r="K15" s="9"/>
      <c r="L15" s="9"/>
      <c r="M15" s="9"/>
      <c r="N15" s="344" t="s">
        <v>122</v>
      </c>
      <c r="O15" s="345"/>
      <c r="P15" s="346"/>
      <c r="CY15" s="4"/>
      <c r="CZ15" s="4"/>
      <c r="DA15" s="4"/>
      <c r="DB15" s="4"/>
      <c r="DC15" s="4"/>
      <c r="DD15" s="4"/>
    </row>
    <row r="16" spans="1:108" ht="15.75" customHeight="1">
      <c r="A16" s="340"/>
      <c r="B16" s="340"/>
      <c r="C16" s="340"/>
      <c r="D16" s="347" t="s">
        <v>200</v>
      </c>
      <c r="E16" s="348"/>
      <c r="F16" s="349" t="s">
        <v>197</v>
      </c>
      <c r="G16" s="356" t="s">
        <v>200</v>
      </c>
      <c r="H16" s="356"/>
      <c r="I16" s="356"/>
      <c r="J16" s="337" t="s">
        <v>197</v>
      </c>
      <c r="K16" s="351" t="s">
        <v>196</v>
      </c>
      <c r="L16" s="352"/>
      <c r="M16" s="353"/>
      <c r="N16" s="347" t="s">
        <v>200</v>
      </c>
      <c r="O16" s="348"/>
      <c r="P16" s="349" t="s">
        <v>197</v>
      </c>
      <c r="CY16" s="4"/>
      <c r="CZ16" s="4"/>
      <c r="DA16" s="4"/>
      <c r="DB16" s="4"/>
      <c r="DC16" s="4"/>
      <c r="DD16" s="4"/>
    </row>
    <row r="17" spans="1:108" ht="24.75" customHeight="1">
      <c r="A17" s="341"/>
      <c r="B17" s="341"/>
      <c r="C17" s="341"/>
      <c r="D17" s="9" t="s">
        <v>181</v>
      </c>
      <c r="E17" s="9" t="s">
        <v>182</v>
      </c>
      <c r="F17" s="350"/>
      <c r="G17" s="9" t="s">
        <v>181</v>
      </c>
      <c r="H17" s="9" t="s">
        <v>182</v>
      </c>
      <c r="I17" s="9" t="s">
        <v>276</v>
      </c>
      <c r="J17" s="337"/>
      <c r="K17" s="9" t="s">
        <v>181</v>
      </c>
      <c r="L17" s="9" t="s">
        <v>182</v>
      </c>
      <c r="M17" s="9" t="s">
        <v>197</v>
      </c>
      <c r="N17" s="9" t="s">
        <v>181</v>
      </c>
      <c r="O17" s="9" t="s">
        <v>182</v>
      </c>
      <c r="P17" s="350"/>
      <c r="CY17" s="4"/>
      <c r="CZ17" s="4"/>
      <c r="DA17" s="4"/>
      <c r="DB17" s="4"/>
      <c r="DC17" s="4"/>
      <c r="DD17" s="4"/>
    </row>
    <row r="18" spans="1:108" s="29" customFormat="1" ht="12.75">
      <c r="A18" s="35">
        <v>1</v>
      </c>
      <c r="B18" s="35"/>
      <c r="C18" s="35"/>
      <c r="D18" s="35">
        <v>2</v>
      </c>
      <c r="E18" s="35">
        <v>3</v>
      </c>
      <c r="F18" s="35">
        <v>4</v>
      </c>
      <c r="G18" s="35">
        <v>5</v>
      </c>
      <c r="H18" s="35">
        <v>6</v>
      </c>
      <c r="I18" s="35">
        <v>10</v>
      </c>
      <c r="J18" s="35">
        <v>7</v>
      </c>
      <c r="K18" s="35">
        <v>12</v>
      </c>
      <c r="L18" s="35">
        <v>13</v>
      </c>
      <c r="M18" s="35">
        <v>14</v>
      </c>
      <c r="N18" s="35">
        <v>8</v>
      </c>
      <c r="O18" s="35">
        <v>9</v>
      </c>
      <c r="P18" s="35">
        <v>10</v>
      </c>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row>
    <row r="19" spans="1:16" s="4" customFormat="1" ht="28.5" customHeight="1">
      <c r="A19" s="8" t="s">
        <v>205</v>
      </c>
      <c r="B19" s="8"/>
      <c r="C19" s="8"/>
      <c r="D19" s="9">
        <f>D24+D477+D497+D726+D743+D752+D819+D843+D852+D861+D873+D881+D890+D899+D908+D917+D716+D926+D942+D950+D960</f>
        <v>255908953.99634147</v>
      </c>
      <c r="E19" s="9">
        <f>E24+E477+E497+E726+E743+E752+E819+E843+E852+E861+E873+E881+E890+E899+E908+E917+E716+E926+E942+E950+E960</f>
        <v>311699551.0035672</v>
      </c>
      <c r="F19" s="9">
        <f>F24+F477+F497+F726+F743+F752+F819+F843+F852+F861+F873+F881+F890+F899+F908+F917+F716+F926+F942+F950+F960</f>
        <v>567608504.9999087</v>
      </c>
      <c r="G19" s="9">
        <f>G24+G477+G497+G726+G743+G752+G819+G843+G852+G861+G873+G881+G890+G899+G908+G917+G716+G926+G942+G950+G968+G979+G987+G995</f>
        <v>511948325.9944118</v>
      </c>
      <c r="H19" s="9">
        <f>H24+H477+H497+H726+H743+H752+H819+H843+H852+H861+H873+H881+H890+H899+H908+H917+H716+H926+H942+H950+H968+H979+H987+H995</f>
        <v>640058629.6107861</v>
      </c>
      <c r="I19" s="9" t="e">
        <f>I24+I477+I497+I726+I743+I752+I819+I843+I852+I861+I873+I881+I890+I899+I908+I917+I716+I926+I942+I950+I968+I979+I987+I995</f>
        <v>#REF!</v>
      </c>
      <c r="J19" s="9">
        <f>J24+J477+J497+J726+J743+J752+J819+J843+J852+J861+J873+J881+J890+J899+J908+J917+J716+J926+J942+J950+J968+J979+J987+J995</f>
        <v>1152006955.605198</v>
      </c>
      <c r="K19" s="9" t="e">
        <f aca="true" t="shared" si="0" ref="K19:P19">K24+K477+K497+K726+K743+K752+K819+K843+K852+K861+K873+K881+K890+K899+K908+K917+K716+K926+K942+K950</f>
        <v>#REF!</v>
      </c>
      <c r="L19" s="9" t="e">
        <f t="shared" si="0"/>
        <v>#REF!</v>
      </c>
      <c r="M19" s="9" t="e">
        <f t="shared" si="0"/>
        <v>#REF!</v>
      </c>
      <c r="N19" s="9">
        <f t="shared" si="0"/>
        <v>508391506.9560344</v>
      </c>
      <c r="O19" s="9">
        <f t="shared" si="0"/>
        <v>298481799.9993861</v>
      </c>
      <c r="P19" s="9">
        <f t="shared" si="0"/>
        <v>806873306.9554205</v>
      </c>
    </row>
    <row r="20" spans="1:16" s="4" customFormat="1" ht="41.25" customHeight="1">
      <c r="A20" s="8" t="s">
        <v>203</v>
      </c>
      <c r="B20" s="8"/>
      <c r="C20" s="8"/>
      <c r="D20" s="9">
        <f>D25</f>
        <v>0</v>
      </c>
      <c r="E20" s="9">
        <f>E25</f>
        <v>55800000</v>
      </c>
      <c r="F20" s="9">
        <f>F25</f>
        <v>55800000</v>
      </c>
      <c r="G20" s="9">
        <f>G25</f>
        <v>0</v>
      </c>
      <c r="H20" s="9">
        <f>H25</f>
        <v>101791800</v>
      </c>
      <c r="I20" s="9" t="e">
        <f aca="true" t="shared" si="1" ref="I20:O20">I25</f>
        <v>#REF!</v>
      </c>
      <c r="J20" s="9">
        <f>SUM(G20)+H20</f>
        <v>101791800</v>
      </c>
      <c r="K20" s="9" t="e">
        <f t="shared" si="1"/>
        <v>#REF!</v>
      </c>
      <c r="L20" s="9" t="e">
        <f t="shared" si="1"/>
        <v>#REF!</v>
      </c>
      <c r="M20" s="9" t="e">
        <f t="shared" si="1"/>
        <v>#REF!</v>
      </c>
      <c r="N20" s="9">
        <f>N25</f>
        <v>0</v>
      </c>
      <c r="O20" s="9">
        <f t="shared" si="1"/>
        <v>106882000</v>
      </c>
      <c r="P20" s="9">
        <f>P25</f>
        <v>106882000</v>
      </c>
    </row>
    <row r="21" spans="1:17" ht="40.5" customHeight="1">
      <c r="A21" s="8" t="s">
        <v>552</v>
      </c>
      <c r="B21" s="8"/>
      <c r="C21" s="8"/>
      <c r="D21" s="9">
        <f>D498</f>
        <v>318730</v>
      </c>
      <c r="E21" s="9">
        <f aca="true" t="shared" si="2" ref="E21:Q21">E498</f>
        <v>636370</v>
      </c>
      <c r="F21" s="9">
        <f t="shared" si="2"/>
        <v>955100</v>
      </c>
      <c r="G21" s="9">
        <f t="shared" si="2"/>
        <v>328452</v>
      </c>
      <c r="H21" s="9">
        <f t="shared" si="2"/>
        <v>676380</v>
      </c>
      <c r="I21" s="9">
        <f t="shared" si="2"/>
        <v>0</v>
      </c>
      <c r="J21" s="9">
        <f t="shared" si="2"/>
        <v>1004832</v>
      </c>
      <c r="K21" s="9" t="e">
        <f t="shared" si="2"/>
        <v>#REF!</v>
      </c>
      <c r="L21" s="9" t="e">
        <f t="shared" si="2"/>
        <v>#REF!</v>
      </c>
      <c r="M21" s="9" t="e">
        <f t="shared" si="2"/>
        <v>#REF!</v>
      </c>
      <c r="N21" s="9">
        <f t="shared" si="2"/>
        <v>344360</v>
      </c>
      <c r="O21" s="9">
        <f t="shared" si="2"/>
        <v>733240</v>
      </c>
      <c r="P21" s="9">
        <f t="shared" si="2"/>
        <v>1077600</v>
      </c>
      <c r="Q21" s="9">
        <f t="shared" si="2"/>
        <v>0</v>
      </c>
    </row>
    <row r="22" spans="1:102" s="49" customFormat="1" ht="20.25" customHeight="1">
      <c r="A22" s="69" t="s">
        <v>246</v>
      </c>
      <c r="B22" s="69"/>
      <c r="C22" s="69"/>
      <c r="D22" s="67">
        <f>D19+D20+D21</f>
        <v>256227683.99634147</v>
      </c>
      <c r="E22" s="67">
        <f>E19+E20+E21</f>
        <v>368135921.0035672</v>
      </c>
      <c r="F22" s="67">
        <f>F19+F20+F21</f>
        <v>624363604.9999087</v>
      </c>
      <c r="G22" s="67">
        <f>G19+G20+G21</f>
        <v>512276777.9944118</v>
      </c>
      <c r="H22" s="67">
        <f>H19+H20+H21</f>
        <v>742526809.6107861</v>
      </c>
      <c r="I22" s="67" t="e">
        <f aca="true" t="shared" si="3" ref="I22:Q22">I19+I20+I21</f>
        <v>#REF!</v>
      </c>
      <c r="J22" s="67">
        <f>J19+J20+J21</f>
        <v>1254803587.605198</v>
      </c>
      <c r="K22" s="67" t="e">
        <f t="shared" si="3"/>
        <v>#REF!</v>
      </c>
      <c r="L22" s="67" t="e">
        <f t="shared" si="3"/>
        <v>#REF!</v>
      </c>
      <c r="M22" s="67" t="e">
        <f t="shared" si="3"/>
        <v>#REF!</v>
      </c>
      <c r="N22" s="67">
        <f>N19+N20+N21</f>
        <v>508735866.9560344</v>
      </c>
      <c r="O22" s="67">
        <f t="shared" si="3"/>
        <v>406097039.9993861</v>
      </c>
      <c r="P22" s="67">
        <f>P19+P20+P21</f>
        <v>914832906.9554205</v>
      </c>
      <c r="Q22" s="67">
        <f t="shared" si="3"/>
        <v>0</v>
      </c>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row>
    <row r="23" spans="1:102" s="37" customFormat="1" ht="30.75" customHeight="1" hidden="1">
      <c r="A23" s="73" t="s">
        <v>576</v>
      </c>
      <c r="B23" s="63"/>
      <c r="C23" s="63"/>
      <c r="D23" s="72">
        <f>D26+D166+D190+D263+D320+D363+D462+D470</f>
        <v>230486899.99634248</v>
      </c>
      <c r="E23" s="72">
        <f>E26+E166+E190+E263+E320+E363+E462+E470</f>
        <v>73089600.00356725</v>
      </c>
      <c r="F23" s="72">
        <f>D23+E23</f>
        <v>303576499.99990976</v>
      </c>
      <c r="G23" s="72">
        <f>G26+G166+G190+G263+G320+G363+G462+G470</f>
        <v>397173199.9946118</v>
      </c>
      <c r="H23" s="72">
        <f>H26+H166+H190+H263+H320+H363+H462+H470</f>
        <v>220415900.00078607</v>
      </c>
      <c r="I23" s="72">
        <f>I26+I166+I190+I263+I320+I363+I462+I470</f>
        <v>0</v>
      </c>
      <c r="J23" s="72">
        <f>G23+H23</f>
        <v>617589099.9953978</v>
      </c>
      <c r="K23" s="72" t="e">
        <f>K26+K166+K190+K263+K320+K363+K462+K470</f>
        <v>#REF!</v>
      </c>
      <c r="L23" s="72" t="e">
        <f>L26+L166+L190+L263+L320+L363+L462+L470</f>
        <v>#REF!</v>
      </c>
      <c r="M23" s="72" t="e">
        <f>M26+M166+M190+M263+M320+M363+M462+M470</f>
        <v>#REF!</v>
      </c>
      <c r="N23" s="72">
        <f>N26+N166+N190+N263+N320+N363+N462+N470</f>
        <v>493086606.95603544</v>
      </c>
      <c r="O23" s="72">
        <f>O26+O166+O190+O263+O320+O363+O462+O470</f>
        <v>229113499.99938607</v>
      </c>
      <c r="P23" s="72">
        <f>N23+O23</f>
        <v>722200106.9554214</v>
      </c>
      <c r="Q23" s="39"/>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row>
    <row r="24" spans="1:102" s="37" customFormat="1" ht="15" customHeight="1" hidden="1">
      <c r="A24" s="158" t="s">
        <v>212</v>
      </c>
      <c r="B24" s="40"/>
      <c r="C24" s="40"/>
      <c r="D24" s="38">
        <f>D23-D25</f>
        <v>230486899.99634248</v>
      </c>
      <c r="E24" s="38">
        <f>E23-E25</f>
        <v>17289600.00356725</v>
      </c>
      <c r="F24" s="38">
        <f>D24+E24</f>
        <v>247776499.99990973</v>
      </c>
      <c r="G24" s="38">
        <f>G23-G25</f>
        <v>397173199.9946118</v>
      </c>
      <c r="H24" s="38">
        <f>H23-H25</f>
        <v>118624100.00078607</v>
      </c>
      <c r="I24" s="38" t="e">
        <f>I93+#REF!+I109+#REF!+I166+I191+#REF!+#REF!+#REF!+I462+I470</f>
        <v>#REF!</v>
      </c>
      <c r="J24" s="38">
        <f>G24+H24</f>
        <v>515797299.99539787</v>
      </c>
      <c r="K24" s="38" t="e">
        <f>K93+#REF!+K109+#REF!+K166+K191+#REF!+#REF!+#REF!+K462+K470</f>
        <v>#REF!</v>
      </c>
      <c r="L24" s="38" t="e">
        <f>L93+#REF!+L109+#REF!+L166+L191+#REF!+#REF!+#REF!+L462+L470</f>
        <v>#REF!</v>
      </c>
      <c r="M24" s="38" t="e">
        <f>M93+#REF!+M109+#REF!+M166+M191+#REF!+#REF!+#REF!+M462+M470</f>
        <v>#REF!</v>
      </c>
      <c r="N24" s="38">
        <f>N23-N25</f>
        <v>493086606.95603544</v>
      </c>
      <c r="O24" s="38">
        <f>O23-O25</f>
        <v>122231499.99938607</v>
      </c>
      <c r="P24" s="38">
        <f>N24+O24</f>
        <v>615318106.9554214</v>
      </c>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row>
    <row r="25" spans="1:102" s="37" customFormat="1" ht="28.5" customHeight="1" hidden="1">
      <c r="A25" s="158" t="s">
        <v>213</v>
      </c>
      <c r="B25" s="40"/>
      <c r="C25" s="40"/>
      <c r="D25" s="38">
        <f>D27</f>
        <v>0</v>
      </c>
      <c r="E25" s="38">
        <f>60430000-4630000</f>
        <v>55800000</v>
      </c>
      <c r="F25" s="38">
        <f>SUM(D25)+E25</f>
        <v>55800000</v>
      </c>
      <c r="G25" s="38">
        <f>G27</f>
        <v>0</v>
      </c>
      <c r="H25" s="38">
        <f>H27</f>
        <v>101791800</v>
      </c>
      <c r="I25" s="38" t="e">
        <f>I27+I36+#REF!+#REF!+#REF!-2000000</f>
        <v>#REF!</v>
      </c>
      <c r="J25" s="38">
        <f>G25+H25</f>
        <v>101791800</v>
      </c>
      <c r="K25" s="38" t="e">
        <f>K27+K36+#REF!+#REF!+#REF!-2000000</f>
        <v>#REF!</v>
      </c>
      <c r="L25" s="38" t="e">
        <f>L27+L36+#REF!+#REF!+#REF!-2000000</f>
        <v>#REF!</v>
      </c>
      <c r="M25" s="38" t="e">
        <f>M27+M36+#REF!+#REF!+#REF!-2000000</f>
        <v>#REF!</v>
      </c>
      <c r="N25" s="38">
        <f>N27</f>
        <v>0</v>
      </c>
      <c r="O25" s="38">
        <f>O27</f>
        <v>106882000</v>
      </c>
      <c r="P25" s="38">
        <f>N25+O25</f>
        <v>106882000</v>
      </c>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row>
    <row r="26" spans="1:102" s="37" customFormat="1" ht="39.75" customHeight="1" hidden="1">
      <c r="A26" s="68" t="s">
        <v>103</v>
      </c>
      <c r="B26" s="158"/>
      <c r="C26" s="158"/>
      <c r="D26" s="67">
        <f aca="true" t="shared" si="4" ref="D26:J26">D27+D36+D45+D62+D69+D76+D86+D93+D102+D109+D122+D129+D136+D143+D150+D157</f>
        <v>110898599.99541488</v>
      </c>
      <c r="E26" s="67">
        <f t="shared" si="4"/>
        <v>63338399.99999525</v>
      </c>
      <c r="F26" s="67">
        <f t="shared" si="4"/>
        <v>174236999.99541014</v>
      </c>
      <c r="G26" s="67">
        <f t="shared" si="4"/>
        <v>226222100.000815</v>
      </c>
      <c r="H26" s="67">
        <f t="shared" si="4"/>
        <v>164143800.00079608</v>
      </c>
      <c r="I26" s="67">
        <f t="shared" si="4"/>
        <v>0</v>
      </c>
      <c r="J26" s="67">
        <f t="shared" si="4"/>
        <v>390365900.0016111</v>
      </c>
      <c r="K26" s="67">
        <f aca="true" t="shared" si="5" ref="K26:P26">K27+K36+K45+K62+K69+K76+K86+K93+K102+K109+K122+K129+K136+K143+K150</f>
        <v>0</v>
      </c>
      <c r="L26" s="67">
        <f t="shared" si="5"/>
        <v>0</v>
      </c>
      <c r="M26" s="67">
        <f t="shared" si="5"/>
        <v>0</v>
      </c>
      <c r="N26" s="67">
        <f t="shared" si="5"/>
        <v>316334599.9950305</v>
      </c>
      <c r="O26" s="67">
        <f t="shared" si="5"/>
        <v>170226999.9993961</v>
      </c>
      <c r="P26" s="67">
        <f t="shared" si="5"/>
        <v>486561599.9944266</v>
      </c>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row>
    <row r="27" spans="1:102" s="51" customFormat="1" ht="40.5" hidden="1">
      <c r="A27" s="137" t="s">
        <v>104</v>
      </c>
      <c r="B27" s="159"/>
      <c r="C27" s="159"/>
      <c r="D27" s="160"/>
      <c r="E27" s="275">
        <f>(60430000-4630000)+(35600000-33450000)</f>
        <v>57950000</v>
      </c>
      <c r="F27" s="160">
        <f>SUM(D27)+E27</f>
        <v>57950000</v>
      </c>
      <c r="G27" s="160"/>
      <c r="H27" s="160">
        <f>64130000+37661800</f>
        <v>101791800</v>
      </c>
      <c r="I27" s="160"/>
      <c r="J27" s="160">
        <f>H27</f>
        <v>101791800</v>
      </c>
      <c r="K27" s="160"/>
      <c r="L27" s="160"/>
      <c r="M27" s="160"/>
      <c r="N27" s="160"/>
      <c r="O27" s="160">
        <f>67350000+39532000</f>
        <v>106882000</v>
      </c>
      <c r="P27" s="160">
        <f>(P33*P31)</f>
        <v>106882000</v>
      </c>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row>
    <row r="28" spans="1:16" ht="13.5" hidden="1">
      <c r="A28" s="139" t="s">
        <v>183</v>
      </c>
      <c r="B28" s="158"/>
      <c r="C28" s="158"/>
      <c r="D28" s="160"/>
      <c r="E28" s="160"/>
      <c r="F28" s="160"/>
      <c r="G28" s="160"/>
      <c r="H28" s="160"/>
      <c r="I28" s="160"/>
      <c r="J28" s="160"/>
      <c r="K28" s="161"/>
      <c r="L28" s="161"/>
      <c r="M28" s="161"/>
      <c r="N28" s="160"/>
      <c r="O28" s="160"/>
      <c r="P28" s="160"/>
    </row>
    <row r="29" spans="1:16" ht="25.5" hidden="1">
      <c r="A29" s="138" t="s">
        <v>187</v>
      </c>
      <c r="B29" s="162"/>
      <c r="C29" s="162"/>
      <c r="D29" s="161"/>
      <c r="E29" s="161">
        <v>270000</v>
      </c>
      <c r="F29" s="161">
        <f>E29</f>
        <v>270000</v>
      </c>
      <c r="G29" s="161"/>
      <c r="H29" s="161">
        <v>270000</v>
      </c>
      <c r="I29" s="161"/>
      <c r="J29" s="161">
        <f>H29</f>
        <v>270000</v>
      </c>
      <c r="K29" s="161"/>
      <c r="L29" s="161"/>
      <c r="M29" s="161"/>
      <c r="N29" s="161"/>
      <c r="O29" s="161">
        <v>270000</v>
      </c>
      <c r="P29" s="161">
        <f>O29</f>
        <v>270000</v>
      </c>
    </row>
    <row r="30" spans="1:16" ht="13.5" hidden="1">
      <c r="A30" s="139" t="s">
        <v>184</v>
      </c>
      <c r="B30" s="158"/>
      <c r="C30" s="158"/>
      <c r="D30" s="161"/>
      <c r="E30" s="160"/>
      <c r="F30" s="160"/>
      <c r="G30" s="161"/>
      <c r="H30" s="160"/>
      <c r="I30" s="160"/>
      <c r="J30" s="160"/>
      <c r="K30" s="161"/>
      <c r="L30" s="161"/>
      <c r="M30" s="161"/>
      <c r="N30" s="161"/>
      <c r="O30" s="160"/>
      <c r="P30" s="160"/>
    </row>
    <row r="31" spans="1:16" ht="12.75" hidden="1">
      <c r="A31" s="138" t="s">
        <v>190</v>
      </c>
      <c r="B31" s="162"/>
      <c r="C31" s="162"/>
      <c r="D31" s="161"/>
      <c r="E31" s="161">
        <f>E27/E33</f>
        <v>44659.02698037161</v>
      </c>
      <c r="F31" s="161">
        <f>E31</f>
        <v>44659.02698037161</v>
      </c>
      <c r="G31" s="161"/>
      <c r="H31" s="161">
        <f>H27/H33</f>
        <v>78445.60384090753</v>
      </c>
      <c r="I31" s="161"/>
      <c r="J31" s="161">
        <f>H31</f>
        <v>78445.60384090753</v>
      </c>
      <c r="K31" s="161"/>
      <c r="L31" s="161"/>
      <c r="M31" s="161"/>
      <c r="N31" s="161"/>
      <c r="O31" s="161">
        <f>O27/O33</f>
        <v>77705.80238027728</v>
      </c>
      <c r="P31" s="161">
        <f>O31</f>
        <v>77705.80238027728</v>
      </c>
    </row>
    <row r="32" spans="1:16" ht="13.5" hidden="1">
      <c r="A32" s="139" t="s">
        <v>186</v>
      </c>
      <c r="B32" s="158"/>
      <c r="C32" s="158"/>
      <c r="D32" s="161"/>
      <c r="E32" s="160"/>
      <c r="F32" s="160"/>
      <c r="G32" s="161"/>
      <c r="H32" s="160"/>
      <c r="I32" s="160"/>
      <c r="J32" s="160"/>
      <c r="K32" s="161"/>
      <c r="L32" s="161"/>
      <c r="M32" s="161"/>
      <c r="N32" s="161"/>
      <c r="O32" s="160"/>
      <c r="P32" s="160"/>
    </row>
    <row r="33" spans="1:16" ht="12.75" hidden="1">
      <c r="A33" s="138" t="s">
        <v>191</v>
      </c>
      <c r="B33" s="162"/>
      <c r="C33" s="162"/>
      <c r="D33" s="161"/>
      <c r="E33" s="161">
        <v>1297.61</v>
      </c>
      <c r="F33" s="161">
        <f>E33</f>
        <v>1297.61</v>
      </c>
      <c r="G33" s="161"/>
      <c r="H33" s="161">
        <v>1297.61</v>
      </c>
      <c r="I33" s="161"/>
      <c r="J33" s="161">
        <f>H33</f>
        <v>1297.61</v>
      </c>
      <c r="K33" s="161"/>
      <c r="L33" s="161"/>
      <c r="M33" s="161"/>
      <c r="N33" s="161"/>
      <c r="O33" s="161">
        <v>1375.47</v>
      </c>
      <c r="P33" s="161">
        <f>O33</f>
        <v>1375.47</v>
      </c>
    </row>
    <row r="34" spans="1:16" ht="13.5" hidden="1">
      <c r="A34" s="133" t="s">
        <v>185</v>
      </c>
      <c r="B34" s="8"/>
      <c r="C34" s="8"/>
      <c r="D34" s="131"/>
      <c r="E34" s="163"/>
      <c r="F34" s="163"/>
      <c r="G34" s="131"/>
      <c r="H34" s="163"/>
      <c r="I34" s="163"/>
      <c r="J34" s="163"/>
      <c r="K34" s="131"/>
      <c r="L34" s="131"/>
      <c r="M34" s="131"/>
      <c r="N34" s="131"/>
      <c r="O34" s="163"/>
      <c r="P34" s="163"/>
    </row>
    <row r="35" spans="1:16" ht="12.75" hidden="1">
      <c r="A35" s="134" t="s">
        <v>195</v>
      </c>
      <c r="B35" s="164"/>
      <c r="C35" s="164"/>
      <c r="D35" s="131"/>
      <c r="E35" s="131">
        <f>E31/E29*100</f>
        <v>16.540380363100596</v>
      </c>
      <c r="F35" s="131">
        <f>F31/F29*100</f>
        <v>16.540380363100596</v>
      </c>
      <c r="G35" s="131"/>
      <c r="H35" s="131">
        <f>H31/H29*100</f>
        <v>29.053927348484272</v>
      </c>
      <c r="I35" s="131" t="e">
        <f>I31/I29*100</f>
        <v>#DIV/0!</v>
      </c>
      <c r="J35" s="131">
        <f>J31/J29*100</f>
        <v>29.053927348484272</v>
      </c>
      <c r="K35" s="131"/>
      <c r="L35" s="131"/>
      <c r="M35" s="131"/>
      <c r="N35" s="131"/>
      <c r="O35" s="131">
        <f>O31/O29*100</f>
        <v>28.779926807510105</v>
      </c>
      <c r="P35" s="131">
        <f>P31/P29*100</f>
        <v>28.779926807510105</v>
      </c>
    </row>
    <row r="36" spans="1:102" s="51" customFormat="1" ht="32.25" customHeight="1" hidden="1">
      <c r="A36" s="137" t="s">
        <v>139</v>
      </c>
      <c r="B36" s="159"/>
      <c r="C36" s="159"/>
      <c r="D36" s="160">
        <f>165000000-50000000-112300000</f>
        <v>2700000</v>
      </c>
      <c r="E36" s="160"/>
      <c r="F36" s="160">
        <f>F42*F40</f>
        <v>2700000</v>
      </c>
      <c r="G36" s="160">
        <f>181500000-80000000+3000000</f>
        <v>104500000</v>
      </c>
      <c r="H36" s="160"/>
      <c r="I36" s="160"/>
      <c r="J36" s="160">
        <f>G36</f>
        <v>104500000</v>
      </c>
      <c r="K36" s="160"/>
      <c r="L36" s="160"/>
      <c r="M36" s="160"/>
      <c r="N36" s="160">
        <v>190575000</v>
      </c>
      <c r="O36" s="160"/>
      <c r="P36" s="160">
        <f>N36</f>
        <v>190575000</v>
      </c>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row>
    <row r="37" spans="1:16" ht="12.75" hidden="1">
      <c r="A37" s="139" t="s">
        <v>183</v>
      </c>
      <c r="B37" s="158"/>
      <c r="C37" s="158"/>
      <c r="D37" s="161"/>
      <c r="E37" s="161"/>
      <c r="F37" s="161"/>
      <c r="G37" s="161"/>
      <c r="H37" s="161"/>
      <c r="I37" s="161"/>
      <c r="J37" s="161"/>
      <c r="K37" s="161"/>
      <c r="L37" s="161"/>
      <c r="M37" s="161"/>
      <c r="N37" s="161"/>
      <c r="O37" s="161"/>
      <c r="P37" s="161"/>
    </row>
    <row r="38" spans="1:16" ht="25.5" hidden="1">
      <c r="A38" s="138" t="s">
        <v>188</v>
      </c>
      <c r="B38" s="162"/>
      <c r="C38" s="162"/>
      <c r="D38" s="161">
        <v>292000</v>
      </c>
      <c r="E38" s="161"/>
      <c r="F38" s="161">
        <f>D38</f>
        <v>292000</v>
      </c>
      <c r="G38" s="161">
        <v>300000</v>
      </c>
      <c r="H38" s="161"/>
      <c r="I38" s="161"/>
      <c r="J38" s="161">
        <f>G38</f>
        <v>300000</v>
      </c>
      <c r="K38" s="161"/>
      <c r="L38" s="161"/>
      <c r="M38" s="161"/>
      <c r="N38" s="161">
        <v>300000</v>
      </c>
      <c r="O38" s="161"/>
      <c r="P38" s="161">
        <f>N38</f>
        <v>300000</v>
      </c>
    </row>
    <row r="39" spans="1:16" ht="12.75" hidden="1">
      <c r="A39" s="139" t="s">
        <v>184</v>
      </c>
      <c r="B39" s="158"/>
      <c r="C39" s="158"/>
      <c r="D39" s="161"/>
      <c r="E39" s="161"/>
      <c r="F39" s="161"/>
      <c r="G39" s="161"/>
      <c r="H39" s="161"/>
      <c r="I39" s="161"/>
      <c r="J39" s="161"/>
      <c r="K39" s="161"/>
      <c r="L39" s="161"/>
      <c r="M39" s="161"/>
      <c r="N39" s="161"/>
      <c r="O39" s="161"/>
      <c r="P39" s="161"/>
    </row>
    <row r="40" spans="1:16" ht="12.75" hidden="1">
      <c r="A40" s="138" t="s">
        <v>189</v>
      </c>
      <c r="B40" s="162"/>
      <c r="C40" s="162"/>
      <c r="D40" s="161">
        <f>D36/D42</f>
        <v>1560.278769806872</v>
      </c>
      <c r="E40" s="161"/>
      <c r="F40" s="161">
        <f>D40</f>
        <v>1560.278769806872</v>
      </c>
      <c r="G40" s="161">
        <f>G36/G42</f>
        <v>56970.27187631182</v>
      </c>
      <c r="H40" s="161"/>
      <c r="I40" s="161"/>
      <c r="J40" s="161">
        <f>G40</f>
        <v>56970.27187631182</v>
      </c>
      <c r="K40" s="161"/>
      <c r="L40" s="161"/>
      <c r="M40" s="161"/>
      <c r="N40" s="161">
        <f>N36/N42</f>
        <v>103895.78529022129</v>
      </c>
      <c r="O40" s="161"/>
      <c r="P40" s="161">
        <f>N40</f>
        <v>103895.78529022129</v>
      </c>
    </row>
    <row r="41" spans="1:16" ht="12.75" hidden="1">
      <c r="A41" s="139" t="s">
        <v>186</v>
      </c>
      <c r="B41" s="158"/>
      <c r="C41" s="158"/>
      <c r="D41" s="161"/>
      <c r="E41" s="161"/>
      <c r="F41" s="161"/>
      <c r="G41" s="161"/>
      <c r="H41" s="161"/>
      <c r="I41" s="161"/>
      <c r="J41" s="161"/>
      <c r="K41" s="161"/>
      <c r="L41" s="161"/>
      <c r="M41" s="161"/>
      <c r="N41" s="161"/>
      <c r="O41" s="161"/>
      <c r="P41" s="161"/>
    </row>
    <row r="42" spans="1:16" ht="24" customHeight="1" hidden="1">
      <c r="A42" s="138" t="s">
        <v>193</v>
      </c>
      <c r="B42" s="162"/>
      <c r="C42" s="162"/>
      <c r="D42" s="161">
        <v>1730.46</v>
      </c>
      <c r="E42" s="161"/>
      <c r="F42" s="161">
        <f>D42</f>
        <v>1730.46</v>
      </c>
      <c r="G42" s="161">
        <v>1834.29</v>
      </c>
      <c r="H42" s="161"/>
      <c r="I42" s="161"/>
      <c r="J42" s="161">
        <f>G42</f>
        <v>1834.29</v>
      </c>
      <c r="K42" s="161"/>
      <c r="L42" s="161"/>
      <c r="M42" s="161"/>
      <c r="N42" s="161">
        <v>1834.29</v>
      </c>
      <c r="O42" s="161"/>
      <c r="P42" s="161">
        <f>N42</f>
        <v>1834.29</v>
      </c>
    </row>
    <row r="43" spans="1:16" ht="12.75" hidden="1">
      <c r="A43" s="133" t="s">
        <v>185</v>
      </c>
      <c r="B43" s="8"/>
      <c r="C43" s="8"/>
      <c r="D43" s="131"/>
      <c r="E43" s="131"/>
      <c r="F43" s="131"/>
      <c r="G43" s="131"/>
      <c r="H43" s="131"/>
      <c r="I43" s="131"/>
      <c r="J43" s="131"/>
      <c r="K43" s="131"/>
      <c r="L43" s="131"/>
      <c r="M43" s="131"/>
      <c r="N43" s="131"/>
      <c r="O43" s="131"/>
      <c r="P43" s="131"/>
    </row>
    <row r="44" spans="1:16" ht="12.75" hidden="1">
      <c r="A44" s="134" t="s">
        <v>194</v>
      </c>
      <c r="B44" s="164"/>
      <c r="C44" s="164"/>
      <c r="D44" s="131">
        <f>D40/D38*100</f>
        <v>0.5343420444544082</v>
      </c>
      <c r="E44" s="131"/>
      <c r="F44" s="131">
        <f>F40/F38*100</f>
        <v>0.5343420444544082</v>
      </c>
      <c r="G44" s="131">
        <f>G40/G38*100</f>
        <v>18.990090625437272</v>
      </c>
      <c r="H44" s="131"/>
      <c r="I44" s="131"/>
      <c r="J44" s="131">
        <f>J40/J38*100</f>
        <v>18.990090625437272</v>
      </c>
      <c r="K44" s="131"/>
      <c r="L44" s="131"/>
      <c r="M44" s="131"/>
      <c r="N44" s="131">
        <f>N40/N38*100</f>
        <v>34.63192843007376</v>
      </c>
      <c r="O44" s="131"/>
      <c r="P44" s="131">
        <f>P40/P38*100</f>
        <v>34.63192843007376</v>
      </c>
    </row>
    <row r="45" spans="1:103" s="51" customFormat="1" ht="40.5" hidden="1">
      <c r="A45" s="137" t="s">
        <v>140</v>
      </c>
      <c r="B45" s="159"/>
      <c r="C45" s="159"/>
      <c r="D45" s="160">
        <f>(D49*D51)+(D59*D57)+14.08</f>
        <v>61774799.99541488</v>
      </c>
      <c r="E45" s="160"/>
      <c r="F45" s="160">
        <f>D45</f>
        <v>61774799.99541488</v>
      </c>
      <c r="G45" s="160">
        <f>G49*G51+G57*G59</f>
        <v>100045700.000815</v>
      </c>
      <c r="H45" s="160"/>
      <c r="I45" s="160"/>
      <c r="J45" s="160">
        <f>G45</f>
        <v>100045700.000815</v>
      </c>
      <c r="K45" s="160"/>
      <c r="L45" s="160"/>
      <c r="M45" s="160"/>
      <c r="N45" s="160">
        <f>N49*N51+N57*N59-0.03</f>
        <v>105047999.99503049</v>
      </c>
      <c r="O45" s="160"/>
      <c r="P45" s="160">
        <f>N45</f>
        <v>105047999.99503049</v>
      </c>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row>
    <row r="46" spans="1:103" ht="12.75" hidden="1">
      <c r="A46" s="133" t="s">
        <v>183</v>
      </c>
      <c r="B46" s="8"/>
      <c r="C46" s="8"/>
      <c r="D46" s="131"/>
      <c r="E46" s="131"/>
      <c r="F46" s="131"/>
      <c r="G46" s="131"/>
      <c r="H46" s="131"/>
      <c r="I46" s="131"/>
      <c r="J46" s="131"/>
      <c r="K46" s="131"/>
      <c r="L46" s="131"/>
      <c r="M46" s="131"/>
      <c r="N46" s="131"/>
      <c r="O46" s="131"/>
      <c r="P46" s="131"/>
      <c r="CY46" s="4"/>
    </row>
    <row r="47" spans="1:103" ht="25.5" hidden="1">
      <c r="A47" s="134" t="s">
        <v>208</v>
      </c>
      <c r="B47" s="164"/>
      <c r="C47" s="164"/>
      <c r="D47" s="131">
        <v>3372600</v>
      </c>
      <c r="E47" s="131"/>
      <c r="F47" s="131">
        <f>D47</f>
        <v>3372600</v>
      </c>
      <c r="G47" s="131">
        <v>3372600</v>
      </c>
      <c r="H47" s="131"/>
      <c r="I47" s="131"/>
      <c r="J47" s="131">
        <f>G47</f>
        <v>3372600</v>
      </c>
      <c r="K47" s="131"/>
      <c r="L47" s="131"/>
      <c r="M47" s="131"/>
      <c r="N47" s="131">
        <v>3372600</v>
      </c>
      <c r="O47" s="131"/>
      <c r="P47" s="131">
        <f>N47</f>
        <v>3372600</v>
      </c>
      <c r="CY47" s="4"/>
    </row>
    <row r="48" spans="1:103" ht="12.75" hidden="1">
      <c r="A48" s="133" t="s">
        <v>184</v>
      </c>
      <c r="B48" s="8"/>
      <c r="C48" s="8"/>
      <c r="D48" s="131"/>
      <c r="E48" s="131"/>
      <c r="F48" s="131"/>
      <c r="G48" s="131"/>
      <c r="H48" s="131"/>
      <c r="I48" s="131"/>
      <c r="J48" s="131"/>
      <c r="K48" s="131"/>
      <c r="L48" s="131"/>
      <c r="M48" s="131"/>
      <c r="N48" s="131"/>
      <c r="O48" s="131"/>
      <c r="P48" s="131"/>
      <c r="CY48" s="4"/>
    </row>
    <row r="49" spans="1:103" ht="28.5" customHeight="1" hidden="1">
      <c r="A49" s="134" t="s">
        <v>209</v>
      </c>
      <c r="B49" s="164"/>
      <c r="C49" s="164"/>
      <c r="D49" s="131">
        <f>2202395-562643.447</f>
        <v>1639751.5529999998</v>
      </c>
      <c r="E49" s="131"/>
      <c r="F49" s="131">
        <f>D49</f>
        <v>1639751.5529999998</v>
      </c>
      <c r="G49" s="131">
        <v>2287393</v>
      </c>
      <c r="H49" s="131"/>
      <c r="I49" s="131"/>
      <c r="J49" s="131">
        <f>G49</f>
        <v>2287393</v>
      </c>
      <c r="K49" s="131">
        <f>H49</f>
        <v>0</v>
      </c>
      <c r="L49" s="131">
        <f>I49</f>
        <v>0</v>
      </c>
      <c r="M49" s="131">
        <f>J49</f>
        <v>2287393</v>
      </c>
      <c r="N49" s="131">
        <v>2401762.65</v>
      </c>
      <c r="O49" s="131"/>
      <c r="P49" s="131">
        <f>N49</f>
        <v>2401762.65</v>
      </c>
      <c r="CY49" s="4"/>
    </row>
    <row r="50" spans="1:103" ht="12.75" hidden="1">
      <c r="A50" s="133" t="s">
        <v>186</v>
      </c>
      <c r="B50" s="8"/>
      <c r="C50" s="8"/>
      <c r="D50" s="131"/>
      <c r="E50" s="131"/>
      <c r="F50" s="131"/>
      <c r="G50" s="131"/>
      <c r="H50" s="131"/>
      <c r="I50" s="131"/>
      <c r="J50" s="131"/>
      <c r="K50" s="131"/>
      <c r="L50" s="131"/>
      <c r="M50" s="131"/>
      <c r="N50" s="131"/>
      <c r="O50" s="131"/>
      <c r="P50" s="131"/>
      <c r="CY50" s="4"/>
    </row>
    <row r="51" spans="1:103" ht="25.5" hidden="1">
      <c r="A51" s="134" t="s">
        <v>192</v>
      </c>
      <c r="B51" s="164"/>
      <c r="C51" s="164"/>
      <c r="D51" s="131">
        <v>36.8377781785</v>
      </c>
      <c r="E51" s="131"/>
      <c r="F51" s="131">
        <f>D51</f>
        <v>36.8377781785</v>
      </c>
      <c r="G51" s="131">
        <v>42.67</v>
      </c>
      <c r="H51" s="131"/>
      <c r="I51" s="131"/>
      <c r="J51" s="131">
        <f>G51</f>
        <v>42.67</v>
      </c>
      <c r="K51" s="131"/>
      <c r="L51" s="131"/>
      <c r="M51" s="131"/>
      <c r="N51" s="131">
        <v>42.67</v>
      </c>
      <c r="O51" s="131"/>
      <c r="P51" s="131">
        <f>N51</f>
        <v>42.67</v>
      </c>
      <c r="CY51" s="4"/>
    </row>
    <row r="52" spans="1:103" ht="12.75" hidden="1">
      <c r="A52" s="133" t="s">
        <v>185</v>
      </c>
      <c r="B52" s="8"/>
      <c r="C52" s="8"/>
      <c r="D52" s="131"/>
      <c r="E52" s="131"/>
      <c r="F52" s="131"/>
      <c r="G52" s="131"/>
      <c r="H52" s="131"/>
      <c r="I52" s="131"/>
      <c r="J52" s="131"/>
      <c r="K52" s="131"/>
      <c r="L52" s="131"/>
      <c r="M52" s="131"/>
      <c r="N52" s="131"/>
      <c r="O52" s="131"/>
      <c r="P52" s="131"/>
      <c r="CY52" s="4"/>
    </row>
    <row r="53" spans="1:16" ht="33.75" customHeight="1" hidden="1">
      <c r="A53" s="134" t="s">
        <v>210</v>
      </c>
      <c r="B53" s="164"/>
      <c r="C53" s="164"/>
      <c r="D53" s="131">
        <f>D49/D47*100</f>
        <v>48.61980528375733</v>
      </c>
      <c r="E53" s="131"/>
      <c r="F53" s="131">
        <f>F49/F47*100</f>
        <v>48.61980528375733</v>
      </c>
      <c r="G53" s="131">
        <f>G49/G47*100</f>
        <v>67.82283698037122</v>
      </c>
      <c r="H53" s="131"/>
      <c r="I53" s="131"/>
      <c r="J53" s="131">
        <f>J49/J47*100</f>
        <v>67.82283698037122</v>
      </c>
      <c r="K53" s="131"/>
      <c r="L53" s="131"/>
      <c r="M53" s="131"/>
      <c r="N53" s="131">
        <f>N49/N47*100</f>
        <v>71.21397882938979</v>
      </c>
      <c r="O53" s="131"/>
      <c r="P53" s="131">
        <f>P49/P47*100</f>
        <v>71.21397882938979</v>
      </c>
    </row>
    <row r="54" spans="1:16" ht="12.75" hidden="1">
      <c r="A54" s="133" t="s">
        <v>183</v>
      </c>
      <c r="B54" s="164"/>
      <c r="C54" s="164"/>
      <c r="D54" s="131"/>
      <c r="E54" s="131"/>
      <c r="F54" s="131"/>
      <c r="G54" s="131"/>
      <c r="H54" s="131"/>
      <c r="I54" s="131"/>
      <c r="J54" s="131"/>
      <c r="K54" s="131"/>
      <c r="L54" s="131"/>
      <c r="M54" s="131"/>
      <c r="N54" s="131"/>
      <c r="O54" s="131"/>
      <c r="P54" s="131"/>
    </row>
    <row r="55" spans="1:16" ht="35.25" customHeight="1" hidden="1">
      <c r="A55" s="134" t="s">
        <v>310</v>
      </c>
      <c r="B55" s="164"/>
      <c r="C55" s="164"/>
      <c r="D55" s="131">
        <v>446550</v>
      </c>
      <c r="E55" s="131"/>
      <c r="F55" s="131">
        <v>446550</v>
      </c>
      <c r="G55" s="131">
        <v>446550</v>
      </c>
      <c r="H55" s="131"/>
      <c r="I55" s="131"/>
      <c r="J55" s="131">
        <v>446550</v>
      </c>
      <c r="K55" s="131"/>
      <c r="L55" s="131"/>
      <c r="M55" s="131"/>
      <c r="N55" s="131">
        <v>446550</v>
      </c>
      <c r="O55" s="131"/>
      <c r="P55" s="131">
        <v>446550</v>
      </c>
    </row>
    <row r="56" spans="1:16" ht="12.75" hidden="1">
      <c r="A56" s="133" t="s">
        <v>184</v>
      </c>
      <c r="B56" s="164"/>
      <c r="C56" s="164"/>
      <c r="D56" s="131"/>
      <c r="E56" s="131"/>
      <c r="F56" s="131"/>
      <c r="G56" s="131"/>
      <c r="H56" s="131"/>
      <c r="I56" s="131"/>
      <c r="J56" s="131"/>
      <c r="K56" s="131"/>
      <c r="L56" s="131"/>
      <c r="M56" s="131"/>
      <c r="N56" s="131"/>
      <c r="O56" s="131"/>
      <c r="P56" s="131"/>
    </row>
    <row r="57" spans="1:16" ht="25.5" hidden="1">
      <c r="A57" s="134" t="s">
        <v>309</v>
      </c>
      <c r="B57" s="164"/>
      <c r="C57" s="164"/>
      <c r="D57" s="131">
        <f>446550-181050</f>
        <v>265500</v>
      </c>
      <c r="E57" s="131"/>
      <c r="F57" s="131">
        <v>446550</v>
      </c>
      <c r="G57" s="131">
        <v>446550</v>
      </c>
      <c r="H57" s="131"/>
      <c r="I57" s="131"/>
      <c r="J57" s="131">
        <v>446550</v>
      </c>
      <c r="K57" s="131">
        <v>446550</v>
      </c>
      <c r="L57" s="131">
        <v>446550</v>
      </c>
      <c r="M57" s="131">
        <v>446550</v>
      </c>
      <c r="N57" s="131">
        <v>446550</v>
      </c>
      <c r="O57" s="131"/>
      <c r="P57" s="131">
        <f>N57</f>
        <v>446550</v>
      </c>
    </row>
    <row r="58" spans="1:16" ht="12.75" hidden="1">
      <c r="A58" s="133" t="s">
        <v>186</v>
      </c>
      <c r="B58" s="164"/>
      <c r="C58" s="164"/>
      <c r="D58" s="131"/>
      <c r="E58" s="131"/>
      <c r="F58" s="131"/>
      <c r="G58" s="131"/>
      <c r="H58" s="131"/>
      <c r="I58" s="131"/>
      <c r="J58" s="131"/>
      <c r="K58" s="131"/>
      <c r="L58" s="131"/>
      <c r="M58" s="131"/>
      <c r="N58" s="131"/>
      <c r="O58" s="131"/>
      <c r="P58" s="131"/>
    </row>
    <row r="59" spans="1:16" ht="25.5" hidden="1">
      <c r="A59" s="134" t="s">
        <v>192</v>
      </c>
      <c r="B59" s="164"/>
      <c r="C59" s="164"/>
      <c r="D59" s="131">
        <v>5.1600073</v>
      </c>
      <c r="E59" s="131"/>
      <c r="F59" s="131">
        <f>D59</f>
        <v>5.1600073</v>
      </c>
      <c r="G59" s="131">
        <v>5.4700273</v>
      </c>
      <c r="H59" s="131"/>
      <c r="I59" s="131"/>
      <c r="J59" s="131">
        <f>G59</f>
        <v>5.4700273</v>
      </c>
      <c r="K59" s="131"/>
      <c r="L59" s="131"/>
      <c r="M59" s="131"/>
      <c r="N59" s="131">
        <v>5.74356231</v>
      </c>
      <c r="O59" s="131"/>
      <c r="P59" s="131">
        <f>N59</f>
        <v>5.74356231</v>
      </c>
    </row>
    <row r="60" spans="1:16" ht="12.75" hidden="1">
      <c r="A60" s="133" t="s">
        <v>185</v>
      </c>
      <c r="B60" s="164"/>
      <c r="C60" s="164"/>
      <c r="D60" s="131"/>
      <c r="E60" s="131"/>
      <c r="F60" s="131"/>
      <c r="G60" s="131"/>
      <c r="H60" s="131"/>
      <c r="I60" s="131"/>
      <c r="J60" s="131"/>
      <c r="K60" s="131"/>
      <c r="L60" s="131"/>
      <c r="M60" s="131"/>
      <c r="N60" s="131"/>
      <c r="O60" s="131"/>
      <c r="P60" s="131"/>
    </row>
    <row r="61" spans="1:16" ht="25.5" hidden="1">
      <c r="A61" s="134" t="s">
        <v>210</v>
      </c>
      <c r="B61" s="164"/>
      <c r="C61" s="164"/>
      <c r="D61" s="131">
        <v>85</v>
      </c>
      <c r="E61" s="131"/>
      <c r="F61" s="131">
        <v>85</v>
      </c>
      <c r="G61" s="131">
        <v>100</v>
      </c>
      <c r="H61" s="131"/>
      <c r="I61" s="131"/>
      <c r="J61" s="131">
        <v>100</v>
      </c>
      <c r="K61" s="131"/>
      <c r="L61" s="131"/>
      <c r="M61" s="131"/>
      <c r="N61" s="131">
        <v>100</v>
      </c>
      <c r="O61" s="131"/>
      <c r="P61" s="131">
        <v>100</v>
      </c>
    </row>
    <row r="62" spans="1:108" s="52" customFormat="1" ht="13.5" hidden="1">
      <c r="A62" s="137" t="s">
        <v>141</v>
      </c>
      <c r="B62" s="159"/>
      <c r="C62" s="159"/>
      <c r="D62" s="160">
        <f>1500000-1295800</f>
        <v>204200</v>
      </c>
      <c r="E62" s="160"/>
      <c r="F62" s="160">
        <f>D62</f>
        <v>204200</v>
      </c>
      <c r="G62" s="160">
        <v>1600000</v>
      </c>
      <c r="H62" s="160"/>
      <c r="I62" s="160"/>
      <c r="J62" s="160">
        <f>G62</f>
        <v>1600000</v>
      </c>
      <c r="K62" s="160"/>
      <c r="L62" s="160"/>
      <c r="M62" s="160"/>
      <c r="N62" s="160">
        <v>1700000</v>
      </c>
      <c r="O62" s="160"/>
      <c r="P62" s="160">
        <f>N62</f>
        <v>1700000</v>
      </c>
      <c r="CY62" s="43"/>
      <c r="CZ62" s="43"/>
      <c r="DA62" s="43"/>
      <c r="DB62" s="43"/>
      <c r="DC62" s="43"/>
      <c r="DD62" s="43"/>
    </row>
    <row r="63" spans="1:108" s="4" customFormat="1" ht="18.75" customHeight="1" hidden="1">
      <c r="A63" s="133" t="s">
        <v>254</v>
      </c>
      <c r="B63" s="164"/>
      <c r="C63" s="164"/>
      <c r="D63" s="131"/>
      <c r="E63" s="131"/>
      <c r="F63" s="131"/>
      <c r="G63" s="131"/>
      <c r="H63" s="131"/>
      <c r="I63" s="131"/>
      <c r="J63" s="131"/>
      <c r="K63" s="131"/>
      <c r="L63" s="131"/>
      <c r="M63" s="131"/>
      <c r="N63" s="131"/>
      <c r="O63" s="131"/>
      <c r="P63" s="131"/>
      <c r="CY63" s="13"/>
      <c r="CZ63" s="13"/>
      <c r="DA63" s="13"/>
      <c r="DB63" s="13"/>
      <c r="DC63" s="13"/>
      <c r="DD63" s="13"/>
    </row>
    <row r="64" spans="1:108" s="4" customFormat="1" ht="12.75" hidden="1">
      <c r="A64" s="134" t="s">
        <v>424</v>
      </c>
      <c r="B64" s="164"/>
      <c r="C64" s="164"/>
      <c r="D64" s="131">
        <f>D62</f>
        <v>204200</v>
      </c>
      <c r="E64" s="131"/>
      <c r="F64" s="131">
        <f>D64</f>
        <v>204200</v>
      </c>
      <c r="G64" s="131">
        <f>G62</f>
        <v>1600000</v>
      </c>
      <c r="H64" s="131"/>
      <c r="I64" s="131"/>
      <c r="J64" s="131">
        <f>G64</f>
        <v>1600000</v>
      </c>
      <c r="K64" s="131"/>
      <c r="L64" s="131"/>
      <c r="M64" s="131"/>
      <c r="N64" s="131">
        <f>N62</f>
        <v>1700000</v>
      </c>
      <c r="O64" s="131"/>
      <c r="P64" s="131">
        <f>N64</f>
        <v>1700000</v>
      </c>
      <c r="CY64" s="13"/>
      <c r="CZ64" s="13"/>
      <c r="DA64" s="13"/>
      <c r="DB64" s="13"/>
      <c r="DC64" s="13"/>
      <c r="DD64" s="13"/>
    </row>
    <row r="65" spans="1:108" s="4" customFormat="1" ht="12.75" hidden="1">
      <c r="A65" s="133" t="s">
        <v>376</v>
      </c>
      <c r="B65" s="164"/>
      <c r="C65" s="164"/>
      <c r="D65" s="131"/>
      <c r="E65" s="131"/>
      <c r="F65" s="131"/>
      <c r="G65" s="131"/>
      <c r="H65" s="131"/>
      <c r="I65" s="131"/>
      <c r="J65" s="131"/>
      <c r="K65" s="131"/>
      <c r="L65" s="131"/>
      <c r="M65" s="131"/>
      <c r="N65" s="131"/>
      <c r="O65" s="131"/>
      <c r="P65" s="131"/>
      <c r="CY65" s="13"/>
      <c r="CZ65" s="13"/>
      <c r="DA65" s="13"/>
      <c r="DB65" s="13"/>
      <c r="DC65" s="13"/>
      <c r="DD65" s="13"/>
    </row>
    <row r="66" spans="1:108" s="36" customFormat="1" ht="18" customHeight="1" hidden="1">
      <c r="A66" s="165" t="s">
        <v>134</v>
      </c>
      <c r="B66" s="162"/>
      <c r="C66" s="162"/>
      <c r="D66" s="161">
        <f>D64/D68</f>
        <v>657.5240000024986</v>
      </c>
      <c r="E66" s="161"/>
      <c r="F66" s="161">
        <f>D66</f>
        <v>657.5240000024986</v>
      </c>
      <c r="G66" s="161">
        <v>4830</v>
      </c>
      <c r="H66" s="161"/>
      <c r="I66" s="161"/>
      <c r="J66" s="161">
        <f>G66</f>
        <v>4830</v>
      </c>
      <c r="K66" s="161"/>
      <c r="L66" s="161"/>
      <c r="M66" s="161"/>
      <c r="N66" s="161">
        <v>4830</v>
      </c>
      <c r="O66" s="161"/>
      <c r="P66" s="161">
        <f>N66</f>
        <v>4830</v>
      </c>
      <c r="CY66" s="37"/>
      <c r="CZ66" s="37"/>
      <c r="DA66" s="37"/>
      <c r="DB66" s="37"/>
      <c r="DC66" s="37"/>
      <c r="DD66" s="37"/>
    </row>
    <row r="67" spans="1:108" s="36" customFormat="1" ht="16.5" customHeight="1" hidden="1">
      <c r="A67" s="139" t="s">
        <v>372</v>
      </c>
      <c r="B67" s="162"/>
      <c r="C67" s="162"/>
      <c r="D67" s="161"/>
      <c r="E67" s="161"/>
      <c r="F67" s="161"/>
      <c r="G67" s="161"/>
      <c r="H67" s="161"/>
      <c r="I67" s="161"/>
      <c r="J67" s="161"/>
      <c r="K67" s="161"/>
      <c r="L67" s="161"/>
      <c r="M67" s="161"/>
      <c r="N67" s="161"/>
      <c r="O67" s="161"/>
      <c r="P67" s="161"/>
      <c r="CY67" s="37"/>
      <c r="CZ67" s="37"/>
      <c r="DA67" s="37"/>
      <c r="DB67" s="37"/>
      <c r="DC67" s="37"/>
      <c r="DD67" s="37"/>
    </row>
    <row r="68" spans="1:108" s="36" customFormat="1" ht="12.75" hidden="1">
      <c r="A68" s="138" t="s">
        <v>135</v>
      </c>
      <c r="B68" s="162"/>
      <c r="C68" s="162"/>
      <c r="D68" s="161">
        <v>310.55900621</v>
      </c>
      <c r="E68" s="161"/>
      <c r="F68" s="161">
        <f>D68</f>
        <v>310.55900621</v>
      </c>
      <c r="G68" s="161">
        <f>G64/G66</f>
        <v>331.26293995859214</v>
      </c>
      <c r="H68" s="161"/>
      <c r="I68" s="161"/>
      <c r="J68" s="161">
        <f>G68</f>
        <v>331.26293995859214</v>
      </c>
      <c r="K68" s="161"/>
      <c r="L68" s="161"/>
      <c r="M68" s="161"/>
      <c r="N68" s="161">
        <f>N64/N66</f>
        <v>351.96687370600415</v>
      </c>
      <c r="O68" s="161"/>
      <c r="P68" s="161">
        <f>N68</f>
        <v>351.96687370600415</v>
      </c>
      <c r="CY68" s="37"/>
      <c r="CZ68" s="37"/>
      <c r="DA68" s="37"/>
      <c r="DB68" s="37"/>
      <c r="DC68" s="37"/>
      <c r="DD68" s="37"/>
    </row>
    <row r="69" spans="1:108" s="52" customFormat="1" ht="27" hidden="1">
      <c r="A69" s="137" t="s">
        <v>142</v>
      </c>
      <c r="B69" s="159"/>
      <c r="C69" s="159"/>
      <c r="D69" s="160">
        <f>D71</f>
        <v>855000</v>
      </c>
      <c r="E69" s="160">
        <f aca="true" t="shared" si="6" ref="E69:O69">E71</f>
        <v>1000000</v>
      </c>
      <c r="F69" s="160">
        <f t="shared" si="6"/>
        <v>1855000</v>
      </c>
      <c r="G69" s="160">
        <f t="shared" si="6"/>
        <v>2700000</v>
      </c>
      <c r="H69" s="160">
        <f t="shared" si="6"/>
        <v>8287400</v>
      </c>
      <c r="I69" s="160">
        <f t="shared" si="6"/>
        <v>0</v>
      </c>
      <c r="J69" s="160">
        <f t="shared" si="6"/>
        <v>10987400</v>
      </c>
      <c r="K69" s="160">
        <f t="shared" si="6"/>
        <v>0</v>
      </c>
      <c r="L69" s="160">
        <f t="shared" si="6"/>
        <v>0</v>
      </c>
      <c r="M69" s="160">
        <f t="shared" si="6"/>
        <v>0</v>
      </c>
      <c r="N69" s="160">
        <f t="shared" si="6"/>
        <v>1775500</v>
      </c>
      <c r="O69" s="160">
        <f t="shared" si="6"/>
        <v>8702000</v>
      </c>
      <c r="P69" s="160">
        <f>P71</f>
        <v>10477500</v>
      </c>
      <c r="CY69" s="43"/>
      <c r="CZ69" s="43"/>
      <c r="DA69" s="43"/>
      <c r="DB69" s="43"/>
      <c r="DC69" s="43"/>
      <c r="DD69" s="43"/>
    </row>
    <row r="70" spans="1:108" s="4" customFormat="1" ht="19.5" customHeight="1" hidden="1">
      <c r="A70" s="133" t="s">
        <v>254</v>
      </c>
      <c r="B70" s="164"/>
      <c r="C70" s="164"/>
      <c r="D70" s="131"/>
      <c r="E70" s="131"/>
      <c r="F70" s="131"/>
      <c r="G70" s="131"/>
      <c r="H70" s="131"/>
      <c r="I70" s="131"/>
      <c r="J70" s="131"/>
      <c r="K70" s="131"/>
      <c r="L70" s="131"/>
      <c r="M70" s="131"/>
      <c r="N70" s="131"/>
      <c r="O70" s="131"/>
      <c r="P70" s="131"/>
      <c r="CY70" s="13"/>
      <c r="CZ70" s="13"/>
      <c r="DA70" s="13"/>
      <c r="DB70" s="13"/>
      <c r="DC70" s="13"/>
      <c r="DD70" s="13"/>
    </row>
    <row r="71" spans="1:108" s="4" customFormat="1" ht="27" customHeight="1" hidden="1">
      <c r="A71" s="134" t="s">
        <v>425</v>
      </c>
      <c r="B71" s="164"/>
      <c r="C71" s="164"/>
      <c r="D71" s="131">
        <f>1595200-740200</f>
        <v>855000</v>
      </c>
      <c r="E71" s="131">
        <f>7818300-6818300</f>
        <v>1000000</v>
      </c>
      <c r="F71" s="131">
        <f>D71+E71</f>
        <v>1855000</v>
      </c>
      <c r="G71" s="131">
        <f>1690900+1009100</f>
        <v>2700000</v>
      </c>
      <c r="H71" s="131">
        <v>8287400</v>
      </c>
      <c r="I71" s="131"/>
      <c r="J71" s="131">
        <f>G71+H71</f>
        <v>10987400</v>
      </c>
      <c r="K71" s="131"/>
      <c r="L71" s="131"/>
      <c r="M71" s="131"/>
      <c r="N71" s="131">
        <v>1775500</v>
      </c>
      <c r="O71" s="131">
        <v>8702000</v>
      </c>
      <c r="P71" s="131">
        <f>N71+O71</f>
        <v>10477500</v>
      </c>
      <c r="CY71" s="13"/>
      <c r="CZ71" s="13"/>
      <c r="DA71" s="13"/>
      <c r="DB71" s="13"/>
      <c r="DC71" s="13"/>
      <c r="DD71" s="13"/>
    </row>
    <row r="72" spans="1:108" s="4" customFormat="1" ht="12.75" hidden="1">
      <c r="A72" s="133" t="s">
        <v>376</v>
      </c>
      <c r="B72" s="164"/>
      <c r="C72" s="164"/>
      <c r="D72" s="131"/>
      <c r="E72" s="131"/>
      <c r="F72" s="131"/>
      <c r="G72" s="131"/>
      <c r="H72" s="131"/>
      <c r="I72" s="131"/>
      <c r="J72" s="131"/>
      <c r="K72" s="131"/>
      <c r="L72" s="131"/>
      <c r="M72" s="131"/>
      <c r="N72" s="131"/>
      <c r="O72" s="131"/>
      <c r="P72" s="131"/>
      <c r="CY72" s="13"/>
      <c r="CZ72" s="13"/>
      <c r="DA72" s="13"/>
      <c r="DB72" s="13"/>
      <c r="DC72" s="13"/>
      <c r="DD72" s="13"/>
    </row>
    <row r="73" spans="1:108" s="4" customFormat="1" ht="25.5" hidden="1">
      <c r="A73" s="135" t="s">
        <v>143</v>
      </c>
      <c r="B73" s="164"/>
      <c r="C73" s="164"/>
      <c r="D73" s="166">
        <f>D71/D75</f>
        <v>5.7</v>
      </c>
      <c r="E73" s="166">
        <f>E71/E75</f>
        <v>2</v>
      </c>
      <c r="F73" s="166">
        <f>D73+E73</f>
        <v>7.7</v>
      </c>
      <c r="G73" s="166">
        <f>G71/G75</f>
        <v>16.875</v>
      </c>
      <c r="H73" s="166">
        <f>H71/H75</f>
        <v>15.534020618556701</v>
      </c>
      <c r="I73" s="131"/>
      <c r="J73" s="166">
        <f>G73+H73</f>
        <v>32.4090206185567</v>
      </c>
      <c r="K73" s="131"/>
      <c r="L73" s="131"/>
      <c r="M73" s="131"/>
      <c r="N73" s="166">
        <f>N71/N75</f>
        <v>10.450264861683344</v>
      </c>
      <c r="O73" s="166">
        <f>O71/O75</f>
        <v>15.387879966755673</v>
      </c>
      <c r="P73" s="166">
        <f>N73+O73</f>
        <v>25.838144828439017</v>
      </c>
      <c r="CY73" s="13"/>
      <c r="CZ73" s="13"/>
      <c r="DA73" s="13"/>
      <c r="DB73" s="13"/>
      <c r="DC73" s="13"/>
      <c r="DD73" s="13"/>
    </row>
    <row r="74" spans="1:108" s="4" customFormat="1" ht="12.75" hidden="1">
      <c r="A74" s="133" t="s">
        <v>372</v>
      </c>
      <c r="B74" s="164"/>
      <c r="C74" s="164"/>
      <c r="D74" s="131"/>
      <c r="E74" s="131"/>
      <c r="F74" s="131"/>
      <c r="G74" s="131"/>
      <c r="H74" s="131"/>
      <c r="I74" s="131"/>
      <c r="J74" s="131"/>
      <c r="K74" s="131"/>
      <c r="L74" s="131"/>
      <c r="M74" s="131"/>
      <c r="N74" s="131"/>
      <c r="O74" s="131"/>
      <c r="P74" s="131"/>
      <c r="CY74" s="13"/>
      <c r="CZ74" s="13"/>
      <c r="DA74" s="13"/>
      <c r="DB74" s="13"/>
      <c r="DC74" s="13"/>
      <c r="DD74" s="13"/>
    </row>
    <row r="75" spans="1:108" s="4" customFormat="1" ht="30" customHeight="1" hidden="1">
      <c r="A75" s="134" t="s">
        <v>426</v>
      </c>
      <c r="B75" s="164"/>
      <c r="C75" s="164"/>
      <c r="D75" s="131">
        <v>150000</v>
      </c>
      <c r="E75" s="131">
        <v>500000</v>
      </c>
      <c r="F75" s="131">
        <f>D75+E75</f>
        <v>650000</v>
      </c>
      <c r="G75" s="131">
        <v>160000</v>
      </c>
      <c r="H75" s="131">
        <v>533500</v>
      </c>
      <c r="I75" s="131"/>
      <c r="J75" s="131">
        <f>G75+H75</f>
        <v>693500</v>
      </c>
      <c r="K75" s="131"/>
      <c r="L75" s="131"/>
      <c r="M75" s="131"/>
      <c r="N75" s="131">
        <v>169900</v>
      </c>
      <c r="O75" s="131">
        <v>565510</v>
      </c>
      <c r="P75" s="131">
        <f>N75+O75</f>
        <v>735410</v>
      </c>
      <c r="CY75" s="13"/>
      <c r="CZ75" s="13"/>
      <c r="DA75" s="13"/>
      <c r="DB75" s="13"/>
      <c r="DC75" s="13"/>
      <c r="DD75" s="13"/>
    </row>
    <row r="76" spans="1:102" s="51" customFormat="1" ht="24.75" customHeight="1" hidden="1">
      <c r="A76" s="137" t="s">
        <v>144</v>
      </c>
      <c r="B76" s="159"/>
      <c r="C76" s="159"/>
      <c r="D76" s="160">
        <f>D78</f>
        <v>1701900</v>
      </c>
      <c r="E76" s="160"/>
      <c r="F76" s="160">
        <f>D76</f>
        <v>1701900</v>
      </c>
      <c r="G76" s="160">
        <f>G78</f>
        <v>11917000</v>
      </c>
      <c r="H76" s="160"/>
      <c r="I76" s="160"/>
      <c r="J76" s="160">
        <f>G76+H76</f>
        <v>11917000</v>
      </c>
      <c r="K76" s="160"/>
      <c r="L76" s="160"/>
      <c r="M76" s="160"/>
      <c r="N76" s="160">
        <f>N78</f>
        <v>12513000</v>
      </c>
      <c r="O76" s="160"/>
      <c r="P76" s="160">
        <f>N76</f>
        <v>12513000</v>
      </c>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row>
    <row r="77" spans="1:16" ht="12.75" hidden="1">
      <c r="A77" s="133" t="s">
        <v>183</v>
      </c>
      <c r="B77" s="8"/>
      <c r="C77" s="8"/>
      <c r="D77" s="131"/>
      <c r="E77" s="131"/>
      <c r="F77" s="131"/>
      <c r="G77" s="131"/>
      <c r="H77" s="131"/>
      <c r="I77" s="131"/>
      <c r="J77" s="131"/>
      <c r="K77" s="131"/>
      <c r="L77" s="131"/>
      <c r="M77" s="131"/>
      <c r="N77" s="131"/>
      <c r="O77" s="131"/>
      <c r="P77" s="131"/>
    </row>
    <row r="78" spans="1:16" ht="12.75" hidden="1">
      <c r="A78" s="134" t="s">
        <v>50</v>
      </c>
      <c r="B78" s="164"/>
      <c r="C78" s="164"/>
      <c r="D78" s="131">
        <f>11469000-9767100</f>
        <v>1701900</v>
      </c>
      <c r="E78" s="131"/>
      <c r="F78" s="131">
        <f>D78</f>
        <v>1701900</v>
      </c>
      <c r="G78" s="131">
        <v>11917000</v>
      </c>
      <c r="H78" s="131"/>
      <c r="I78" s="131"/>
      <c r="J78" s="131">
        <f>G78</f>
        <v>11917000</v>
      </c>
      <c r="K78" s="131"/>
      <c r="L78" s="131"/>
      <c r="M78" s="131"/>
      <c r="N78" s="131">
        <v>12513000</v>
      </c>
      <c r="O78" s="131"/>
      <c r="P78" s="131">
        <f>N78</f>
        <v>12513000</v>
      </c>
    </row>
    <row r="79" spans="1:16" ht="12.75" hidden="1">
      <c r="A79" s="133" t="s">
        <v>184</v>
      </c>
      <c r="B79" s="8"/>
      <c r="C79" s="8"/>
      <c r="D79" s="131"/>
      <c r="E79" s="131"/>
      <c r="F79" s="131"/>
      <c r="G79" s="131"/>
      <c r="H79" s="131"/>
      <c r="I79" s="131"/>
      <c r="J79" s="131"/>
      <c r="K79" s="131"/>
      <c r="L79" s="131"/>
      <c r="M79" s="131"/>
      <c r="N79" s="131"/>
      <c r="O79" s="131"/>
      <c r="P79" s="131"/>
    </row>
    <row r="80" spans="1:16" ht="12.75" hidden="1">
      <c r="A80" s="134" t="s">
        <v>145</v>
      </c>
      <c r="B80" s="8"/>
      <c r="C80" s="8"/>
      <c r="D80" s="161">
        <v>893300</v>
      </c>
      <c r="E80" s="131"/>
      <c r="F80" s="131">
        <f>D80</f>
        <v>893300</v>
      </c>
      <c r="G80" s="161">
        <v>893300</v>
      </c>
      <c r="H80" s="131"/>
      <c r="I80" s="131"/>
      <c r="J80" s="131">
        <f>G80</f>
        <v>893300</v>
      </c>
      <c r="K80" s="131"/>
      <c r="L80" s="131"/>
      <c r="M80" s="131"/>
      <c r="N80" s="161">
        <v>893300</v>
      </c>
      <c r="O80" s="131"/>
      <c r="P80" s="131">
        <f>N80</f>
        <v>893300</v>
      </c>
    </row>
    <row r="81" spans="1:16" ht="34.5" customHeight="1" hidden="1">
      <c r="A81" s="134" t="s">
        <v>51</v>
      </c>
      <c r="B81" s="164"/>
      <c r="C81" s="164"/>
      <c r="D81" s="131">
        <f>D78/D83</f>
        <v>2101.1111111111113</v>
      </c>
      <c r="E81" s="131"/>
      <c r="F81" s="131">
        <f>D81</f>
        <v>2101.1111111111113</v>
      </c>
      <c r="G81" s="131">
        <f>G78/G83</f>
        <v>13792.824074074075</v>
      </c>
      <c r="H81" s="131"/>
      <c r="I81" s="131"/>
      <c r="J81" s="131">
        <f>G81</f>
        <v>13792.824074074075</v>
      </c>
      <c r="K81" s="131"/>
      <c r="L81" s="131"/>
      <c r="M81" s="131"/>
      <c r="N81" s="131">
        <f>N78/N83</f>
        <v>13660.480349344978</v>
      </c>
      <c r="O81" s="131"/>
      <c r="P81" s="131">
        <f>N81</f>
        <v>13660.480349344978</v>
      </c>
    </row>
    <row r="82" spans="1:16" ht="12.75" hidden="1">
      <c r="A82" s="133" t="s">
        <v>186</v>
      </c>
      <c r="B82" s="8"/>
      <c r="C82" s="8"/>
      <c r="D82" s="131"/>
      <c r="E82" s="131"/>
      <c r="F82" s="131"/>
      <c r="G82" s="131"/>
      <c r="H82" s="131"/>
      <c r="I82" s="131"/>
      <c r="J82" s="131"/>
      <c r="K82" s="131"/>
      <c r="L82" s="131"/>
      <c r="M82" s="131"/>
      <c r="N82" s="131"/>
      <c r="O82" s="131"/>
      <c r="P82" s="131"/>
    </row>
    <row r="83" spans="1:16" ht="25.5" hidden="1">
      <c r="A83" s="134" t="s">
        <v>52</v>
      </c>
      <c r="B83" s="164"/>
      <c r="C83" s="164"/>
      <c r="D83" s="161">
        <v>810</v>
      </c>
      <c r="E83" s="161"/>
      <c r="F83" s="161">
        <f>D83</f>
        <v>810</v>
      </c>
      <c r="G83" s="161">
        <v>864</v>
      </c>
      <c r="H83" s="161"/>
      <c r="I83" s="161"/>
      <c r="J83" s="161">
        <f>G83</f>
        <v>864</v>
      </c>
      <c r="K83" s="161"/>
      <c r="L83" s="161"/>
      <c r="M83" s="161"/>
      <c r="N83" s="161">
        <v>916</v>
      </c>
      <c r="O83" s="161"/>
      <c r="P83" s="161">
        <f>N83</f>
        <v>916</v>
      </c>
    </row>
    <row r="84" spans="1:16" ht="12.75" hidden="1">
      <c r="A84" s="133" t="s">
        <v>185</v>
      </c>
      <c r="B84" s="8"/>
      <c r="C84" s="8"/>
      <c r="D84" s="131"/>
      <c r="E84" s="131"/>
      <c r="F84" s="131"/>
      <c r="G84" s="131"/>
      <c r="H84" s="131"/>
      <c r="I84" s="131"/>
      <c r="J84" s="131"/>
      <c r="K84" s="131"/>
      <c r="L84" s="131"/>
      <c r="M84" s="131"/>
      <c r="N84" s="131"/>
      <c r="O84" s="131"/>
      <c r="P84" s="131"/>
    </row>
    <row r="85" spans="1:16" ht="25.5" hidden="1">
      <c r="A85" s="134" t="s">
        <v>53</v>
      </c>
      <c r="B85" s="164"/>
      <c r="C85" s="164"/>
      <c r="D85" s="161">
        <f>D81/D80*100</f>
        <v>0.23520778138487758</v>
      </c>
      <c r="E85" s="131"/>
      <c r="F85" s="131">
        <f>F81/F80*100</f>
        <v>0.23520778138487758</v>
      </c>
      <c r="G85" s="131">
        <f>G81/G80*100</f>
        <v>1.5440304571895305</v>
      </c>
      <c r="H85" s="131"/>
      <c r="I85" s="131"/>
      <c r="J85" s="131">
        <f>J81/J80*100</f>
        <v>1.5440304571895305</v>
      </c>
      <c r="K85" s="131"/>
      <c r="L85" s="131"/>
      <c r="M85" s="131"/>
      <c r="N85" s="131">
        <f>N81/N80*100</f>
        <v>1.529215308333704</v>
      </c>
      <c r="O85" s="131"/>
      <c r="P85" s="131">
        <f>P81/P80*100</f>
        <v>1.529215308333704</v>
      </c>
    </row>
    <row r="86" spans="1:108" s="36" customFormat="1" ht="30.75" customHeight="1" hidden="1">
      <c r="A86" s="137" t="s">
        <v>154</v>
      </c>
      <c r="B86" s="162"/>
      <c r="C86" s="162"/>
      <c r="D86" s="160">
        <f>D88</f>
        <v>0</v>
      </c>
      <c r="E86" s="160"/>
      <c r="F86" s="160">
        <f>D86</f>
        <v>0</v>
      </c>
      <c r="G86" s="160">
        <f>G88</f>
        <v>0</v>
      </c>
      <c r="H86" s="160"/>
      <c r="I86" s="160"/>
      <c r="J86" s="160">
        <f>G86</f>
        <v>0</v>
      </c>
      <c r="K86" s="160"/>
      <c r="L86" s="160"/>
      <c r="M86" s="160"/>
      <c r="N86" s="160">
        <f>N88</f>
        <v>983100</v>
      </c>
      <c r="O86" s="160"/>
      <c r="P86" s="160">
        <f>N86</f>
        <v>983100</v>
      </c>
      <c r="CY86" s="37"/>
      <c r="CZ86" s="37"/>
      <c r="DA86" s="37"/>
      <c r="DB86" s="37"/>
      <c r="DC86" s="37"/>
      <c r="DD86" s="37"/>
    </row>
    <row r="87" spans="1:108" s="4" customFormat="1" ht="12.75" hidden="1">
      <c r="A87" s="133" t="s">
        <v>254</v>
      </c>
      <c r="B87" s="164"/>
      <c r="C87" s="164"/>
      <c r="D87" s="131"/>
      <c r="E87" s="131"/>
      <c r="F87" s="131"/>
      <c r="G87" s="131"/>
      <c r="H87" s="131"/>
      <c r="I87" s="131"/>
      <c r="J87" s="131"/>
      <c r="K87" s="131"/>
      <c r="L87" s="131"/>
      <c r="M87" s="131"/>
      <c r="N87" s="131"/>
      <c r="O87" s="131"/>
      <c r="P87" s="131"/>
      <c r="CY87" s="13"/>
      <c r="CZ87" s="13"/>
      <c r="DA87" s="13"/>
      <c r="DB87" s="13"/>
      <c r="DC87" s="13"/>
      <c r="DD87" s="13"/>
    </row>
    <row r="88" spans="1:108" s="4" customFormat="1" ht="37.5" customHeight="1" hidden="1">
      <c r="A88" s="134" t="s">
        <v>440</v>
      </c>
      <c r="B88" s="164"/>
      <c r="C88" s="164"/>
      <c r="D88" s="131">
        <f>894600-894600</f>
        <v>0</v>
      </c>
      <c r="E88" s="131"/>
      <c r="F88" s="131">
        <f>D88</f>
        <v>0</v>
      </c>
      <c r="G88" s="131">
        <f>936300-936300</f>
        <v>0</v>
      </c>
      <c r="H88" s="131"/>
      <c r="I88" s="131"/>
      <c r="J88" s="131">
        <f>G88</f>
        <v>0</v>
      </c>
      <c r="K88" s="131"/>
      <c r="L88" s="131"/>
      <c r="M88" s="131"/>
      <c r="N88" s="131">
        <v>983100</v>
      </c>
      <c r="O88" s="131"/>
      <c r="P88" s="131">
        <f>N88</f>
        <v>983100</v>
      </c>
      <c r="CY88" s="13"/>
      <c r="CZ88" s="13"/>
      <c r="DA88" s="13"/>
      <c r="DB88" s="13"/>
      <c r="DC88" s="13"/>
      <c r="DD88" s="13"/>
    </row>
    <row r="89" spans="1:108" s="4" customFormat="1" ht="12.75" hidden="1">
      <c r="A89" s="133" t="s">
        <v>376</v>
      </c>
      <c r="B89" s="164"/>
      <c r="C89" s="164"/>
      <c r="D89" s="131"/>
      <c r="E89" s="131"/>
      <c r="F89" s="131"/>
      <c r="G89" s="131"/>
      <c r="H89" s="131"/>
      <c r="I89" s="131"/>
      <c r="J89" s="131"/>
      <c r="K89" s="131"/>
      <c r="L89" s="131"/>
      <c r="M89" s="131"/>
      <c r="N89" s="131"/>
      <c r="O89" s="131"/>
      <c r="P89" s="131"/>
      <c r="CY89" s="13"/>
      <c r="CZ89" s="13"/>
      <c r="DA89" s="13"/>
      <c r="DB89" s="13"/>
      <c r="DC89" s="13"/>
      <c r="DD89" s="13"/>
    </row>
    <row r="90" spans="1:108" s="4" customFormat="1" ht="19.5" customHeight="1" hidden="1">
      <c r="A90" s="135" t="s">
        <v>442</v>
      </c>
      <c r="B90" s="164"/>
      <c r="C90" s="164"/>
      <c r="D90" s="166">
        <v>0</v>
      </c>
      <c r="E90" s="166"/>
      <c r="F90" s="166">
        <f>D90</f>
        <v>0</v>
      </c>
      <c r="G90" s="166">
        <f>G88/G92</f>
        <v>0</v>
      </c>
      <c r="H90" s="166"/>
      <c r="I90" s="166"/>
      <c r="J90" s="166">
        <f>G90</f>
        <v>0</v>
      </c>
      <c r="K90" s="166"/>
      <c r="L90" s="166"/>
      <c r="M90" s="166"/>
      <c r="N90" s="166">
        <f>N88/N92</f>
        <v>16.342474158493907</v>
      </c>
      <c r="O90" s="166"/>
      <c r="P90" s="166">
        <f>N90</f>
        <v>16.342474158493907</v>
      </c>
      <c r="CY90" s="13"/>
      <c r="CZ90" s="13"/>
      <c r="DA90" s="13"/>
      <c r="DB90" s="13"/>
      <c r="DC90" s="13"/>
      <c r="DD90" s="13"/>
    </row>
    <row r="91" spans="1:108" s="4" customFormat="1" ht="12.75" hidden="1">
      <c r="A91" s="133" t="s">
        <v>372</v>
      </c>
      <c r="B91" s="164"/>
      <c r="C91" s="164"/>
      <c r="D91" s="131"/>
      <c r="E91" s="131"/>
      <c r="F91" s="131"/>
      <c r="G91" s="131"/>
      <c r="H91" s="131"/>
      <c r="I91" s="131"/>
      <c r="J91" s="131"/>
      <c r="K91" s="131"/>
      <c r="L91" s="131"/>
      <c r="M91" s="131"/>
      <c r="N91" s="131"/>
      <c r="O91" s="131"/>
      <c r="P91" s="131"/>
      <c r="CY91" s="13"/>
      <c r="CZ91" s="13"/>
      <c r="DA91" s="13"/>
      <c r="DB91" s="13"/>
      <c r="DC91" s="13"/>
      <c r="DD91" s="13"/>
    </row>
    <row r="92" spans="1:108" s="4" customFormat="1" ht="33" customHeight="1" hidden="1">
      <c r="A92" s="134" t="s">
        <v>441</v>
      </c>
      <c r="B92" s="164"/>
      <c r="C92" s="164"/>
      <c r="D92" s="131" t="e">
        <f>D88/D90</f>
        <v>#DIV/0!</v>
      </c>
      <c r="E92" s="131"/>
      <c r="F92" s="131" t="e">
        <f>D92</f>
        <v>#DIV/0!</v>
      </c>
      <c r="G92" s="131">
        <v>56751.06</v>
      </c>
      <c r="H92" s="131"/>
      <c r="I92" s="131"/>
      <c r="J92" s="131">
        <f>G92</f>
        <v>56751.06</v>
      </c>
      <c r="K92" s="131"/>
      <c r="L92" s="131"/>
      <c r="M92" s="131"/>
      <c r="N92" s="131">
        <v>60156.13</v>
      </c>
      <c r="O92" s="131"/>
      <c r="P92" s="131">
        <f>N92</f>
        <v>60156.13</v>
      </c>
      <c r="CY92" s="13"/>
      <c r="CZ92" s="13"/>
      <c r="DA92" s="13"/>
      <c r="DB92" s="13"/>
      <c r="DC92" s="13"/>
      <c r="DD92" s="13"/>
    </row>
    <row r="93" spans="1:102" s="11" customFormat="1" ht="27" customHeight="1" hidden="1">
      <c r="A93" s="137" t="s">
        <v>155</v>
      </c>
      <c r="B93" s="159"/>
      <c r="C93" s="159"/>
      <c r="D93" s="160">
        <f>2191700-1824000</f>
        <v>367700</v>
      </c>
      <c r="E93" s="160">
        <f>21340000-18540000</f>
        <v>2800000</v>
      </c>
      <c r="F93" s="160">
        <f>E93+D93</f>
        <v>3167700</v>
      </c>
      <c r="G93" s="160">
        <v>2323100</v>
      </c>
      <c r="H93" s="160">
        <v>22620000</v>
      </c>
      <c r="I93" s="160"/>
      <c r="J93" s="160">
        <f>G93+H93</f>
        <v>24943100</v>
      </c>
      <c r="K93" s="160"/>
      <c r="L93" s="160"/>
      <c r="M93" s="160"/>
      <c r="N93" s="160">
        <v>2440000</v>
      </c>
      <c r="O93" s="160">
        <v>23751000</v>
      </c>
      <c r="P93" s="160">
        <f>O93+N93</f>
        <v>26191000</v>
      </c>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row>
    <row r="94" spans="1:16" ht="12.75" hidden="1">
      <c r="A94" s="133" t="s">
        <v>183</v>
      </c>
      <c r="B94" s="8"/>
      <c r="C94" s="8"/>
      <c r="D94" s="131"/>
      <c r="E94" s="131"/>
      <c r="F94" s="131"/>
      <c r="G94" s="131"/>
      <c r="H94" s="131"/>
      <c r="I94" s="131"/>
      <c r="J94" s="131"/>
      <c r="K94" s="131"/>
      <c r="L94" s="131"/>
      <c r="M94" s="131"/>
      <c r="N94" s="131"/>
      <c r="O94" s="131"/>
      <c r="P94" s="131"/>
    </row>
    <row r="95" spans="1:16" ht="12.75" hidden="1">
      <c r="A95" s="134" t="s">
        <v>285</v>
      </c>
      <c r="B95" s="164"/>
      <c r="C95" s="164"/>
      <c r="D95" s="166">
        <v>4</v>
      </c>
      <c r="E95" s="166">
        <v>2</v>
      </c>
      <c r="F95" s="166">
        <f>E95+D95</f>
        <v>6</v>
      </c>
      <c r="G95" s="166">
        <v>4</v>
      </c>
      <c r="H95" s="166">
        <v>2</v>
      </c>
      <c r="I95" s="166"/>
      <c r="J95" s="166">
        <f>G95+H95</f>
        <v>6</v>
      </c>
      <c r="K95" s="166"/>
      <c r="L95" s="166"/>
      <c r="M95" s="166"/>
      <c r="N95" s="166">
        <f>N97</f>
        <v>4</v>
      </c>
      <c r="O95" s="166">
        <v>2</v>
      </c>
      <c r="P95" s="166">
        <f>O95+N95</f>
        <v>6</v>
      </c>
    </row>
    <row r="96" spans="1:16" ht="12.75" hidden="1">
      <c r="A96" s="133" t="s">
        <v>184</v>
      </c>
      <c r="B96" s="8"/>
      <c r="C96" s="8"/>
      <c r="D96" s="166"/>
      <c r="E96" s="166"/>
      <c r="F96" s="166"/>
      <c r="G96" s="166"/>
      <c r="H96" s="166"/>
      <c r="I96" s="166"/>
      <c r="J96" s="166"/>
      <c r="K96" s="166"/>
      <c r="L96" s="166"/>
      <c r="M96" s="166"/>
      <c r="N96" s="166"/>
      <c r="O96" s="166"/>
      <c r="P96" s="166"/>
    </row>
    <row r="97" spans="1:16" ht="12.75" hidden="1">
      <c r="A97" s="134" t="s">
        <v>423</v>
      </c>
      <c r="B97" s="164"/>
      <c r="C97" s="164"/>
      <c r="D97" s="166">
        <v>4</v>
      </c>
      <c r="E97" s="166">
        <v>2</v>
      </c>
      <c r="F97" s="166">
        <f>E97+D97</f>
        <v>6</v>
      </c>
      <c r="G97" s="166">
        <f>G93/G99</f>
        <v>3.728958296213898</v>
      </c>
      <c r="H97" s="166">
        <v>2</v>
      </c>
      <c r="I97" s="166"/>
      <c r="J97" s="166">
        <f>G97+H97</f>
        <v>5.728958296213898</v>
      </c>
      <c r="K97" s="166"/>
      <c r="L97" s="166"/>
      <c r="M97" s="166"/>
      <c r="N97" s="166">
        <f>N93/N99</f>
        <v>4</v>
      </c>
      <c r="O97" s="166">
        <v>2</v>
      </c>
      <c r="P97" s="166">
        <f>O97+N97</f>
        <v>6</v>
      </c>
    </row>
    <row r="98" spans="1:16" ht="12.75" hidden="1">
      <c r="A98" s="133" t="s">
        <v>186</v>
      </c>
      <c r="B98" s="8"/>
      <c r="C98" s="8"/>
      <c r="D98" s="131"/>
      <c r="E98" s="131"/>
      <c r="F98" s="131"/>
      <c r="G98" s="131"/>
      <c r="H98" s="131"/>
      <c r="I98" s="131"/>
      <c r="J98" s="131"/>
      <c r="K98" s="131"/>
      <c r="L98" s="131"/>
      <c r="M98" s="131"/>
      <c r="N98" s="131"/>
      <c r="O98" s="131"/>
      <c r="P98" s="131"/>
    </row>
    <row r="99" spans="1:16" ht="12.75" hidden="1">
      <c r="A99" s="138" t="s">
        <v>278</v>
      </c>
      <c r="B99" s="162"/>
      <c r="C99" s="162"/>
      <c r="D99" s="161">
        <v>587725</v>
      </c>
      <c r="E99" s="161">
        <f>E93/E97</f>
        <v>1400000</v>
      </c>
      <c r="F99" s="161">
        <f>E99+D99</f>
        <v>1987725</v>
      </c>
      <c r="G99" s="161">
        <v>622989</v>
      </c>
      <c r="H99" s="161">
        <f>H93/H97</f>
        <v>11310000</v>
      </c>
      <c r="I99" s="161"/>
      <c r="J99" s="161">
        <f>G99+H99</f>
        <v>11932989</v>
      </c>
      <c r="K99" s="161"/>
      <c r="L99" s="161"/>
      <c r="M99" s="161"/>
      <c r="N99" s="161">
        <v>610000</v>
      </c>
      <c r="O99" s="161">
        <f>O93/O97</f>
        <v>11875500</v>
      </c>
      <c r="P99" s="161">
        <f>N99+O99</f>
        <v>12485500</v>
      </c>
    </row>
    <row r="100" spans="1:16" ht="12.75" hidden="1">
      <c r="A100" s="139" t="s">
        <v>185</v>
      </c>
      <c r="B100" s="158"/>
      <c r="C100" s="158"/>
      <c r="D100" s="161"/>
      <c r="E100" s="161"/>
      <c r="F100" s="161"/>
      <c r="G100" s="161"/>
      <c r="H100" s="161"/>
      <c r="I100" s="161"/>
      <c r="J100" s="161"/>
      <c r="K100" s="161"/>
      <c r="L100" s="161"/>
      <c r="M100" s="161"/>
      <c r="N100" s="161"/>
      <c r="O100" s="161"/>
      <c r="P100" s="161"/>
    </row>
    <row r="101" spans="1:16" ht="12.75" hidden="1">
      <c r="A101" s="138" t="s">
        <v>286</v>
      </c>
      <c r="B101" s="162"/>
      <c r="C101" s="162"/>
      <c r="D101" s="161">
        <f>D97/D95*100</f>
        <v>100</v>
      </c>
      <c r="E101" s="161">
        <f>E97/E95*100</f>
        <v>100</v>
      </c>
      <c r="F101" s="161">
        <f>F97/F95*100</f>
        <v>100</v>
      </c>
      <c r="G101" s="161">
        <v>100</v>
      </c>
      <c r="H101" s="161">
        <f>H97/H95*100</f>
        <v>100</v>
      </c>
      <c r="I101" s="161"/>
      <c r="J101" s="161">
        <v>100</v>
      </c>
      <c r="K101" s="161"/>
      <c r="L101" s="161"/>
      <c r="M101" s="161"/>
      <c r="N101" s="161">
        <f>N97/N95*100</f>
        <v>100</v>
      </c>
      <c r="O101" s="161">
        <f>O97/O95*100</f>
        <v>100</v>
      </c>
      <c r="P101" s="161">
        <f>P97/P95*100</f>
        <v>100</v>
      </c>
    </row>
    <row r="102" spans="1:108" s="36" customFormat="1" ht="30" customHeight="1" hidden="1">
      <c r="A102" s="137" t="s">
        <v>156</v>
      </c>
      <c r="B102" s="162"/>
      <c r="C102" s="162"/>
      <c r="D102" s="160">
        <f>D104</f>
        <v>1195000</v>
      </c>
      <c r="E102" s="160">
        <f aca="true" t="shared" si="7" ref="E102:P102">E104</f>
        <v>0</v>
      </c>
      <c r="F102" s="160">
        <f t="shared" si="7"/>
        <v>1195000</v>
      </c>
      <c r="G102" s="160">
        <f t="shared" si="7"/>
        <v>2136300</v>
      </c>
      <c r="H102" s="160">
        <f t="shared" si="7"/>
        <v>2827600</v>
      </c>
      <c r="I102" s="160">
        <f t="shared" si="7"/>
        <v>0</v>
      </c>
      <c r="J102" s="160">
        <f t="shared" si="7"/>
        <v>4963900</v>
      </c>
      <c r="K102" s="160">
        <f t="shared" si="7"/>
        <v>0</v>
      </c>
      <c r="L102" s="160">
        <f t="shared" si="7"/>
        <v>0</v>
      </c>
      <c r="M102" s="160">
        <f t="shared" si="7"/>
        <v>0</v>
      </c>
      <c r="N102" s="160">
        <f t="shared" si="7"/>
        <v>1300000</v>
      </c>
      <c r="O102" s="160">
        <f t="shared" si="7"/>
        <v>2969000</v>
      </c>
      <c r="P102" s="160">
        <f t="shared" si="7"/>
        <v>4269000</v>
      </c>
      <c r="CY102" s="37"/>
      <c r="CZ102" s="37"/>
      <c r="DA102" s="37"/>
      <c r="DB102" s="37"/>
      <c r="DC102" s="37"/>
      <c r="DD102" s="37"/>
    </row>
    <row r="103" spans="1:108" s="36" customFormat="1" ht="17.25" customHeight="1" hidden="1">
      <c r="A103" s="139" t="s">
        <v>254</v>
      </c>
      <c r="B103" s="162"/>
      <c r="C103" s="162"/>
      <c r="D103" s="161"/>
      <c r="E103" s="161"/>
      <c r="F103" s="161"/>
      <c r="G103" s="161"/>
      <c r="H103" s="161"/>
      <c r="I103" s="161"/>
      <c r="J103" s="161"/>
      <c r="K103" s="161"/>
      <c r="L103" s="161"/>
      <c r="M103" s="161"/>
      <c r="N103" s="161"/>
      <c r="O103" s="161"/>
      <c r="P103" s="161"/>
      <c r="CY103" s="37"/>
      <c r="CZ103" s="37"/>
      <c r="DA103" s="37"/>
      <c r="DB103" s="37"/>
      <c r="DC103" s="37"/>
      <c r="DD103" s="37"/>
    </row>
    <row r="104" spans="1:108" s="36" customFormat="1" ht="25.5" hidden="1">
      <c r="A104" s="138" t="s">
        <v>138</v>
      </c>
      <c r="B104" s="162"/>
      <c r="C104" s="162"/>
      <c r="D104" s="161">
        <f>1100000+340000-245000</f>
        <v>1195000</v>
      </c>
      <c r="E104" s="161">
        <f>2667500-2667500</f>
        <v>0</v>
      </c>
      <c r="F104" s="161">
        <f>D104+E104</f>
        <v>1195000</v>
      </c>
      <c r="G104" s="161">
        <f>1200000+936300</f>
        <v>2136300</v>
      </c>
      <c r="H104" s="161">
        <v>2827600</v>
      </c>
      <c r="I104" s="161"/>
      <c r="J104" s="161">
        <f>G104+H104</f>
        <v>4963900</v>
      </c>
      <c r="K104" s="161"/>
      <c r="L104" s="161"/>
      <c r="M104" s="161"/>
      <c r="N104" s="161">
        <v>1300000</v>
      </c>
      <c r="O104" s="161">
        <v>2969000</v>
      </c>
      <c r="P104" s="161">
        <f>N104+O104</f>
        <v>4269000</v>
      </c>
      <c r="CY104" s="37"/>
      <c r="CZ104" s="37"/>
      <c r="DA104" s="37"/>
      <c r="DB104" s="37"/>
      <c r="DC104" s="37"/>
      <c r="DD104" s="37"/>
    </row>
    <row r="105" spans="1:108" s="36" customFormat="1" ht="12.75" hidden="1">
      <c r="A105" s="139" t="s">
        <v>376</v>
      </c>
      <c r="B105" s="162"/>
      <c r="C105" s="162"/>
      <c r="D105" s="161"/>
      <c r="E105" s="161"/>
      <c r="F105" s="161"/>
      <c r="G105" s="161"/>
      <c r="H105" s="161"/>
      <c r="I105" s="161"/>
      <c r="J105" s="161"/>
      <c r="K105" s="161"/>
      <c r="L105" s="161"/>
      <c r="M105" s="161"/>
      <c r="N105" s="161"/>
      <c r="O105" s="161"/>
      <c r="P105" s="161"/>
      <c r="CY105" s="37"/>
      <c r="CZ105" s="37"/>
      <c r="DA105" s="37"/>
      <c r="DB105" s="37"/>
      <c r="DC105" s="37"/>
      <c r="DD105" s="37"/>
    </row>
    <row r="106" spans="1:108" s="36" customFormat="1" ht="24" customHeight="1" hidden="1">
      <c r="A106" s="165" t="s">
        <v>438</v>
      </c>
      <c r="B106" s="162"/>
      <c r="C106" s="162"/>
      <c r="D106" s="169">
        <f>D104/D108+0.05</f>
        <v>12</v>
      </c>
      <c r="E106" s="169">
        <v>0</v>
      </c>
      <c r="F106" s="169">
        <f>D106+E106</f>
        <v>12</v>
      </c>
      <c r="G106" s="169">
        <v>11</v>
      </c>
      <c r="H106" s="169">
        <v>5</v>
      </c>
      <c r="I106" s="169"/>
      <c r="J106" s="169">
        <f>G106+H106</f>
        <v>16</v>
      </c>
      <c r="K106" s="169"/>
      <c r="L106" s="169"/>
      <c r="M106" s="169"/>
      <c r="N106" s="169">
        <v>11</v>
      </c>
      <c r="O106" s="169">
        <v>5</v>
      </c>
      <c r="P106" s="169">
        <f>N106+O106</f>
        <v>16</v>
      </c>
      <c r="CY106" s="37"/>
      <c r="CZ106" s="37"/>
      <c r="DA106" s="37"/>
      <c r="DB106" s="37"/>
      <c r="DC106" s="37"/>
      <c r="DD106" s="37"/>
    </row>
    <row r="107" spans="1:108" s="4" customFormat="1" ht="12.75" hidden="1">
      <c r="A107" s="133" t="s">
        <v>372</v>
      </c>
      <c r="B107" s="164"/>
      <c r="C107" s="164"/>
      <c r="D107" s="131"/>
      <c r="E107" s="131"/>
      <c r="F107" s="131"/>
      <c r="G107" s="131"/>
      <c r="H107" s="131"/>
      <c r="I107" s="131"/>
      <c r="J107" s="131"/>
      <c r="K107" s="131"/>
      <c r="L107" s="131"/>
      <c r="M107" s="131"/>
      <c r="N107" s="131"/>
      <c r="O107" s="131"/>
      <c r="P107" s="131"/>
      <c r="CY107" s="13"/>
      <c r="CZ107" s="13"/>
      <c r="DA107" s="13"/>
      <c r="DB107" s="13"/>
      <c r="DC107" s="13"/>
      <c r="DD107" s="13"/>
    </row>
    <row r="108" spans="1:108" s="4" customFormat="1" ht="25.5" hidden="1">
      <c r="A108" s="134" t="s">
        <v>439</v>
      </c>
      <c r="B108" s="164"/>
      <c r="C108" s="164"/>
      <c r="D108" s="131">
        <v>100000</v>
      </c>
      <c r="E108" s="131" t="e">
        <f>E104/E106</f>
        <v>#DIV/0!</v>
      </c>
      <c r="F108" s="131">
        <f>D108</f>
        <v>100000</v>
      </c>
      <c r="G108" s="131">
        <f>G104/G106</f>
        <v>194209.0909090909</v>
      </c>
      <c r="H108" s="131">
        <f>H104/H106</f>
        <v>565520</v>
      </c>
      <c r="I108" s="131"/>
      <c r="J108" s="131">
        <f>G108+H108</f>
        <v>759729.0909090909</v>
      </c>
      <c r="K108" s="131"/>
      <c r="L108" s="131"/>
      <c r="M108" s="131"/>
      <c r="N108" s="131">
        <f>N104/N106</f>
        <v>118181.81818181818</v>
      </c>
      <c r="O108" s="131">
        <f>O104/O106</f>
        <v>593800</v>
      </c>
      <c r="P108" s="131">
        <f>N108+O108</f>
        <v>711981.8181818181</v>
      </c>
      <c r="CY108" s="13"/>
      <c r="CZ108" s="13"/>
      <c r="DA108" s="13"/>
      <c r="DB108" s="13"/>
      <c r="DC108" s="13"/>
      <c r="DD108" s="13"/>
    </row>
    <row r="109" spans="1:102" s="51" customFormat="1" ht="29.25" customHeight="1" hidden="1">
      <c r="A109" s="137" t="s">
        <v>157</v>
      </c>
      <c r="B109" s="159"/>
      <c r="C109" s="159"/>
      <c r="D109" s="160"/>
      <c r="E109" s="160">
        <f>(E114*E117)+(E115*E118)</f>
        <v>1588399.99999525</v>
      </c>
      <c r="F109" s="160">
        <f>E109</f>
        <v>1588399.99999525</v>
      </c>
      <c r="G109" s="160"/>
      <c r="H109" s="160">
        <f>(H114*H117)+(H115*H118)</f>
        <v>21117000.00079608</v>
      </c>
      <c r="I109" s="160"/>
      <c r="J109" s="160">
        <f>H109</f>
        <v>21117000.00079608</v>
      </c>
      <c r="K109" s="160">
        <f aca="true" t="shared" si="8" ref="K109:P109">(K114*K117)+(K115*K118)</f>
        <v>0</v>
      </c>
      <c r="L109" s="160">
        <f t="shared" si="8"/>
        <v>0</v>
      </c>
      <c r="M109" s="160">
        <f t="shared" si="8"/>
        <v>0</v>
      </c>
      <c r="N109" s="160"/>
      <c r="O109" s="160">
        <f>(O114*O117)+(O115*O118)</f>
        <v>21922999.999396082</v>
      </c>
      <c r="P109" s="160">
        <f t="shared" si="8"/>
        <v>21922999.999396082</v>
      </c>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row>
    <row r="110" spans="1:16" ht="13.5" hidden="1">
      <c r="A110" s="133" t="s">
        <v>183</v>
      </c>
      <c r="B110" s="164"/>
      <c r="C110" s="164"/>
      <c r="D110" s="131"/>
      <c r="E110" s="131"/>
      <c r="F110" s="131"/>
      <c r="G110" s="131"/>
      <c r="H110" s="131"/>
      <c r="I110" s="131"/>
      <c r="J110" s="163"/>
      <c r="K110" s="131"/>
      <c r="L110" s="131"/>
      <c r="M110" s="131"/>
      <c r="N110" s="131"/>
      <c r="O110" s="131"/>
      <c r="P110" s="131"/>
    </row>
    <row r="111" spans="1:16" ht="31.5" customHeight="1" hidden="1">
      <c r="A111" s="134" t="s">
        <v>54</v>
      </c>
      <c r="B111" s="164"/>
      <c r="C111" s="164"/>
      <c r="D111" s="131"/>
      <c r="E111" s="131">
        <v>380000</v>
      </c>
      <c r="F111" s="131">
        <f>E111</f>
        <v>380000</v>
      </c>
      <c r="G111" s="131"/>
      <c r="H111" s="131">
        <f>E111</f>
        <v>380000</v>
      </c>
      <c r="I111" s="131"/>
      <c r="J111" s="131">
        <f aca="true" t="shared" si="9" ref="J111:J117">H111</f>
        <v>380000</v>
      </c>
      <c r="K111" s="131"/>
      <c r="L111" s="131"/>
      <c r="M111" s="131"/>
      <c r="N111" s="131"/>
      <c r="O111" s="131">
        <f>H111</f>
        <v>380000</v>
      </c>
      <c r="P111" s="131">
        <f>O111</f>
        <v>380000</v>
      </c>
    </row>
    <row r="112" spans="1:16" ht="12.75" hidden="1">
      <c r="A112" s="134" t="s">
        <v>247</v>
      </c>
      <c r="B112" s="164"/>
      <c r="C112" s="164"/>
      <c r="D112" s="131"/>
      <c r="E112" s="131">
        <v>76000</v>
      </c>
      <c r="F112" s="131">
        <f>E112</f>
        <v>76000</v>
      </c>
      <c r="G112" s="131"/>
      <c r="H112" s="131">
        <f>E112</f>
        <v>76000</v>
      </c>
      <c r="I112" s="131"/>
      <c r="J112" s="131">
        <f>H112</f>
        <v>76000</v>
      </c>
      <c r="K112" s="131"/>
      <c r="L112" s="131"/>
      <c r="M112" s="131"/>
      <c r="N112" s="131"/>
      <c r="O112" s="131">
        <f>H112</f>
        <v>76000</v>
      </c>
      <c r="P112" s="131">
        <f>O112</f>
        <v>76000</v>
      </c>
    </row>
    <row r="113" spans="1:16" ht="12.75" hidden="1">
      <c r="A113" s="133" t="s">
        <v>184</v>
      </c>
      <c r="B113" s="164"/>
      <c r="C113" s="164"/>
      <c r="D113" s="131"/>
      <c r="E113" s="131"/>
      <c r="F113" s="131"/>
      <c r="G113" s="131"/>
      <c r="H113" s="131"/>
      <c r="I113" s="131"/>
      <c r="J113" s="131"/>
      <c r="K113" s="131"/>
      <c r="L113" s="131"/>
      <c r="M113" s="131"/>
      <c r="N113" s="131"/>
      <c r="O113" s="131"/>
      <c r="P113" s="131"/>
    </row>
    <row r="114" spans="1:16" ht="27" customHeight="1" hidden="1">
      <c r="A114" s="134" t="s">
        <v>55</v>
      </c>
      <c r="B114" s="164"/>
      <c r="C114" s="164"/>
      <c r="D114" s="131"/>
      <c r="E114" s="131"/>
      <c r="F114" s="131">
        <f>E114</f>
        <v>0</v>
      </c>
      <c r="G114" s="131"/>
      <c r="H114" s="131">
        <v>1483.7</v>
      </c>
      <c r="I114" s="131"/>
      <c r="J114" s="131">
        <f t="shared" si="9"/>
        <v>1483.7</v>
      </c>
      <c r="K114" s="131"/>
      <c r="L114" s="131"/>
      <c r="M114" s="131"/>
      <c r="N114" s="131"/>
      <c r="O114" s="131">
        <v>1557.99473</v>
      </c>
      <c r="P114" s="131">
        <f>O114</f>
        <v>1557.99473</v>
      </c>
    </row>
    <row r="115" spans="1:16" ht="12.75" hidden="1">
      <c r="A115" s="134" t="s">
        <v>248</v>
      </c>
      <c r="B115" s="164"/>
      <c r="C115" s="164"/>
      <c r="D115" s="131"/>
      <c r="E115" s="131">
        <v>2599.67266775</v>
      </c>
      <c r="F115" s="131">
        <f>E115</f>
        <v>2599.67266775</v>
      </c>
      <c r="G115" s="131"/>
      <c r="H115" s="131">
        <f>21712.1821+7716.04938271</f>
        <v>29428.23148271</v>
      </c>
      <c r="I115" s="131"/>
      <c r="J115" s="131">
        <f>H115</f>
        <v>29428.23148271</v>
      </c>
      <c r="K115" s="131"/>
      <c r="L115" s="131"/>
      <c r="M115" s="131"/>
      <c r="N115" s="131"/>
      <c r="O115" s="131">
        <f>22797.789+7716.04938271</f>
        <v>30513.83838271</v>
      </c>
      <c r="P115" s="131">
        <f>O115</f>
        <v>30513.83838271</v>
      </c>
    </row>
    <row r="116" spans="1:16" ht="12.75" hidden="1">
      <c r="A116" s="133" t="s">
        <v>186</v>
      </c>
      <c r="B116" s="164"/>
      <c r="C116" s="164"/>
      <c r="D116" s="131"/>
      <c r="E116" s="131"/>
      <c r="F116" s="131"/>
      <c r="G116" s="131"/>
      <c r="H116" s="131"/>
      <c r="I116" s="131"/>
      <c r="J116" s="131"/>
      <c r="K116" s="131"/>
      <c r="L116" s="131"/>
      <c r="M116" s="131"/>
      <c r="N116" s="131"/>
      <c r="O116" s="131"/>
      <c r="P116" s="131"/>
    </row>
    <row r="117" spans="1:16" ht="22.5" customHeight="1" hidden="1">
      <c r="A117" s="134" t="s">
        <v>56</v>
      </c>
      <c r="B117" s="167"/>
      <c r="C117" s="167"/>
      <c r="D117" s="131"/>
      <c r="E117" s="131">
        <v>0</v>
      </c>
      <c r="F117" s="131">
        <f>E117</f>
        <v>0</v>
      </c>
      <c r="G117" s="131"/>
      <c r="H117" s="131">
        <v>1380</v>
      </c>
      <c r="I117" s="131"/>
      <c r="J117" s="131">
        <f t="shared" si="9"/>
        <v>1380</v>
      </c>
      <c r="K117" s="131"/>
      <c r="L117" s="131"/>
      <c r="M117" s="131"/>
      <c r="N117" s="131"/>
      <c r="O117" s="131">
        <v>1380</v>
      </c>
      <c r="P117" s="131">
        <f>O117</f>
        <v>1380</v>
      </c>
    </row>
    <row r="118" spans="1:16" ht="12.75" hidden="1">
      <c r="A118" s="134" t="s">
        <v>250</v>
      </c>
      <c r="B118" s="167"/>
      <c r="C118" s="167"/>
      <c r="D118" s="131"/>
      <c r="E118" s="131">
        <v>611</v>
      </c>
      <c r="F118" s="131">
        <f>E118</f>
        <v>611</v>
      </c>
      <c r="G118" s="131"/>
      <c r="H118" s="131">
        <v>648</v>
      </c>
      <c r="I118" s="131"/>
      <c r="J118" s="131">
        <f>H118</f>
        <v>648</v>
      </c>
      <c r="K118" s="131"/>
      <c r="L118" s="131"/>
      <c r="M118" s="131"/>
      <c r="N118" s="131"/>
      <c r="O118" s="131">
        <v>648</v>
      </c>
      <c r="P118" s="131">
        <f>O118</f>
        <v>648</v>
      </c>
    </row>
    <row r="119" spans="1:16" ht="13.5" hidden="1">
      <c r="A119" s="133" t="s">
        <v>185</v>
      </c>
      <c r="B119" s="167"/>
      <c r="C119" s="167"/>
      <c r="D119" s="131"/>
      <c r="E119" s="131"/>
      <c r="F119" s="131"/>
      <c r="G119" s="131"/>
      <c r="H119" s="131"/>
      <c r="I119" s="131"/>
      <c r="J119" s="163"/>
      <c r="K119" s="131"/>
      <c r="L119" s="131"/>
      <c r="M119" s="131"/>
      <c r="N119" s="131"/>
      <c r="O119" s="131"/>
      <c r="P119" s="131"/>
    </row>
    <row r="120" spans="1:16" ht="25.5" hidden="1">
      <c r="A120" s="134" t="s">
        <v>57</v>
      </c>
      <c r="B120" s="167"/>
      <c r="C120" s="167"/>
      <c r="D120" s="131"/>
      <c r="E120" s="131">
        <f>E114/E111*100</f>
        <v>0</v>
      </c>
      <c r="F120" s="131">
        <f aca="true" t="shared" si="10" ref="F120:P120">F114/F111*100</f>
        <v>0</v>
      </c>
      <c r="G120" s="131"/>
      <c r="H120" s="131">
        <f t="shared" si="10"/>
        <v>0.3904473684210526</v>
      </c>
      <c r="I120" s="131"/>
      <c r="J120" s="131">
        <f t="shared" si="10"/>
        <v>0.3904473684210526</v>
      </c>
      <c r="K120" s="131" t="e">
        <f t="shared" si="10"/>
        <v>#DIV/0!</v>
      </c>
      <c r="L120" s="131" t="e">
        <f t="shared" si="10"/>
        <v>#DIV/0!</v>
      </c>
      <c r="M120" s="131" t="e">
        <f t="shared" si="10"/>
        <v>#DIV/0!</v>
      </c>
      <c r="N120" s="131"/>
      <c r="O120" s="131">
        <f t="shared" si="10"/>
        <v>0.4099986131578947</v>
      </c>
      <c r="P120" s="131">
        <f t="shared" si="10"/>
        <v>0.4099986131578947</v>
      </c>
    </row>
    <row r="121" spans="1:16" ht="25.5" hidden="1">
      <c r="A121" s="134" t="s">
        <v>249</v>
      </c>
      <c r="B121" s="167"/>
      <c r="C121" s="167"/>
      <c r="D121" s="131"/>
      <c r="E121" s="131">
        <f>E115/E112*100</f>
        <v>3.42062193125</v>
      </c>
      <c r="F121" s="131">
        <f aca="true" t="shared" si="11" ref="F121:P121">F115/F112*100</f>
        <v>3.42062193125</v>
      </c>
      <c r="G121" s="131"/>
      <c r="H121" s="131">
        <f>H115/H112*100</f>
        <v>38.72135721409211</v>
      </c>
      <c r="I121" s="131"/>
      <c r="J121" s="131">
        <f t="shared" si="11"/>
        <v>38.72135721409211</v>
      </c>
      <c r="K121" s="131" t="e">
        <f t="shared" si="11"/>
        <v>#DIV/0!</v>
      </c>
      <c r="L121" s="131" t="e">
        <f t="shared" si="11"/>
        <v>#DIV/0!</v>
      </c>
      <c r="M121" s="131" t="e">
        <f t="shared" si="11"/>
        <v>#DIV/0!</v>
      </c>
      <c r="N121" s="131"/>
      <c r="O121" s="131">
        <f t="shared" si="11"/>
        <v>40.14978734567105</v>
      </c>
      <c r="P121" s="131">
        <f t="shared" si="11"/>
        <v>40.14978734567105</v>
      </c>
    </row>
    <row r="122" spans="1:108" s="36" customFormat="1" ht="30.75" customHeight="1" hidden="1">
      <c r="A122" s="137" t="s">
        <v>158</v>
      </c>
      <c r="B122" s="162"/>
      <c r="C122" s="162"/>
      <c r="D122" s="160">
        <f>D124</f>
        <v>0</v>
      </c>
      <c r="E122" s="160"/>
      <c r="F122" s="160">
        <f>D122</f>
        <v>0</v>
      </c>
      <c r="G122" s="161"/>
      <c r="H122" s="161"/>
      <c r="I122" s="161"/>
      <c r="J122" s="161"/>
      <c r="K122" s="161"/>
      <c r="L122" s="161"/>
      <c r="M122" s="161"/>
      <c r="N122" s="161"/>
      <c r="O122" s="161"/>
      <c r="P122" s="161"/>
      <c r="CY122" s="37"/>
      <c r="CZ122" s="37"/>
      <c r="DA122" s="37"/>
      <c r="DB122" s="37"/>
      <c r="DC122" s="37"/>
      <c r="DD122" s="37"/>
    </row>
    <row r="123" spans="1:108" s="36" customFormat="1" ht="12.75" hidden="1">
      <c r="A123" s="139" t="s">
        <v>254</v>
      </c>
      <c r="B123" s="162"/>
      <c r="C123" s="162"/>
      <c r="D123" s="161"/>
      <c r="E123" s="161"/>
      <c r="F123" s="161"/>
      <c r="G123" s="161"/>
      <c r="H123" s="161"/>
      <c r="I123" s="161"/>
      <c r="J123" s="161"/>
      <c r="K123" s="161"/>
      <c r="L123" s="161"/>
      <c r="M123" s="161"/>
      <c r="N123" s="161"/>
      <c r="O123" s="161"/>
      <c r="P123" s="161"/>
      <c r="CY123" s="37"/>
      <c r="CZ123" s="37"/>
      <c r="DA123" s="37"/>
      <c r="DB123" s="37"/>
      <c r="DC123" s="37"/>
      <c r="DD123" s="37"/>
    </row>
    <row r="124" spans="1:108" s="36" customFormat="1" ht="25.5" hidden="1">
      <c r="A124" s="138" t="s">
        <v>427</v>
      </c>
      <c r="B124" s="162"/>
      <c r="C124" s="162"/>
      <c r="D124" s="161">
        <f>2000000-1500000-500000</f>
        <v>0</v>
      </c>
      <c r="E124" s="161"/>
      <c r="F124" s="161">
        <f>D124</f>
        <v>0</v>
      </c>
      <c r="G124" s="161"/>
      <c r="H124" s="161"/>
      <c r="I124" s="161"/>
      <c r="J124" s="161"/>
      <c r="K124" s="161"/>
      <c r="L124" s="161"/>
      <c r="M124" s="161"/>
      <c r="N124" s="161"/>
      <c r="O124" s="161"/>
      <c r="P124" s="161"/>
      <c r="CY124" s="37"/>
      <c r="CZ124" s="37"/>
      <c r="DA124" s="37"/>
      <c r="DB124" s="37"/>
      <c r="DC124" s="37"/>
      <c r="DD124" s="37"/>
    </row>
    <row r="125" spans="1:108" s="36" customFormat="1" ht="12.75" hidden="1">
      <c r="A125" s="139" t="s">
        <v>376</v>
      </c>
      <c r="B125" s="162"/>
      <c r="C125" s="162"/>
      <c r="D125" s="161"/>
      <c r="E125" s="161"/>
      <c r="F125" s="161"/>
      <c r="G125" s="161"/>
      <c r="H125" s="161"/>
      <c r="I125" s="161"/>
      <c r="J125" s="161"/>
      <c r="K125" s="161"/>
      <c r="L125" s="161"/>
      <c r="M125" s="161"/>
      <c r="N125" s="161"/>
      <c r="O125" s="161"/>
      <c r="P125" s="161"/>
      <c r="CY125" s="37"/>
      <c r="CZ125" s="37"/>
      <c r="DA125" s="37"/>
      <c r="DB125" s="37"/>
      <c r="DC125" s="37"/>
      <c r="DD125" s="37"/>
    </row>
    <row r="126" spans="1:108" s="36" customFormat="1" ht="12.75" hidden="1">
      <c r="A126" s="165" t="s">
        <v>428</v>
      </c>
      <c r="B126" s="162"/>
      <c r="C126" s="162"/>
      <c r="D126" s="161"/>
      <c r="E126" s="161"/>
      <c r="F126" s="161">
        <f>D126</f>
        <v>0</v>
      </c>
      <c r="G126" s="161"/>
      <c r="H126" s="161"/>
      <c r="I126" s="161"/>
      <c r="J126" s="161"/>
      <c r="K126" s="161"/>
      <c r="L126" s="161"/>
      <c r="M126" s="161"/>
      <c r="N126" s="161"/>
      <c r="O126" s="161"/>
      <c r="P126" s="161"/>
      <c r="CY126" s="37"/>
      <c r="CZ126" s="37"/>
      <c r="DA126" s="37"/>
      <c r="DB126" s="37"/>
      <c r="DC126" s="37"/>
      <c r="DD126" s="37"/>
    </row>
    <row r="127" spans="1:108" s="4" customFormat="1" ht="12.75" hidden="1">
      <c r="A127" s="133" t="s">
        <v>372</v>
      </c>
      <c r="B127" s="164"/>
      <c r="C127" s="164"/>
      <c r="D127" s="131"/>
      <c r="E127" s="131"/>
      <c r="F127" s="131"/>
      <c r="G127" s="131"/>
      <c r="H127" s="131"/>
      <c r="I127" s="131"/>
      <c r="J127" s="131"/>
      <c r="K127" s="131"/>
      <c r="L127" s="131"/>
      <c r="M127" s="131"/>
      <c r="N127" s="131"/>
      <c r="O127" s="131"/>
      <c r="P127" s="131"/>
      <c r="CY127" s="13"/>
      <c r="CZ127" s="13"/>
      <c r="DA127" s="13"/>
      <c r="DB127" s="13"/>
      <c r="DC127" s="13"/>
      <c r="DD127" s="13"/>
    </row>
    <row r="128" spans="1:108" s="4" customFormat="1" ht="30" customHeight="1" hidden="1">
      <c r="A128" s="134" t="s">
        <v>429</v>
      </c>
      <c r="B128" s="164"/>
      <c r="C128" s="164"/>
      <c r="D128" s="131">
        <f>2000000-1500000-500000</f>
        <v>0</v>
      </c>
      <c r="E128" s="131"/>
      <c r="F128" s="131">
        <f>D128</f>
        <v>0</v>
      </c>
      <c r="G128" s="131"/>
      <c r="H128" s="131"/>
      <c r="I128" s="131"/>
      <c r="J128" s="131"/>
      <c r="K128" s="131"/>
      <c r="L128" s="131"/>
      <c r="M128" s="131"/>
      <c r="N128" s="131"/>
      <c r="O128" s="131"/>
      <c r="P128" s="131"/>
      <c r="CY128" s="13"/>
      <c r="CZ128" s="13"/>
      <c r="DA128" s="13"/>
      <c r="DB128" s="13"/>
      <c r="DC128" s="13"/>
      <c r="DD128" s="13"/>
    </row>
    <row r="129" spans="1:108" s="36" customFormat="1" ht="27" hidden="1">
      <c r="A129" s="137" t="s">
        <v>159</v>
      </c>
      <c r="B129" s="162"/>
      <c r="C129" s="162"/>
      <c r="D129" s="160">
        <f>D131</f>
        <v>0</v>
      </c>
      <c r="E129" s="160"/>
      <c r="F129" s="160">
        <f>D129</f>
        <v>0</v>
      </c>
      <c r="G129" s="161"/>
      <c r="H129" s="161"/>
      <c r="I129" s="161"/>
      <c r="J129" s="161"/>
      <c r="K129" s="161"/>
      <c r="L129" s="161"/>
      <c r="M129" s="161"/>
      <c r="N129" s="161"/>
      <c r="O129" s="161"/>
      <c r="P129" s="161"/>
      <c r="CY129" s="37"/>
      <c r="CZ129" s="37"/>
      <c r="DA129" s="37"/>
      <c r="DB129" s="37"/>
      <c r="DC129" s="37"/>
      <c r="DD129" s="37"/>
    </row>
    <row r="130" spans="1:108" s="36" customFormat="1" ht="20.25" customHeight="1" hidden="1">
      <c r="A130" s="139" t="s">
        <v>254</v>
      </c>
      <c r="B130" s="162"/>
      <c r="C130" s="162"/>
      <c r="D130" s="161"/>
      <c r="E130" s="161"/>
      <c r="F130" s="161"/>
      <c r="G130" s="161"/>
      <c r="H130" s="161"/>
      <c r="I130" s="161"/>
      <c r="J130" s="161"/>
      <c r="K130" s="161"/>
      <c r="L130" s="161"/>
      <c r="M130" s="161"/>
      <c r="N130" s="161"/>
      <c r="O130" s="161"/>
      <c r="P130" s="161"/>
      <c r="CY130" s="37"/>
      <c r="CZ130" s="37"/>
      <c r="DA130" s="37"/>
      <c r="DB130" s="37"/>
      <c r="DC130" s="37"/>
      <c r="DD130" s="37"/>
    </row>
    <row r="131" spans="1:108" s="36" customFormat="1" ht="29.25" customHeight="1" hidden="1">
      <c r="A131" s="138" t="s">
        <v>430</v>
      </c>
      <c r="B131" s="162"/>
      <c r="C131" s="162"/>
      <c r="D131" s="161">
        <f>5000000-5000000</f>
        <v>0</v>
      </c>
      <c r="E131" s="161"/>
      <c r="F131" s="161">
        <f>D131</f>
        <v>0</v>
      </c>
      <c r="G131" s="161"/>
      <c r="H131" s="161"/>
      <c r="I131" s="161"/>
      <c r="J131" s="161"/>
      <c r="K131" s="161"/>
      <c r="L131" s="161"/>
      <c r="M131" s="161"/>
      <c r="N131" s="161"/>
      <c r="O131" s="161"/>
      <c r="P131" s="161"/>
      <c r="CY131" s="37"/>
      <c r="CZ131" s="37"/>
      <c r="DA131" s="37"/>
      <c r="DB131" s="37"/>
      <c r="DC131" s="37"/>
      <c r="DD131" s="37"/>
    </row>
    <row r="132" spans="1:108" s="36" customFormat="1" ht="20.25" customHeight="1" hidden="1">
      <c r="A132" s="139" t="s">
        <v>376</v>
      </c>
      <c r="B132" s="162"/>
      <c r="C132" s="162"/>
      <c r="D132" s="161"/>
      <c r="E132" s="161"/>
      <c r="F132" s="161"/>
      <c r="G132" s="161"/>
      <c r="H132" s="161"/>
      <c r="I132" s="161"/>
      <c r="J132" s="161"/>
      <c r="K132" s="161"/>
      <c r="L132" s="161"/>
      <c r="M132" s="161"/>
      <c r="N132" s="161"/>
      <c r="O132" s="161"/>
      <c r="P132" s="161"/>
      <c r="CY132" s="37"/>
      <c r="CZ132" s="37"/>
      <c r="DA132" s="37"/>
      <c r="DB132" s="37"/>
      <c r="DC132" s="37"/>
      <c r="DD132" s="37"/>
    </row>
    <row r="133" spans="1:108" s="36" customFormat="1" ht="12" customHeight="1" hidden="1">
      <c r="A133" s="165" t="s">
        <v>431</v>
      </c>
      <c r="B133" s="162"/>
      <c r="C133" s="162"/>
      <c r="D133" s="161">
        <v>0</v>
      </c>
      <c r="E133" s="161"/>
      <c r="F133" s="161">
        <v>1</v>
      </c>
      <c r="G133" s="161"/>
      <c r="H133" s="161"/>
      <c r="I133" s="161"/>
      <c r="J133" s="161"/>
      <c r="K133" s="161"/>
      <c r="L133" s="161"/>
      <c r="M133" s="161"/>
      <c r="N133" s="161"/>
      <c r="O133" s="161"/>
      <c r="P133" s="161"/>
      <c r="CY133" s="37"/>
      <c r="CZ133" s="37"/>
      <c r="DA133" s="37"/>
      <c r="DB133" s="37"/>
      <c r="DC133" s="37"/>
      <c r="DD133" s="37"/>
    </row>
    <row r="134" spans="1:108" s="36" customFormat="1" ht="12.75" hidden="1">
      <c r="A134" s="139" t="s">
        <v>372</v>
      </c>
      <c r="B134" s="162"/>
      <c r="C134" s="162"/>
      <c r="D134" s="161"/>
      <c r="E134" s="161"/>
      <c r="F134" s="161"/>
      <c r="G134" s="161"/>
      <c r="H134" s="161"/>
      <c r="I134" s="161"/>
      <c r="J134" s="161"/>
      <c r="K134" s="161"/>
      <c r="L134" s="161"/>
      <c r="M134" s="161"/>
      <c r="N134" s="161"/>
      <c r="O134" s="161"/>
      <c r="P134" s="161"/>
      <c r="CY134" s="37"/>
      <c r="CZ134" s="37"/>
      <c r="DA134" s="37"/>
      <c r="DB134" s="37"/>
      <c r="DC134" s="37"/>
      <c r="DD134" s="37"/>
    </row>
    <row r="135" spans="1:108" s="36" customFormat="1" ht="18" customHeight="1" hidden="1">
      <c r="A135" s="138" t="s">
        <v>432</v>
      </c>
      <c r="B135" s="162"/>
      <c r="C135" s="162"/>
      <c r="D135" s="161" t="e">
        <f>D131/D133</f>
        <v>#DIV/0!</v>
      </c>
      <c r="E135" s="161"/>
      <c r="F135" s="161" t="e">
        <f>D135</f>
        <v>#DIV/0!</v>
      </c>
      <c r="G135" s="161"/>
      <c r="H135" s="161"/>
      <c r="I135" s="161"/>
      <c r="J135" s="161"/>
      <c r="K135" s="161"/>
      <c r="L135" s="161"/>
      <c r="M135" s="161"/>
      <c r="N135" s="161"/>
      <c r="O135" s="161"/>
      <c r="P135" s="161"/>
      <c r="CY135" s="37"/>
      <c r="CZ135" s="37"/>
      <c r="DA135" s="37"/>
      <c r="DB135" s="37"/>
      <c r="DC135" s="37"/>
      <c r="DD135" s="37"/>
    </row>
    <row r="136" spans="1:108" s="36" customFormat="1" ht="25.5" customHeight="1" hidden="1">
      <c r="A136" s="137" t="s">
        <v>160</v>
      </c>
      <c r="B136" s="162"/>
      <c r="C136" s="162"/>
      <c r="D136" s="160">
        <f>D138</f>
        <v>0</v>
      </c>
      <c r="E136" s="160"/>
      <c r="F136" s="160">
        <f>D136</f>
        <v>0</v>
      </c>
      <c r="G136" s="161"/>
      <c r="H136" s="161"/>
      <c r="I136" s="161"/>
      <c r="J136" s="161"/>
      <c r="K136" s="161"/>
      <c r="L136" s="161"/>
      <c r="M136" s="161"/>
      <c r="N136" s="161"/>
      <c r="O136" s="161"/>
      <c r="P136" s="161"/>
      <c r="CY136" s="37"/>
      <c r="CZ136" s="37"/>
      <c r="DA136" s="37"/>
      <c r="DB136" s="37"/>
      <c r="DC136" s="37"/>
      <c r="DD136" s="37"/>
    </row>
    <row r="137" spans="1:108" s="4" customFormat="1" ht="17.25" customHeight="1" hidden="1">
      <c r="A137" s="133" t="s">
        <v>254</v>
      </c>
      <c r="B137" s="164"/>
      <c r="C137" s="164"/>
      <c r="D137" s="131"/>
      <c r="E137" s="131"/>
      <c r="F137" s="131"/>
      <c r="G137" s="131"/>
      <c r="H137" s="131"/>
      <c r="I137" s="131"/>
      <c r="J137" s="131"/>
      <c r="K137" s="131"/>
      <c r="L137" s="131"/>
      <c r="M137" s="131"/>
      <c r="N137" s="131"/>
      <c r="O137" s="131"/>
      <c r="P137" s="131"/>
      <c r="CY137" s="13"/>
      <c r="CZ137" s="13"/>
      <c r="DA137" s="13"/>
      <c r="DB137" s="13"/>
      <c r="DC137" s="13"/>
      <c r="DD137" s="13"/>
    </row>
    <row r="138" spans="1:108" s="4" customFormat="1" ht="12.75" hidden="1">
      <c r="A138" s="134" t="s">
        <v>433</v>
      </c>
      <c r="B138" s="164"/>
      <c r="C138" s="164"/>
      <c r="D138" s="131">
        <f>5000000-4000000-1000000</f>
        <v>0</v>
      </c>
      <c r="E138" s="131"/>
      <c r="F138" s="131">
        <f>D138</f>
        <v>0</v>
      </c>
      <c r="G138" s="131"/>
      <c r="H138" s="131"/>
      <c r="I138" s="131"/>
      <c r="J138" s="131"/>
      <c r="K138" s="131"/>
      <c r="L138" s="131"/>
      <c r="M138" s="131"/>
      <c r="N138" s="131"/>
      <c r="O138" s="131"/>
      <c r="P138" s="131"/>
      <c r="CY138" s="13"/>
      <c r="CZ138" s="13"/>
      <c r="DA138" s="13"/>
      <c r="DB138" s="13"/>
      <c r="DC138" s="13"/>
      <c r="DD138" s="13"/>
    </row>
    <row r="139" spans="1:108" s="4" customFormat="1" ht="17.25" customHeight="1" hidden="1">
      <c r="A139" s="133" t="s">
        <v>376</v>
      </c>
      <c r="B139" s="164"/>
      <c r="C139" s="164"/>
      <c r="D139" s="131"/>
      <c r="E139" s="131"/>
      <c r="F139" s="131"/>
      <c r="G139" s="131"/>
      <c r="H139" s="131"/>
      <c r="I139" s="131"/>
      <c r="J139" s="131"/>
      <c r="K139" s="131"/>
      <c r="L139" s="131"/>
      <c r="M139" s="131"/>
      <c r="N139" s="131"/>
      <c r="O139" s="131"/>
      <c r="P139" s="131"/>
      <c r="CY139" s="13"/>
      <c r="CZ139" s="13"/>
      <c r="DA139" s="13"/>
      <c r="DB139" s="13"/>
      <c r="DC139" s="13"/>
      <c r="DD139" s="13"/>
    </row>
    <row r="140" spans="1:108" s="4" customFormat="1" ht="12.75" hidden="1">
      <c r="A140" s="135" t="s">
        <v>431</v>
      </c>
      <c r="B140" s="164"/>
      <c r="C140" s="164"/>
      <c r="D140" s="131">
        <v>0</v>
      </c>
      <c r="E140" s="131"/>
      <c r="F140" s="131">
        <f>D140</f>
        <v>0</v>
      </c>
      <c r="G140" s="131"/>
      <c r="H140" s="131"/>
      <c r="I140" s="131"/>
      <c r="J140" s="131"/>
      <c r="K140" s="131"/>
      <c r="L140" s="131"/>
      <c r="M140" s="131"/>
      <c r="N140" s="131"/>
      <c r="O140" s="131"/>
      <c r="P140" s="131"/>
      <c r="CY140" s="13"/>
      <c r="CZ140" s="13"/>
      <c r="DA140" s="13"/>
      <c r="DB140" s="13"/>
      <c r="DC140" s="13"/>
      <c r="DD140" s="13"/>
    </row>
    <row r="141" spans="1:108" s="4" customFormat="1" ht="12.75" hidden="1">
      <c r="A141" s="133" t="s">
        <v>372</v>
      </c>
      <c r="B141" s="164"/>
      <c r="C141" s="164"/>
      <c r="D141" s="131"/>
      <c r="E141" s="131"/>
      <c r="F141" s="131"/>
      <c r="G141" s="131"/>
      <c r="H141" s="131"/>
      <c r="I141" s="131"/>
      <c r="J141" s="131"/>
      <c r="K141" s="131"/>
      <c r="L141" s="131"/>
      <c r="M141" s="131"/>
      <c r="N141" s="131"/>
      <c r="O141" s="131"/>
      <c r="P141" s="131"/>
      <c r="CY141" s="13"/>
      <c r="CZ141" s="13"/>
      <c r="DA141" s="13"/>
      <c r="DB141" s="13"/>
      <c r="DC141" s="13"/>
      <c r="DD141" s="13"/>
    </row>
    <row r="142" spans="1:108" s="4" customFormat="1" ht="12.75" hidden="1">
      <c r="A142" s="134" t="s">
        <v>434</v>
      </c>
      <c r="B142" s="164"/>
      <c r="C142" s="164"/>
      <c r="D142" s="131">
        <v>0</v>
      </c>
      <c r="E142" s="131"/>
      <c r="F142" s="131">
        <f>D142</f>
        <v>0</v>
      </c>
      <c r="G142" s="131"/>
      <c r="H142" s="131"/>
      <c r="I142" s="131"/>
      <c r="J142" s="131"/>
      <c r="K142" s="131"/>
      <c r="L142" s="131"/>
      <c r="M142" s="131"/>
      <c r="N142" s="131"/>
      <c r="O142" s="131"/>
      <c r="P142" s="131"/>
      <c r="CY142" s="13"/>
      <c r="CZ142" s="13"/>
      <c r="DA142" s="13"/>
      <c r="DB142" s="13"/>
      <c r="DC142" s="13"/>
      <c r="DD142" s="13"/>
    </row>
    <row r="143" spans="1:108" s="36" customFormat="1" ht="24" customHeight="1" hidden="1">
      <c r="A143" s="137" t="s">
        <v>161</v>
      </c>
      <c r="B143" s="162"/>
      <c r="C143" s="162"/>
      <c r="D143" s="160">
        <f>D145</f>
        <v>0</v>
      </c>
      <c r="E143" s="160"/>
      <c r="F143" s="160">
        <f>D143</f>
        <v>0</v>
      </c>
      <c r="G143" s="161"/>
      <c r="H143" s="161"/>
      <c r="I143" s="161"/>
      <c r="J143" s="161"/>
      <c r="K143" s="161"/>
      <c r="L143" s="161"/>
      <c r="M143" s="161"/>
      <c r="N143" s="161"/>
      <c r="O143" s="161"/>
      <c r="P143" s="161"/>
      <c r="CY143" s="37"/>
      <c r="CZ143" s="37"/>
      <c r="DA143" s="37"/>
      <c r="DB143" s="37"/>
      <c r="DC143" s="37"/>
      <c r="DD143" s="37"/>
    </row>
    <row r="144" spans="1:108" s="4" customFormat="1" ht="18.75" customHeight="1" hidden="1">
      <c r="A144" s="133" t="s">
        <v>254</v>
      </c>
      <c r="B144" s="164"/>
      <c r="C144" s="164"/>
      <c r="D144" s="131"/>
      <c r="E144" s="131"/>
      <c r="F144" s="131"/>
      <c r="G144" s="131"/>
      <c r="H144" s="131"/>
      <c r="I144" s="131"/>
      <c r="J144" s="131"/>
      <c r="K144" s="131"/>
      <c r="L144" s="131"/>
      <c r="M144" s="131"/>
      <c r="N144" s="131"/>
      <c r="O144" s="131"/>
      <c r="P144" s="131"/>
      <c r="CY144" s="13"/>
      <c r="CZ144" s="13"/>
      <c r="DA144" s="13"/>
      <c r="DB144" s="13"/>
      <c r="DC144" s="13"/>
      <c r="DD144" s="13"/>
    </row>
    <row r="145" spans="1:108" s="4" customFormat="1" ht="24" customHeight="1" hidden="1">
      <c r="A145" s="134" t="s">
        <v>435</v>
      </c>
      <c r="B145" s="164"/>
      <c r="C145" s="164"/>
      <c r="D145" s="131">
        <f>50000-50000</f>
        <v>0</v>
      </c>
      <c r="E145" s="131"/>
      <c r="F145" s="131">
        <f>D145</f>
        <v>0</v>
      </c>
      <c r="G145" s="131"/>
      <c r="H145" s="131"/>
      <c r="I145" s="131"/>
      <c r="J145" s="131"/>
      <c r="K145" s="131"/>
      <c r="L145" s="131"/>
      <c r="M145" s="131"/>
      <c r="N145" s="131"/>
      <c r="O145" s="131"/>
      <c r="P145" s="131"/>
      <c r="CY145" s="13"/>
      <c r="CZ145" s="13"/>
      <c r="DA145" s="13"/>
      <c r="DB145" s="13"/>
      <c r="DC145" s="13"/>
      <c r="DD145" s="13"/>
    </row>
    <row r="146" spans="1:108" s="4" customFormat="1" ht="12.75" hidden="1">
      <c r="A146" s="133" t="s">
        <v>376</v>
      </c>
      <c r="B146" s="164"/>
      <c r="C146" s="164"/>
      <c r="D146" s="131"/>
      <c r="E146" s="131"/>
      <c r="F146" s="131"/>
      <c r="G146" s="131"/>
      <c r="H146" s="131"/>
      <c r="I146" s="131"/>
      <c r="J146" s="131"/>
      <c r="K146" s="131"/>
      <c r="L146" s="131"/>
      <c r="M146" s="131"/>
      <c r="N146" s="131"/>
      <c r="O146" s="131"/>
      <c r="P146" s="131"/>
      <c r="CY146" s="13"/>
      <c r="CZ146" s="13"/>
      <c r="DA146" s="13"/>
      <c r="DB146" s="13"/>
      <c r="DC146" s="13"/>
      <c r="DD146" s="13"/>
    </row>
    <row r="147" spans="1:108" s="4" customFormat="1" ht="12.75" hidden="1">
      <c r="A147" s="135" t="s">
        <v>431</v>
      </c>
      <c r="B147" s="164"/>
      <c r="C147" s="164"/>
      <c r="D147" s="131">
        <v>0</v>
      </c>
      <c r="E147" s="131"/>
      <c r="F147" s="131">
        <f>D147</f>
        <v>0</v>
      </c>
      <c r="G147" s="131"/>
      <c r="H147" s="131"/>
      <c r="I147" s="131"/>
      <c r="J147" s="131"/>
      <c r="K147" s="131"/>
      <c r="L147" s="131"/>
      <c r="M147" s="131"/>
      <c r="N147" s="131"/>
      <c r="O147" s="131"/>
      <c r="P147" s="131"/>
      <c r="CY147" s="13"/>
      <c r="CZ147" s="13"/>
      <c r="DA147" s="13"/>
      <c r="DB147" s="13"/>
      <c r="DC147" s="13"/>
      <c r="DD147" s="13"/>
    </row>
    <row r="148" spans="1:108" s="4" customFormat="1" ht="12.75" hidden="1">
      <c r="A148" s="133" t="s">
        <v>372</v>
      </c>
      <c r="B148" s="164"/>
      <c r="C148" s="164"/>
      <c r="D148" s="131"/>
      <c r="E148" s="131"/>
      <c r="F148" s="131"/>
      <c r="G148" s="131"/>
      <c r="H148" s="131"/>
      <c r="I148" s="131"/>
      <c r="J148" s="131"/>
      <c r="K148" s="131"/>
      <c r="L148" s="131"/>
      <c r="M148" s="131"/>
      <c r="N148" s="131"/>
      <c r="O148" s="131"/>
      <c r="P148" s="131"/>
      <c r="CY148" s="13"/>
      <c r="CZ148" s="13"/>
      <c r="DA148" s="13"/>
      <c r="DB148" s="13"/>
      <c r="DC148" s="13"/>
      <c r="DD148" s="13"/>
    </row>
    <row r="149" spans="1:108" s="4" customFormat="1" ht="24" customHeight="1" hidden="1">
      <c r="A149" s="134" t="s">
        <v>436</v>
      </c>
      <c r="B149" s="164"/>
      <c r="C149" s="164"/>
      <c r="D149" s="131">
        <v>0</v>
      </c>
      <c r="E149" s="131"/>
      <c r="F149" s="131">
        <f>D149</f>
        <v>0</v>
      </c>
      <c r="G149" s="131"/>
      <c r="H149" s="131"/>
      <c r="I149" s="131"/>
      <c r="J149" s="131"/>
      <c r="K149" s="131"/>
      <c r="L149" s="131"/>
      <c r="M149" s="131"/>
      <c r="N149" s="131"/>
      <c r="O149" s="131"/>
      <c r="P149" s="131"/>
      <c r="CY149" s="13"/>
      <c r="CZ149" s="13"/>
      <c r="DA149" s="13"/>
      <c r="DB149" s="13"/>
      <c r="DC149" s="13"/>
      <c r="DD149" s="13"/>
    </row>
    <row r="150" spans="1:108" s="36" customFormat="1" ht="24" customHeight="1" hidden="1">
      <c r="A150" s="137" t="s">
        <v>162</v>
      </c>
      <c r="B150" s="162"/>
      <c r="C150" s="162"/>
      <c r="D150" s="161"/>
      <c r="E150" s="160">
        <f>7000000-7000000</f>
        <v>0</v>
      </c>
      <c r="F150" s="160">
        <f>E150</f>
        <v>0</v>
      </c>
      <c r="G150" s="168"/>
      <c r="H150" s="168">
        <v>7500000</v>
      </c>
      <c r="I150" s="168"/>
      <c r="J150" s="168">
        <f>H150</f>
        <v>7500000</v>
      </c>
      <c r="K150" s="168"/>
      <c r="L150" s="168"/>
      <c r="M150" s="168"/>
      <c r="N150" s="168"/>
      <c r="O150" s="168">
        <v>6000000</v>
      </c>
      <c r="P150" s="168">
        <f>O150</f>
        <v>6000000</v>
      </c>
      <c r="CY150" s="37"/>
      <c r="CZ150" s="37"/>
      <c r="DA150" s="37"/>
      <c r="DB150" s="37"/>
      <c r="DC150" s="37"/>
      <c r="DD150" s="37"/>
    </row>
    <row r="151" spans="1:108" s="4" customFormat="1" ht="12.75" hidden="1">
      <c r="A151" s="133" t="s">
        <v>254</v>
      </c>
      <c r="B151" s="164"/>
      <c r="C151" s="164"/>
      <c r="D151" s="131"/>
      <c r="E151" s="131"/>
      <c r="F151" s="131"/>
      <c r="G151" s="131"/>
      <c r="H151" s="131"/>
      <c r="I151" s="131"/>
      <c r="J151" s="161"/>
      <c r="K151" s="131"/>
      <c r="L151" s="131"/>
      <c r="M151" s="131"/>
      <c r="N151" s="131"/>
      <c r="O151" s="131"/>
      <c r="P151" s="161"/>
      <c r="CY151" s="13"/>
      <c r="CZ151" s="13"/>
      <c r="DA151" s="13"/>
      <c r="DB151" s="13"/>
      <c r="DC151" s="13"/>
      <c r="DD151" s="13"/>
    </row>
    <row r="152" spans="1:108" s="4" customFormat="1" ht="24" customHeight="1" hidden="1">
      <c r="A152" s="134" t="s">
        <v>437</v>
      </c>
      <c r="B152" s="164"/>
      <c r="C152" s="164"/>
      <c r="D152" s="131"/>
      <c r="E152" s="131">
        <f>E150</f>
        <v>0</v>
      </c>
      <c r="F152" s="131">
        <f>E152</f>
        <v>0</v>
      </c>
      <c r="G152" s="131"/>
      <c r="H152" s="131">
        <f>H150</f>
        <v>7500000</v>
      </c>
      <c r="I152" s="131"/>
      <c r="J152" s="161">
        <f>H152</f>
        <v>7500000</v>
      </c>
      <c r="K152" s="131"/>
      <c r="L152" s="131"/>
      <c r="M152" s="131"/>
      <c r="N152" s="131"/>
      <c r="O152" s="131">
        <f>O150</f>
        <v>6000000</v>
      </c>
      <c r="P152" s="161">
        <f>O152</f>
        <v>6000000</v>
      </c>
      <c r="CY152" s="13"/>
      <c r="CZ152" s="13"/>
      <c r="DA152" s="13"/>
      <c r="DB152" s="13"/>
      <c r="DC152" s="13"/>
      <c r="DD152" s="13"/>
    </row>
    <row r="153" spans="1:108" s="4" customFormat="1" ht="12.75" hidden="1">
      <c r="A153" s="133" t="s">
        <v>376</v>
      </c>
      <c r="B153" s="164"/>
      <c r="C153" s="164"/>
      <c r="D153" s="131"/>
      <c r="E153" s="131"/>
      <c r="F153" s="131"/>
      <c r="G153" s="131"/>
      <c r="H153" s="131"/>
      <c r="I153" s="131"/>
      <c r="J153" s="161"/>
      <c r="K153" s="131"/>
      <c r="L153" s="131"/>
      <c r="M153" s="131"/>
      <c r="N153" s="131"/>
      <c r="O153" s="131"/>
      <c r="P153" s="161"/>
      <c r="CY153" s="13"/>
      <c r="CZ153" s="13"/>
      <c r="DA153" s="13"/>
      <c r="DB153" s="13"/>
      <c r="DC153" s="13"/>
      <c r="DD153" s="13"/>
    </row>
    <row r="154" spans="1:108" s="4" customFormat="1" ht="29.25" customHeight="1" hidden="1">
      <c r="A154" s="135" t="s">
        <v>163</v>
      </c>
      <c r="B154" s="164"/>
      <c r="C154" s="164"/>
      <c r="D154" s="131"/>
      <c r="E154" s="166">
        <v>4</v>
      </c>
      <c r="F154" s="166">
        <f>E154</f>
        <v>4</v>
      </c>
      <c r="G154" s="166"/>
      <c r="H154" s="166">
        <v>4</v>
      </c>
      <c r="I154" s="166"/>
      <c r="J154" s="169">
        <f>H154</f>
        <v>4</v>
      </c>
      <c r="K154" s="166"/>
      <c r="L154" s="166"/>
      <c r="M154" s="166"/>
      <c r="N154" s="166"/>
      <c r="O154" s="166">
        <v>4</v>
      </c>
      <c r="P154" s="169">
        <f>O154</f>
        <v>4</v>
      </c>
      <c r="CY154" s="13"/>
      <c r="CZ154" s="13"/>
      <c r="DA154" s="13"/>
      <c r="DB154" s="13"/>
      <c r="DC154" s="13"/>
      <c r="DD154" s="13"/>
    </row>
    <row r="155" spans="1:108" s="4" customFormat="1" ht="12.75" hidden="1">
      <c r="A155" s="133" t="s">
        <v>372</v>
      </c>
      <c r="B155" s="164"/>
      <c r="C155" s="164"/>
      <c r="D155" s="131"/>
      <c r="E155" s="131"/>
      <c r="F155" s="131"/>
      <c r="G155" s="131"/>
      <c r="H155" s="131"/>
      <c r="I155" s="131"/>
      <c r="J155" s="161"/>
      <c r="K155" s="131"/>
      <c r="L155" s="131"/>
      <c r="M155" s="131"/>
      <c r="N155" s="131"/>
      <c r="O155" s="131"/>
      <c r="P155" s="161"/>
      <c r="CY155" s="13"/>
      <c r="CZ155" s="13"/>
      <c r="DA155" s="13"/>
      <c r="DB155" s="13"/>
      <c r="DC155" s="13"/>
      <c r="DD155" s="13"/>
    </row>
    <row r="156" spans="1:108" s="4" customFormat="1" ht="26.25" customHeight="1" hidden="1">
      <c r="A156" s="134" t="s">
        <v>443</v>
      </c>
      <c r="B156" s="164"/>
      <c r="C156" s="164"/>
      <c r="D156" s="131"/>
      <c r="E156" s="131">
        <f>E152/E154</f>
        <v>0</v>
      </c>
      <c r="F156" s="131">
        <f>F152/F154</f>
        <v>0</v>
      </c>
      <c r="G156" s="131"/>
      <c r="H156" s="131">
        <f>H152/H154</f>
        <v>1875000</v>
      </c>
      <c r="I156" s="131"/>
      <c r="J156" s="161">
        <f>H156</f>
        <v>1875000</v>
      </c>
      <c r="K156" s="131"/>
      <c r="L156" s="131"/>
      <c r="M156" s="131"/>
      <c r="N156" s="131"/>
      <c r="O156" s="131">
        <f>O152/O154</f>
        <v>1500000</v>
      </c>
      <c r="P156" s="161">
        <f>O156</f>
        <v>1500000</v>
      </c>
      <c r="CY156" s="13"/>
      <c r="CZ156" s="13"/>
      <c r="DA156" s="13"/>
      <c r="DB156" s="13"/>
      <c r="DC156" s="13"/>
      <c r="DD156" s="13"/>
    </row>
    <row r="157" spans="1:108" s="4" customFormat="1" ht="29.25" customHeight="1" hidden="1">
      <c r="A157" s="170" t="s">
        <v>504</v>
      </c>
      <c r="B157" s="162"/>
      <c r="C157" s="162"/>
      <c r="D157" s="168">
        <f>50000000-7900000</f>
        <v>42100000</v>
      </c>
      <c r="E157" s="160">
        <v>0</v>
      </c>
      <c r="F157" s="160">
        <f>D157+E157</f>
        <v>42100000</v>
      </c>
      <c r="G157" s="168">
        <f>0+80000000-79000000</f>
        <v>1000000</v>
      </c>
      <c r="H157" s="168"/>
      <c r="I157" s="168"/>
      <c r="J157" s="168">
        <f>G157+H157</f>
        <v>1000000</v>
      </c>
      <c r="K157" s="168"/>
      <c r="L157" s="168"/>
      <c r="M157" s="168"/>
      <c r="N157" s="168"/>
      <c r="O157" s="168"/>
      <c r="P157" s="168">
        <f>O157</f>
        <v>0</v>
      </c>
      <c r="CY157" s="13"/>
      <c r="CZ157" s="13"/>
      <c r="DA157" s="13"/>
      <c r="DB157" s="13"/>
      <c r="DC157" s="13"/>
      <c r="DD157" s="13"/>
    </row>
    <row r="158" spans="1:108" s="4" customFormat="1" ht="12.75" hidden="1">
      <c r="A158" s="133" t="s">
        <v>254</v>
      </c>
      <c r="B158" s="164"/>
      <c r="C158" s="164"/>
      <c r="D158" s="131"/>
      <c r="E158" s="131"/>
      <c r="F158" s="131"/>
      <c r="G158" s="131"/>
      <c r="H158" s="131"/>
      <c r="I158" s="131"/>
      <c r="J158" s="161"/>
      <c r="K158" s="131"/>
      <c r="L158" s="131"/>
      <c r="M158" s="131"/>
      <c r="N158" s="131"/>
      <c r="O158" s="131"/>
      <c r="P158" s="161">
        <f>O158</f>
        <v>0</v>
      </c>
      <c r="CY158" s="13"/>
      <c r="CZ158" s="13"/>
      <c r="DA158" s="13"/>
      <c r="DB158" s="13"/>
      <c r="DC158" s="13"/>
      <c r="DD158" s="13"/>
    </row>
    <row r="159" spans="1:108" s="4" customFormat="1" ht="25.5" hidden="1">
      <c r="A159" s="138" t="s">
        <v>505</v>
      </c>
      <c r="B159" s="162"/>
      <c r="C159" s="162"/>
      <c r="D159" s="161">
        <v>292000</v>
      </c>
      <c r="E159" s="161"/>
      <c r="F159" s="161">
        <f>D159</f>
        <v>292000</v>
      </c>
      <c r="G159" s="161">
        <v>292000</v>
      </c>
      <c r="H159" s="131"/>
      <c r="I159" s="131"/>
      <c r="J159" s="161">
        <f aca="true" t="shared" si="12" ref="J159:J165">G159+H159</f>
        <v>292000</v>
      </c>
      <c r="K159" s="131"/>
      <c r="L159" s="131"/>
      <c r="M159" s="131"/>
      <c r="N159" s="131"/>
      <c r="O159" s="131"/>
      <c r="P159" s="161"/>
      <c r="CY159" s="13"/>
      <c r="CZ159" s="13"/>
      <c r="DA159" s="13"/>
      <c r="DB159" s="13"/>
      <c r="DC159" s="13"/>
      <c r="DD159" s="13"/>
    </row>
    <row r="160" spans="1:108" s="4" customFormat="1" ht="12.75" hidden="1">
      <c r="A160" s="139" t="s">
        <v>184</v>
      </c>
      <c r="B160" s="158"/>
      <c r="C160" s="158"/>
      <c r="D160" s="161"/>
      <c r="E160" s="161"/>
      <c r="F160" s="161"/>
      <c r="G160" s="161"/>
      <c r="H160" s="166"/>
      <c r="I160" s="166"/>
      <c r="J160" s="161"/>
      <c r="K160" s="166"/>
      <c r="L160" s="166"/>
      <c r="M160" s="166"/>
      <c r="N160" s="166"/>
      <c r="O160" s="166"/>
      <c r="P160" s="169">
        <f>O160</f>
        <v>0</v>
      </c>
      <c r="CY160" s="13"/>
      <c r="CZ160" s="13"/>
      <c r="DA160" s="13"/>
      <c r="DB160" s="13"/>
      <c r="DC160" s="13"/>
      <c r="DD160" s="13"/>
    </row>
    <row r="161" spans="1:108" s="4" customFormat="1" ht="25.5" hidden="1">
      <c r="A161" s="138" t="s">
        <v>506</v>
      </c>
      <c r="B161" s="162"/>
      <c r="C161" s="162"/>
      <c r="D161" s="161">
        <f>D157/D163</f>
        <v>24328.791188470117</v>
      </c>
      <c r="E161" s="161"/>
      <c r="F161" s="161">
        <f>D161</f>
        <v>24328.791188470117</v>
      </c>
      <c r="G161" s="161">
        <f>G157/G163</f>
        <v>363.5173943073176</v>
      </c>
      <c r="H161" s="131"/>
      <c r="I161" s="131"/>
      <c r="J161" s="161">
        <f t="shared" si="12"/>
        <v>363.5173943073176</v>
      </c>
      <c r="K161" s="131"/>
      <c r="L161" s="131"/>
      <c r="M161" s="131"/>
      <c r="N161" s="131"/>
      <c r="O161" s="131"/>
      <c r="P161" s="161"/>
      <c r="CY161" s="13"/>
      <c r="CZ161" s="13"/>
      <c r="DA161" s="13"/>
      <c r="DB161" s="13"/>
      <c r="DC161" s="13"/>
      <c r="DD161" s="13"/>
    </row>
    <row r="162" spans="1:108" s="4" customFormat="1" ht="12.75" hidden="1">
      <c r="A162" s="139" t="s">
        <v>186</v>
      </c>
      <c r="B162" s="158"/>
      <c r="C162" s="158"/>
      <c r="D162" s="161"/>
      <c r="E162" s="161"/>
      <c r="F162" s="161"/>
      <c r="G162" s="161"/>
      <c r="H162" s="131"/>
      <c r="I162" s="131"/>
      <c r="J162" s="161"/>
      <c r="K162" s="131"/>
      <c r="L162" s="131"/>
      <c r="M162" s="131"/>
      <c r="N162" s="131"/>
      <c r="O162" s="131"/>
      <c r="P162" s="161">
        <f>O162</f>
        <v>0</v>
      </c>
      <c r="CY162" s="13"/>
      <c r="CZ162" s="13"/>
      <c r="DA162" s="13"/>
      <c r="DB162" s="13"/>
      <c r="DC162" s="13"/>
      <c r="DD162" s="13"/>
    </row>
    <row r="163" spans="1:108" s="4" customFormat="1" ht="25.5" hidden="1">
      <c r="A163" s="138" t="s">
        <v>507</v>
      </c>
      <c r="B163" s="162"/>
      <c r="C163" s="162"/>
      <c r="D163" s="161">
        <v>1730.46</v>
      </c>
      <c r="E163" s="161"/>
      <c r="F163" s="161">
        <f>D163</f>
        <v>1730.46</v>
      </c>
      <c r="G163" s="161">
        <v>2750.9</v>
      </c>
      <c r="H163" s="131"/>
      <c r="I163" s="131"/>
      <c r="J163" s="161">
        <f t="shared" si="12"/>
        <v>2750.9</v>
      </c>
      <c r="K163" s="131"/>
      <c r="L163" s="131"/>
      <c r="M163" s="131"/>
      <c r="N163" s="131"/>
      <c r="O163" s="131"/>
      <c r="P163" s="161"/>
      <c r="CY163" s="13"/>
      <c r="CZ163" s="13"/>
      <c r="DA163" s="13"/>
      <c r="DB163" s="13"/>
      <c r="DC163" s="13"/>
      <c r="DD163" s="13"/>
    </row>
    <row r="164" spans="1:108" s="4" customFormat="1" ht="12.75" hidden="1">
      <c r="A164" s="133" t="s">
        <v>185</v>
      </c>
      <c r="B164" s="8"/>
      <c r="C164" s="8"/>
      <c r="D164" s="131"/>
      <c r="E164" s="131"/>
      <c r="F164" s="131"/>
      <c r="G164" s="131"/>
      <c r="H164" s="131"/>
      <c r="I164" s="131"/>
      <c r="J164" s="161"/>
      <c r="K164" s="131"/>
      <c r="L164" s="131"/>
      <c r="M164" s="131"/>
      <c r="N164" s="131"/>
      <c r="O164" s="131"/>
      <c r="P164" s="161"/>
      <c r="CY164" s="13"/>
      <c r="CZ164" s="13"/>
      <c r="DA164" s="13"/>
      <c r="DB164" s="13"/>
      <c r="DC164" s="13"/>
      <c r="DD164" s="13"/>
    </row>
    <row r="165" spans="1:108" s="4" customFormat="1" ht="26.25" customHeight="1" hidden="1">
      <c r="A165" s="134" t="s">
        <v>508</v>
      </c>
      <c r="B165" s="164"/>
      <c r="C165" s="164"/>
      <c r="D165" s="131">
        <f>D161/D159*100</f>
        <v>8.331777804270587</v>
      </c>
      <c r="E165" s="131"/>
      <c r="F165" s="131">
        <f>F161/F159*100</f>
        <v>8.331777804270587</v>
      </c>
      <c r="G165" s="131">
        <f>G161/G159*100</f>
        <v>0.12449225832442384</v>
      </c>
      <c r="H165" s="131"/>
      <c r="I165" s="131"/>
      <c r="J165" s="161">
        <f t="shared" si="12"/>
        <v>0.12449225832442384</v>
      </c>
      <c r="K165" s="131"/>
      <c r="L165" s="131"/>
      <c r="M165" s="131"/>
      <c r="N165" s="131"/>
      <c r="O165" s="131"/>
      <c r="P165" s="161"/>
      <c r="CY165" s="13"/>
      <c r="CZ165" s="13"/>
      <c r="DA165" s="13"/>
      <c r="DB165" s="13"/>
      <c r="DC165" s="13"/>
      <c r="DD165" s="13"/>
    </row>
    <row r="166" spans="1:108" s="70" customFormat="1" ht="36" customHeight="1" hidden="1">
      <c r="A166" s="68" t="s">
        <v>102</v>
      </c>
      <c r="B166" s="69"/>
      <c r="C166" s="69"/>
      <c r="D166" s="67">
        <f>(D172*D185)+(D175*D181)+(D177*D183)+(D178*D184)-18.32</f>
        <v>57663999.99675764</v>
      </c>
      <c r="E166" s="67">
        <f>E176*E182-0.03</f>
        <v>5290000.003572009</v>
      </c>
      <c r="F166" s="67">
        <f>D166+E166</f>
        <v>62954000.00032965</v>
      </c>
      <c r="G166" s="67">
        <f>(G185*G179)+0.15+(G175*G181)+(G177*G183)+(G178*G184)</f>
        <v>80202299.99721046</v>
      </c>
      <c r="H166" s="67">
        <f>H176*H182</f>
        <v>19362999.999989998</v>
      </c>
      <c r="I166" s="67"/>
      <c r="J166" s="67">
        <f>G166+H166</f>
        <v>99565299.99720046</v>
      </c>
      <c r="K166" s="67">
        <f>(K175*K181)+(K176*K182)+(K178*K184)+(K177*K183)+(K179*K185)+100</f>
        <v>100</v>
      </c>
      <c r="L166" s="67">
        <f>(L175*L181)+(L176*L182)+(L178*L184)+(L177*L183)+(L179*L185)+100</f>
        <v>100</v>
      </c>
      <c r="M166" s="67">
        <f>(M175*M181)+(M176*M182)+(M178*M184)+(M177*M183)+(M179*M185)+100</f>
        <v>100</v>
      </c>
      <c r="N166" s="67">
        <f>(N185*N179)+(N175*N181)+(N177*N183)+(N178*N184)-0.01</f>
        <v>84212400.00022401</v>
      </c>
      <c r="O166" s="67">
        <f>O182*O176</f>
        <v>20331999.999989998</v>
      </c>
      <c r="P166" s="67">
        <f>N166+O166</f>
        <v>104544400.00021401</v>
      </c>
      <c r="CY166" s="71"/>
      <c r="CZ166" s="71"/>
      <c r="DA166" s="71"/>
      <c r="DB166" s="71"/>
      <c r="DC166" s="71"/>
      <c r="DD166" s="71"/>
    </row>
    <row r="167" spans="1:108" s="116" customFormat="1" ht="21" customHeight="1" hidden="1">
      <c r="A167" s="171" t="s">
        <v>214</v>
      </c>
      <c r="B167" s="172"/>
      <c r="C167" s="172"/>
      <c r="D167" s="173">
        <v>664.71</v>
      </c>
      <c r="E167" s="173"/>
      <c r="F167" s="173">
        <f>D167</f>
        <v>664.71</v>
      </c>
      <c r="G167" s="173">
        <v>664.71</v>
      </c>
      <c r="H167" s="173"/>
      <c r="I167" s="173"/>
      <c r="J167" s="173">
        <f>G167</f>
        <v>664.71</v>
      </c>
      <c r="K167" s="173"/>
      <c r="L167" s="173"/>
      <c r="M167" s="173"/>
      <c r="N167" s="173">
        <v>664.71</v>
      </c>
      <c r="O167" s="173"/>
      <c r="P167" s="173">
        <f>N167</f>
        <v>664.71</v>
      </c>
      <c r="CY167" s="115"/>
      <c r="CZ167" s="115"/>
      <c r="DA167" s="115"/>
      <c r="DB167" s="115"/>
      <c r="DC167" s="115"/>
      <c r="DD167" s="115"/>
    </row>
    <row r="168" spans="1:108" s="4" customFormat="1" ht="27" customHeight="1" hidden="1">
      <c r="A168" s="134" t="s">
        <v>215</v>
      </c>
      <c r="B168" s="164"/>
      <c r="C168" s="164"/>
      <c r="D168" s="161"/>
      <c r="E168" s="161">
        <v>462.13</v>
      </c>
      <c r="F168" s="161">
        <f>E168</f>
        <v>462.13</v>
      </c>
      <c r="G168" s="161"/>
      <c r="H168" s="161">
        <v>462.13</v>
      </c>
      <c r="I168" s="161"/>
      <c r="J168" s="161">
        <f>H168</f>
        <v>462.13</v>
      </c>
      <c r="K168" s="161"/>
      <c r="L168" s="161"/>
      <c r="M168" s="161"/>
      <c r="N168" s="161"/>
      <c r="O168" s="161">
        <v>462.13</v>
      </c>
      <c r="P168" s="161">
        <f>O168</f>
        <v>462.13</v>
      </c>
      <c r="CY168" s="13"/>
      <c r="CZ168" s="13"/>
      <c r="DA168" s="13"/>
      <c r="DB168" s="13"/>
      <c r="DC168" s="13"/>
      <c r="DD168" s="13"/>
    </row>
    <row r="169" spans="1:108" s="4" customFormat="1" ht="30.75" customHeight="1" hidden="1">
      <c r="A169" s="134" t="s">
        <v>216</v>
      </c>
      <c r="B169" s="164"/>
      <c r="C169" s="164"/>
      <c r="D169" s="161">
        <v>105.83</v>
      </c>
      <c r="E169" s="161"/>
      <c r="F169" s="161">
        <f>D169</f>
        <v>105.83</v>
      </c>
      <c r="G169" s="161">
        <v>105.83</v>
      </c>
      <c r="H169" s="161"/>
      <c r="I169" s="161"/>
      <c r="J169" s="161">
        <f>G169</f>
        <v>105.83</v>
      </c>
      <c r="K169" s="161"/>
      <c r="L169" s="161"/>
      <c r="M169" s="161"/>
      <c r="N169" s="161">
        <v>105.83</v>
      </c>
      <c r="O169" s="161"/>
      <c r="P169" s="161">
        <f>N169</f>
        <v>105.83</v>
      </c>
      <c r="CY169" s="13"/>
      <c r="CZ169" s="13"/>
      <c r="DA169" s="13"/>
      <c r="DB169" s="13"/>
      <c r="DC169" s="13"/>
      <c r="DD169" s="13"/>
    </row>
    <row r="170" spans="1:108" s="4" customFormat="1" ht="25.5" customHeight="1" hidden="1">
      <c r="A170" s="134" t="s">
        <v>217</v>
      </c>
      <c r="B170" s="164"/>
      <c r="C170" s="164"/>
      <c r="D170" s="169">
        <v>18995</v>
      </c>
      <c r="E170" s="169"/>
      <c r="F170" s="169">
        <f>D170</f>
        <v>18995</v>
      </c>
      <c r="G170" s="169">
        <v>18995</v>
      </c>
      <c r="H170" s="169"/>
      <c r="I170" s="169"/>
      <c r="J170" s="169">
        <f>G170</f>
        <v>18995</v>
      </c>
      <c r="K170" s="169"/>
      <c r="L170" s="169"/>
      <c r="M170" s="169"/>
      <c r="N170" s="169">
        <v>18995</v>
      </c>
      <c r="O170" s="169"/>
      <c r="P170" s="169">
        <f>N170</f>
        <v>18995</v>
      </c>
      <c r="CY170" s="13"/>
      <c r="CZ170" s="13"/>
      <c r="DA170" s="13"/>
      <c r="DB170" s="13"/>
      <c r="DC170" s="13"/>
      <c r="DD170" s="13"/>
    </row>
    <row r="171" spans="1:108" s="4" customFormat="1" ht="12.75" hidden="1">
      <c r="A171" s="134" t="s">
        <v>218</v>
      </c>
      <c r="B171" s="164"/>
      <c r="C171" s="164"/>
      <c r="D171" s="169">
        <v>8000</v>
      </c>
      <c r="E171" s="169"/>
      <c r="F171" s="169">
        <f>D171</f>
        <v>8000</v>
      </c>
      <c r="G171" s="169">
        <f>F171</f>
        <v>8000</v>
      </c>
      <c r="H171" s="169"/>
      <c r="I171" s="169"/>
      <c r="J171" s="169">
        <f>G171</f>
        <v>8000</v>
      </c>
      <c r="K171" s="169"/>
      <c r="L171" s="169"/>
      <c r="M171" s="169"/>
      <c r="N171" s="169">
        <f>G171</f>
        <v>8000</v>
      </c>
      <c r="O171" s="169"/>
      <c r="P171" s="169">
        <f>N171</f>
        <v>8000</v>
      </c>
      <c r="CY171" s="13"/>
      <c r="CZ171" s="13"/>
      <c r="DA171" s="13"/>
      <c r="DB171" s="13"/>
      <c r="DC171" s="13"/>
      <c r="DD171" s="13"/>
    </row>
    <row r="172" spans="1:108" s="4" customFormat="1" ht="29.25" customHeight="1" hidden="1">
      <c r="A172" s="134" t="s">
        <v>219</v>
      </c>
      <c r="B172" s="164"/>
      <c r="C172" s="164"/>
      <c r="D172" s="161">
        <f>10773913.04+289855.07+7003.9</f>
        <v>11070772.01</v>
      </c>
      <c r="E172" s="161"/>
      <c r="F172" s="161">
        <f>D172</f>
        <v>11070772.01</v>
      </c>
      <c r="G172" s="161">
        <f>10773913.04+289855.07</f>
        <v>11063768.11</v>
      </c>
      <c r="H172" s="161"/>
      <c r="I172" s="161"/>
      <c r="J172" s="161">
        <f>G172</f>
        <v>11063768.11</v>
      </c>
      <c r="K172" s="161"/>
      <c r="L172" s="161"/>
      <c r="M172" s="161"/>
      <c r="N172" s="161">
        <f>10773913.04+289855.07</f>
        <v>11063768.11</v>
      </c>
      <c r="O172" s="161"/>
      <c r="P172" s="161">
        <f>N172</f>
        <v>11063768.11</v>
      </c>
      <c r="CY172" s="13"/>
      <c r="CZ172" s="13"/>
      <c r="DA172" s="13"/>
      <c r="DB172" s="13"/>
      <c r="DC172" s="13"/>
      <c r="DD172" s="13"/>
    </row>
    <row r="173" spans="1:108" s="4" customFormat="1" ht="12.75" hidden="1">
      <c r="A173" s="133" t="s">
        <v>184</v>
      </c>
      <c r="B173" s="8"/>
      <c r="C173" s="8"/>
      <c r="D173" s="168"/>
      <c r="E173" s="168"/>
      <c r="F173" s="161"/>
      <c r="G173" s="168"/>
      <c r="H173" s="168"/>
      <c r="I173" s="168"/>
      <c r="J173" s="161"/>
      <c r="K173" s="161"/>
      <c r="L173" s="161"/>
      <c r="M173" s="161"/>
      <c r="N173" s="168"/>
      <c r="O173" s="168"/>
      <c r="P173" s="174"/>
      <c r="CY173" s="13"/>
      <c r="CZ173" s="13"/>
      <c r="DA173" s="13"/>
      <c r="DB173" s="13"/>
      <c r="DC173" s="13"/>
      <c r="DD173" s="13"/>
    </row>
    <row r="174" spans="1:108" s="4" customFormat="1" ht="24" customHeight="1" hidden="1">
      <c r="A174" s="134" t="s">
        <v>398</v>
      </c>
      <c r="B174" s="164"/>
      <c r="C174" s="164"/>
      <c r="D174" s="161"/>
      <c r="E174" s="161"/>
      <c r="F174" s="161"/>
      <c r="G174" s="161"/>
      <c r="H174" s="161"/>
      <c r="I174" s="161"/>
      <c r="J174" s="161">
        <f>G174</f>
        <v>0</v>
      </c>
      <c r="K174" s="161"/>
      <c r="L174" s="161"/>
      <c r="M174" s="161"/>
      <c r="N174" s="161"/>
      <c r="O174" s="161"/>
      <c r="P174" s="161">
        <f>N174</f>
        <v>0</v>
      </c>
      <c r="CY174" s="13"/>
      <c r="CZ174" s="13"/>
      <c r="DA174" s="13"/>
      <c r="DB174" s="13"/>
      <c r="DC174" s="13"/>
      <c r="DD174" s="13"/>
    </row>
    <row r="175" spans="1:108" s="4" customFormat="1" ht="29.25" customHeight="1" hidden="1">
      <c r="A175" s="134" t="s">
        <v>220</v>
      </c>
      <c r="B175" s="164"/>
      <c r="C175" s="164"/>
      <c r="D175" s="161">
        <v>30</v>
      </c>
      <c r="E175" s="161"/>
      <c r="F175" s="161">
        <f>D175</f>
        <v>30</v>
      </c>
      <c r="G175" s="161">
        <v>46</v>
      </c>
      <c r="H175" s="161"/>
      <c r="I175" s="161"/>
      <c r="J175" s="161">
        <f>G175</f>
        <v>46</v>
      </c>
      <c r="K175" s="161"/>
      <c r="L175" s="161"/>
      <c r="M175" s="161"/>
      <c r="N175" s="161">
        <v>46</v>
      </c>
      <c r="O175" s="161"/>
      <c r="P175" s="161">
        <f>N175</f>
        <v>46</v>
      </c>
      <c r="CY175" s="13"/>
      <c r="CZ175" s="13"/>
      <c r="DA175" s="13"/>
      <c r="DB175" s="13"/>
      <c r="DC175" s="13"/>
      <c r="DD175" s="13"/>
    </row>
    <row r="176" spans="1:108" s="4" customFormat="1" ht="30" customHeight="1" hidden="1">
      <c r="A176" s="134" t="s">
        <v>221</v>
      </c>
      <c r="B176" s="164"/>
      <c r="C176" s="164"/>
      <c r="D176" s="161"/>
      <c r="E176" s="161">
        <v>8.8056024831</v>
      </c>
      <c r="F176" s="161">
        <f>E176</f>
        <v>8.8056024831</v>
      </c>
      <c r="G176" s="161"/>
      <c r="H176" s="169">
        <v>30</v>
      </c>
      <c r="I176" s="161"/>
      <c r="J176" s="161">
        <f>H176</f>
        <v>30</v>
      </c>
      <c r="K176" s="161"/>
      <c r="L176" s="161"/>
      <c r="M176" s="161"/>
      <c r="N176" s="161"/>
      <c r="O176" s="161">
        <v>30</v>
      </c>
      <c r="P176" s="161">
        <f>O176</f>
        <v>30</v>
      </c>
      <c r="CY176" s="13"/>
      <c r="CZ176" s="13"/>
      <c r="DA176" s="13"/>
      <c r="DB176" s="13"/>
      <c r="DC176" s="13"/>
      <c r="DD176" s="13"/>
    </row>
    <row r="177" spans="1:108" s="4" customFormat="1" ht="19.5" customHeight="1" hidden="1">
      <c r="A177" s="134" t="s">
        <v>234</v>
      </c>
      <c r="B177" s="164"/>
      <c r="C177" s="164"/>
      <c r="D177" s="161">
        <f>D170</f>
        <v>18995</v>
      </c>
      <c r="E177" s="161"/>
      <c r="F177" s="161">
        <f>D177</f>
        <v>18995</v>
      </c>
      <c r="G177" s="161">
        <f>G170</f>
        <v>18995</v>
      </c>
      <c r="H177" s="161"/>
      <c r="I177" s="161"/>
      <c r="J177" s="161">
        <f>G177</f>
        <v>18995</v>
      </c>
      <c r="K177" s="161"/>
      <c r="L177" s="161"/>
      <c r="M177" s="161"/>
      <c r="N177" s="161">
        <f>N170</f>
        <v>18995</v>
      </c>
      <c r="O177" s="161"/>
      <c r="P177" s="161">
        <f>N177</f>
        <v>18995</v>
      </c>
      <c r="CY177" s="13"/>
      <c r="CZ177" s="13"/>
      <c r="DA177" s="13"/>
      <c r="DB177" s="13"/>
      <c r="DC177" s="13"/>
      <c r="DD177" s="13"/>
    </row>
    <row r="178" spans="1:108" s="4" customFormat="1" ht="24.75" customHeight="1" hidden="1">
      <c r="A178" s="134" t="s">
        <v>222</v>
      </c>
      <c r="B178" s="164"/>
      <c r="C178" s="164"/>
      <c r="D178" s="161">
        <f>2482-181-1460-243</f>
        <v>598</v>
      </c>
      <c r="E178" s="161"/>
      <c r="F178" s="161">
        <f>D178</f>
        <v>598</v>
      </c>
      <c r="G178" s="161">
        <f>2482-181</f>
        <v>2301</v>
      </c>
      <c r="H178" s="161"/>
      <c r="I178" s="161"/>
      <c r="J178" s="161">
        <f>G178</f>
        <v>2301</v>
      </c>
      <c r="K178" s="161"/>
      <c r="L178" s="161"/>
      <c r="M178" s="161"/>
      <c r="N178" s="161">
        <f>2482-181</f>
        <v>2301</v>
      </c>
      <c r="O178" s="161"/>
      <c r="P178" s="161">
        <f>N178</f>
        <v>2301</v>
      </c>
      <c r="CY178" s="13"/>
      <c r="CZ178" s="13"/>
      <c r="DA178" s="13"/>
      <c r="DB178" s="13"/>
      <c r="DC178" s="13"/>
      <c r="DD178" s="13"/>
    </row>
    <row r="179" spans="1:108" s="4" customFormat="1" ht="24.75" customHeight="1" hidden="1">
      <c r="A179" s="134" t="s">
        <v>223</v>
      </c>
      <c r="B179" s="164"/>
      <c r="C179" s="164"/>
      <c r="D179" s="161">
        <v>11070772.01</v>
      </c>
      <c r="E179" s="161"/>
      <c r="F179" s="161">
        <f>D179</f>
        <v>11070772.01</v>
      </c>
      <c r="G179" s="161">
        <v>11063768.11</v>
      </c>
      <c r="H179" s="161"/>
      <c r="I179" s="161"/>
      <c r="J179" s="161">
        <f>G179</f>
        <v>11063768.11</v>
      </c>
      <c r="K179" s="161"/>
      <c r="L179" s="161"/>
      <c r="M179" s="161"/>
      <c r="N179" s="161">
        <v>11063768.11</v>
      </c>
      <c r="O179" s="161"/>
      <c r="P179" s="161">
        <f>N179</f>
        <v>11063768.11</v>
      </c>
      <c r="CY179" s="13"/>
      <c r="CZ179" s="13"/>
      <c r="DA179" s="13"/>
      <c r="DB179" s="13"/>
      <c r="DC179" s="13"/>
      <c r="DD179" s="13"/>
    </row>
    <row r="180" spans="1:108" s="4" customFormat="1" ht="12.75" hidden="1">
      <c r="A180" s="133" t="s">
        <v>186</v>
      </c>
      <c r="B180" s="8"/>
      <c r="C180" s="8"/>
      <c r="D180" s="168"/>
      <c r="E180" s="168"/>
      <c r="F180" s="161"/>
      <c r="G180" s="168"/>
      <c r="H180" s="168"/>
      <c r="I180" s="168"/>
      <c r="J180" s="161"/>
      <c r="K180" s="161"/>
      <c r="L180" s="161"/>
      <c r="M180" s="161"/>
      <c r="N180" s="168"/>
      <c r="O180" s="168"/>
      <c r="P180" s="161"/>
      <c r="CY180" s="13"/>
      <c r="CZ180" s="13"/>
      <c r="DA180" s="13"/>
      <c r="DB180" s="13"/>
      <c r="DC180" s="13"/>
      <c r="DD180" s="13"/>
    </row>
    <row r="181" spans="1:108" s="4" customFormat="1" ht="30.75" customHeight="1" hidden="1">
      <c r="A181" s="134" t="s">
        <v>224</v>
      </c>
      <c r="B181" s="164"/>
      <c r="C181" s="164"/>
      <c r="D181" s="174">
        <v>63333.3333</v>
      </c>
      <c r="E181" s="161"/>
      <c r="F181" s="161">
        <f>D181</f>
        <v>63333.3333</v>
      </c>
      <c r="G181" s="161">
        <v>355287.611304</v>
      </c>
      <c r="H181" s="161"/>
      <c r="I181" s="161"/>
      <c r="J181" s="161">
        <f>G181</f>
        <v>355287.611304</v>
      </c>
      <c r="K181" s="161"/>
      <c r="L181" s="161"/>
      <c r="M181" s="161"/>
      <c r="N181" s="161">
        <v>373051.9905</v>
      </c>
      <c r="O181" s="161"/>
      <c r="P181" s="161">
        <f>N181</f>
        <v>373051.9905</v>
      </c>
      <c r="CY181" s="13"/>
      <c r="CZ181" s="13"/>
      <c r="DA181" s="13"/>
      <c r="DB181" s="13"/>
      <c r="DC181" s="13"/>
      <c r="DD181" s="13"/>
    </row>
    <row r="182" spans="1:108" s="4" customFormat="1" ht="25.5" hidden="1">
      <c r="A182" s="134" t="s">
        <v>225</v>
      </c>
      <c r="B182" s="164"/>
      <c r="C182" s="164"/>
      <c r="D182" s="161"/>
      <c r="E182" s="161">
        <v>600753.9</v>
      </c>
      <c r="F182" s="161">
        <f>E182</f>
        <v>600753.9</v>
      </c>
      <c r="G182" s="161"/>
      <c r="H182" s="161">
        <v>645433.333333</v>
      </c>
      <c r="I182" s="161"/>
      <c r="J182" s="161">
        <f>H182</f>
        <v>645433.333333</v>
      </c>
      <c r="K182" s="161"/>
      <c r="L182" s="161"/>
      <c r="M182" s="161"/>
      <c r="N182" s="161"/>
      <c r="O182" s="161">
        <v>677733.333333</v>
      </c>
      <c r="P182" s="161">
        <f>O182</f>
        <v>677733.333333</v>
      </c>
      <c r="CY182" s="13"/>
      <c r="CZ182" s="13"/>
      <c r="DA182" s="13"/>
      <c r="DB182" s="13"/>
      <c r="DC182" s="13"/>
      <c r="DD182" s="13"/>
    </row>
    <row r="183" spans="1:108" s="4" customFormat="1" ht="23.25" customHeight="1" hidden="1">
      <c r="A183" s="134" t="s">
        <v>226</v>
      </c>
      <c r="B183" s="164"/>
      <c r="C183" s="164"/>
      <c r="D183" s="161">
        <v>466.6074</v>
      </c>
      <c r="E183" s="161"/>
      <c r="F183" s="161">
        <f>D183</f>
        <v>466.6074</v>
      </c>
      <c r="G183" s="161">
        <v>536.43807</v>
      </c>
      <c r="H183" s="161"/>
      <c r="I183" s="161"/>
      <c r="J183" s="161">
        <f>G183</f>
        <v>536.43807</v>
      </c>
      <c r="K183" s="161"/>
      <c r="L183" s="161"/>
      <c r="M183" s="161"/>
      <c r="N183" s="161">
        <v>563.26</v>
      </c>
      <c r="O183" s="161"/>
      <c r="P183" s="161">
        <f>N183</f>
        <v>563.26</v>
      </c>
      <c r="CY183" s="13"/>
      <c r="CZ183" s="13"/>
      <c r="DA183" s="13"/>
      <c r="DB183" s="13"/>
      <c r="DC183" s="13"/>
      <c r="DD183" s="13"/>
    </row>
    <row r="184" spans="1:108" s="4" customFormat="1" ht="17.25" customHeight="1" hidden="1">
      <c r="A184" s="134" t="s">
        <v>227</v>
      </c>
      <c r="B184" s="164"/>
      <c r="C184" s="164"/>
      <c r="D184" s="161">
        <f>5539.2423+0.05-350-4.0057</f>
        <v>5185.2866</v>
      </c>
      <c r="E184" s="161"/>
      <c r="F184" s="161">
        <f>D184</f>
        <v>5185.2866</v>
      </c>
      <c r="G184" s="161">
        <f>5853.91968+1.184434+1.666362</f>
        <v>5856.770476</v>
      </c>
      <c r="H184" s="161"/>
      <c r="I184" s="161"/>
      <c r="J184" s="161">
        <f>G184</f>
        <v>5856.770476</v>
      </c>
      <c r="K184" s="161"/>
      <c r="L184" s="161"/>
      <c r="M184" s="161"/>
      <c r="N184" s="161">
        <f>6146.616+2.98636679704</f>
        <v>6149.60236679704</v>
      </c>
      <c r="O184" s="161"/>
      <c r="P184" s="161">
        <f>N184</f>
        <v>6149.60236679704</v>
      </c>
      <c r="CY184" s="13"/>
      <c r="CZ184" s="13"/>
      <c r="DA184" s="13"/>
      <c r="DB184" s="13"/>
      <c r="DC184" s="13"/>
      <c r="DD184" s="13"/>
    </row>
    <row r="185" spans="1:108" s="4" customFormat="1" ht="25.5" hidden="1">
      <c r="A185" s="134" t="s">
        <v>290</v>
      </c>
      <c r="B185" s="164"/>
      <c r="C185" s="164"/>
      <c r="D185" s="161">
        <v>3.9563645</v>
      </c>
      <c r="E185" s="161"/>
      <c r="F185" s="161">
        <f>D185</f>
        <v>3.9563645</v>
      </c>
      <c r="G185" s="161">
        <v>3.632849073</v>
      </c>
      <c r="H185" s="161"/>
      <c r="I185" s="161"/>
      <c r="J185" s="161">
        <f>G185</f>
        <v>3.632849073</v>
      </c>
      <c r="K185" s="161"/>
      <c r="L185" s="161"/>
      <c r="M185" s="161"/>
      <c r="N185" s="161">
        <v>3.814491526</v>
      </c>
      <c r="O185" s="161"/>
      <c r="P185" s="161">
        <f>N185</f>
        <v>3.814491526</v>
      </c>
      <c r="CY185" s="13"/>
      <c r="CZ185" s="13"/>
      <c r="DA185" s="13"/>
      <c r="DB185" s="13"/>
      <c r="DC185" s="13"/>
      <c r="DD185" s="13"/>
    </row>
    <row r="186" spans="1:108" s="4" customFormat="1" ht="12.75" hidden="1">
      <c r="A186" s="133" t="s">
        <v>185</v>
      </c>
      <c r="B186" s="8"/>
      <c r="C186" s="8"/>
      <c r="D186" s="9"/>
      <c r="E186" s="9"/>
      <c r="F186" s="131"/>
      <c r="G186" s="9"/>
      <c r="H186" s="9"/>
      <c r="I186" s="9"/>
      <c r="J186" s="131"/>
      <c r="K186" s="131"/>
      <c r="L186" s="131"/>
      <c r="M186" s="131"/>
      <c r="N186" s="9"/>
      <c r="O186" s="9"/>
      <c r="P186" s="131"/>
      <c r="CY186" s="13"/>
      <c r="CZ186" s="13"/>
      <c r="DA186" s="13"/>
      <c r="DB186" s="13"/>
      <c r="DC186" s="13"/>
      <c r="DD186" s="13"/>
    </row>
    <row r="187" spans="1:108" s="4" customFormat="1" ht="25.5" hidden="1">
      <c r="A187" s="134" t="s">
        <v>229</v>
      </c>
      <c r="B187" s="164"/>
      <c r="C187" s="164"/>
      <c r="D187" s="131"/>
      <c r="E187" s="131">
        <f>E176/E168*100</f>
        <v>1.9054384011208965</v>
      </c>
      <c r="F187" s="131">
        <f>E187</f>
        <v>1.9054384011208965</v>
      </c>
      <c r="G187" s="131"/>
      <c r="H187" s="131">
        <f>H176/H168*100</f>
        <v>6.491679830350767</v>
      </c>
      <c r="I187" s="131"/>
      <c r="J187" s="131">
        <f>H187</f>
        <v>6.491679830350767</v>
      </c>
      <c r="K187" s="131"/>
      <c r="L187" s="131"/>
      <c r="M187" s="131"/>
      <c r="N187" s="131"/>
      <c r="O187" s="131">
        <f>O176/O168*100</f>
        <v>6.491679830350767</v>
      </c>
      <c r="P187" s="131">
        <f>O187</f>
        <v>6.491679830350767</v>
      </c>
      <c r="CY187" s="13"/>
      <c r="CZ187" s="13"/>
      <c r="DA187" s="13"/>
      <c r="DB187" s="13"/>
      <c r="DC187" s="13"/>
      <c r="DD187" s="13"/>
    </row>
    <row r="188" spans="1:108" s="4" customFormat="1" ht="25.5" hidden="1">
      <c r="A188" s="134" t="s">
        <v>228</v>
      </c>
      <c r="B188" s="164"/>
      <c r="C188" s="164"/>
      <c r="D188" s="131">
        <f>D175/D169*100</f>
        <v>28.347349522819616</v>
      </c>
      <c r="E188" s="131"/>
      <c r="F188" s="131">
        <f>D188</f>
        <v>28.347349522819616</v>
      </c>
      <c r="G188" s="131">
        <f>G175/G169*100</f>
        <v>43.46593593499008</v>
      </c>
      <c r="H188" s="131"/>
      <c r="I188" s="131"/>
      <c r="J188" s="131">
        <f>G188</f>
        <v>43.46593593499008</v>
      </c>
      <c r="K188" s="131"/>
      <c r="L188" s="131"/>
      <c r="M188" s="131"/>
      <c r="N188" s="131">
        <f>N175/N169*100</f>
        <v>43.46593593499008</v>
      </c>
      <c r="O188" s="131"/>
      <c r="P188" s="131">
        <f>N188</f>
        <v>43.46593593499008</v>
      </c>
      <c r="CY188" s="13"/>
      <c r="CZ188" s="13"/>
      <c r="DA188" s="13"/>
      <c r="DB188" s="13"/>
      <c r="DC188" s="13"/>
      <c r="DD188" s="13"/>
    </row>
    <row r="189" spans="1:108" s="4" customFormat="1" ht="24" customHeight="1" hidden="1">
      <c r="A189" s="134" t="s">
        <v>230</v>
      </c>
      <c r="B189" s="164"/>
      <c r="C189" s="164"/>
      <c r="D189" s="131">
        <f>D178/D171*100</f>
        <v>7.475</v>
      </c>
      <c r="E189" s="174"/>
      <c r="F189" s="131">
        <f>D189</f>
        <v>7.475</v>
      </c>
      <c r="G189" s="131">
        <f>G178/G171*100</f>
        <v>28.762500000000003</v>
      </c>
      <c r="H189" s="131"/>
      <c r="I189" s="131"/>
      <c r="J189" s="131">
        <f>G189</f>
        <v>28.762500000000003</v>
      </c>
      <c r="K189" s="131"/>
      <c r="L189" s="131"/>
      <c r="M189" s="131"/>
      <c r="N189" s="131">
        <f>N178/N171*100</f>
        <v>28.762500000000003</v>
      </c>
      <c r="O189" s="131"/>
      <c r="P189" s="131">
        <f>N189</f>
        <v>28.762500000000003</v>
      </c>
      <c r="CY189" s="13"/>
      <c r="CZ189" s="13"/>
      <c r="DA189" s="13"/>
      <c r="DB189" s="13"/>
      <c r="DC189" s="13"/>
      <c r="DD189" s="13"/>
    </row>
    <row r="190" spans="1:108" s="4" customFormat="1" ht="48" customHeight="1" hidden="1">
      <c r="A190" s="68" t="s">
        <v>105</v>
      </c>
      <c r="B190" s="164"/>
      <c r="C190" s="164"/>
      <c r="D190" s="67">
        <f>D191+D235+D242+D249+D256</f>
        <v>25816400.004169937</v>
      </c>
      <c r="E190" s="67">
        <f>E191+E235+E242+E249+E256</f>
        <v>3361200</v>
      </c>
      <c r="F190" s="67">
        <f>D190+E190</f>
        <v>29177600.004169937</v>
      </c>
      <c r="G190" s="67">
        <f>G191+G235+G242+G249+G256</f>
        <v>35137100.001386344</v>
      </c>
      <c r="H190" s="67">
        <f aca="true" t="shared" si="13" ref="H190:O190">H191+H235+H242+H249+H256</f>
        <v>20530000</v>
      </c>
      <c r="I190" s="67">
        <f t="shared" si="13"/>
        <v>0</v>
      </c>
      <c r="J190" s="67">
        <f>G190+H190</f>
        <v>55667100.001386344</v>
      </c>
      <c r="K190" s="67">
        <f t="shared" si="13"/>
        <v>0</v>
      </c>
      <c r="L190" s="67">
        <f t="shared" si="13"/>
        <v>0</v>
      </c>
      <c r="M190" s="67">
        <f t="shared" si="13"/>
        <v>0</v>
      </c>
      <c r="N190" s="67">
        <f t="shared" si="13"/>
        <v>36497501.920780905</v>
      </c>
      <c r="O190" s="67">
        <f t="shared" si="13"/>
        <v>21056500</v>
      </c>
      <c r="P190" s="67">
        <f>N190+O190</f>
        <v>57554001.920780905</v>
      </c>
      <c r="CY190" s="13"/>
      <c r="CZ190" s="13"/>
      <c r="DA190" s="13"/>
      <c r="DB190" s="13"/>
      <c r="DC190" s="13"/>
      <c r="DD190" s="13"/>
    </row>
    <row r="191" spans="1:108" s="50" customFormat="1" ht="38.25" customHeight="1" hidden="1">
      <c r="A191" s="137" t="s">
        <v>106</v>
      </c>
      <c r="B191" s="159"/>
      <c r="C191" s="159"/>
      <c r="D191" s="160">
        <f>D203*D218+D204*D219+D205*D220+D206*D221+D207*D222+D208*D223+D209*D224+D210*D225+D211*D226+D212*D227+D213*D228+D214*D229+D215*D230+D216*D231+30.43</f>
        <v>24411800.004169937</v>
      </c>
      <c r="E191" s="160">
        <f aca="true" t="shared" si="14" ref="E191:O191">E203*E218+E204*E219+E205*E220+E206*E221+E207*E222+E208*E223+E209*E224+E210*E225+E211*E226+E212*E227+E213*E228+E214*E229+E215*E230</f>
        <v>0</v>
      </c>
      <c r="F191" s="160">
        <f>D191+E191</f>
        <v>24411800.004169937</v>
      </c>
      <c r="G191" s="163">
        <f>G203*G218+G204*G219+G205*G220+G206*G221+G207*G222+G208*G223+G209*G224+G210*G225+G211*G226+G212*G227+G213*G228+G214*G229+G215*G230+G216*G231+31.19</f>
        <v>33191200.001386344</v>
      </c>
      <c r="H191" s="163">
        <f t="shared" si="14"/>
        <v>0</v>
      </c>
      <c r="I191" s="163">
        <f t="shared" si="14"/>
        <v>0</v>
      </c>
      <c r="J191" s="163">
        <f>G191+H191</f>
        <v>33191200.001386344</v>
      </c>
      <c r="K191" s="160">
        <f t="shared" si="14"/>
        <v>0</v>
      </c>
      <c r="L191" s="160">
        <f t="shared" si="14"/>
        <v>0</v>
      </c>
      <c r="M191" s="160">
        <f t="shared" si="14"/>
        <v>0</v>
      </c>
      <c r="N191" s="160">
        <f t="shared" si="14"/>
        <v>34690501.920780905</v>
      </c>
      <c r="O191" s="160">
        <f t="shared" si="14"/>
        <v>0</v>
      </c>
      <c r="P191" s="160">
        <f>N191+O191</f>
        <v>34690501.920780905</v>
      </c>
      <c r="CY191" s="51"/>
      <c r="CZ191" s="51"/>
      <c r="DA191" s="51"/>
      <c r="DB191" s="51"/>
      <c r="DC191" s="51"/>
      <c r="DD191" s="51"/>
    </row>
    <row r="192" spans="1:108" s="4" customFormat="1" ht="12.75" hidden="1">
      <c r="A192" s="133" t="s">
        <v>183</v>
      </c>
      <c r="B192" s="8"/>
      <c r="C192" s="8"/>
      <c r="D192" s="9"/>
      <c r="E192" s="9"/>
      <c r="F192" s="9"/>
      <c r="G192" s="9"/>
      <c r="H192" s="9"/>
      <c r="I192" s="9"/>
      <c r="J192" s="9"/>
      <c r="K192" s="131"/>
      <c r="L192" s="131"/>
      <c r="M192" s="131"/>
      <c r="N192" s="9"/>
      <c r="O192" s="9"/>
      <c r="P192" s="9"/>
      <c r="CY192" s="13"/>
      <c r="CZ192" s="13"/>
      <c r="DA192" s="13"/>
      <c r="DB192" s="13"/>
      <c r="DC192" s="13"/>
      <c r="DD192" s="13"/>
    </row>
    <row r="193" spans="1:108" s="48" customFormat="1" ht="26.25" customHeight="1" hidden="1">
      <c r="A193" s="134" t="s">
        <v>528</v>
      </c>
      <c r="B193" s="164"/>
      <c r="C193" s="164"/>
      <c r="D193" s="166">
        <v>180</v>
      </c>
      <c r="E193" s="166"/>
      <c r="F193" s="166">
        <f aca="true" t="shared" si="15" ref="F193:F199">D193</f>
        <v>180</v>
      </c>
      <c r="G193" s="166">
        <v>187</v>
      </c>
      <c r="H193" s="166"/>
      <c r="I193" s="166"/>
      <c r="J193" s="166">
        <f aca="true" t="shared" si="16" ref="J193:J200">G193</f>
        <v>187</v>
      </c>
      <c r="K193" s="166"/>
      <c r="L193" s="166"/>
      <c r="M193" s="166"/>
      <c r="N193" s="166">
        <v>187</v>
      </c>
      <c r="O193" s="166"/>
      <c r="P193" s="166">
        <f aca="true" t="shared" si="17" ref="P193:P200">N193</f>
        <v>187</v>
      </c>
      <c r="CY193" s="49"/>
      <c r="CZ193" s="49"/>
      <c r="DA193" s="49"/>
      <c r="DB193" s="49"/>
      <c r="DC193" s="49"/>
      <c r="DD193" s="49"/>
    </row>
    <row r="194" spans="1:108" s="48" customFormat="1" ht="18.75" customHeight="1" hidden="1">
      <c r="A194" s="134" t="s">
        <v>469</v>
      </c>
      <c r="B194" s="164"/>
      <c r="C194" s="164"/>
      <c r="D194" s="166">
        <f>4850+8210</f>
        <v>13060</v>
      </c>
      <c r="E194" s="166"/>
      <c r="F194" s="166">
        <f t="shared" si="15"/>
        <v>13060</v>
      </c>
      <c r="G194" s="166">
        <f>F194</f>
        <v>13060</v>
      </c>
      <c r="H194" s="166"/>
      <c r="I194" s="166"/>
      <c r="J194" s="166">
        <f t="shared" si="16"/>
        <v>13060</v>
      </c>
      <c r="K194" s="166"/>
      <c r="L194" s="166"/>
      <c r="M194" s="166"/>
      <c r="N194" s="166">
        <f>4850+8210</f>
        <v>13060</v>
      </c>
      <c r="O194" s="166"/>
      <c r="P194" s="166">
        <f t="shared" si="17"/>
        <v>13060</v>
      </c>
      <c r="CY194" s="49"/>
      <c r="CZ194" s="49"/>
      <c r="DA194" s="49"/>
      <c r="DB194" s="49"/>
      <c r="DC194" s="49"/>
      <c r="DD194" s="49"/>
    </row>
    <row r="195" spans="1:108" s="48" customFormat="1" ht="20.25" customHeight="1" hidden="1">
      <c r="A195" s="134" t="s">
        <v>291</v>
      </c>
      <c r="B195" s="164"/>
      <c r="C195" s="164"/>
      <c r="D195" s="166">
        <v>2000</v>
      </c>
      <c r="E195" s="166"/>
      <c r="F195" s="166">
        <f>D195</f>
        <v>2000</v>
      </c>
      <c r="G195" s="166">
        <v>2000</v>
      </c>
      <c r="H195" s="166"/>
      <c r="I195" s="166"/>
      <c r="J195" s="166">
        <f t="shared" si="16"/>
        <v>2000</v>
      </c>
      <c r="K195" s="166"/>
      <c r="L195" s="166"/>
      <c r="M195" s="166"/>
      <c r="N195" s="166">
        <v>2000</v>
      </c>
      <c r="O195" s="166"/>
      <c r="P195" s="166">
        <f t="shared" si="17"/>
        <v>2000</v>
      </c>
      <c r="CY195" s="49"/>
      <c r="CZ195" s="49"/>
      <c r="DA195" s="49"/>
      <c r="DB195" s="49"/>
      <c r="DC195" s="49"/>
      <c r="DD195" s="49"/>
    </row>
    <row r="196" spans="1:108" s="48" customFormat="1" ht="12.75" hidden="1">
      <c r="A196" s="134" t="s">
        <v>233</v>
      </c>
      <c r="B196" s="164"/>
      <c r="C196" s="164"/>
      <c r="D196" s="166">
        <v>600</v>
      </c>
      <c r="E196" s="166"/>
      <c r="F196" s="166">
        <f t="shared" si="15"/>
        <v>600</v>
      </c>
      <c r="G196" s="166">
        <v>600</v>
      </c>
      <c r="H196" s="166"/>
      <c r="I196" s="166"/>
      <c r="J196" s="166">
        <f t="shared" si="16"/>
        <v>600</v>
      </c>
      <c r="K196" s="166"/>
      <c r="L196" s="166"/>
      <c r="M196" s="166"/>
      <c r="N196" s="166">
        <v>600</v>
      </c>
      <c r="O196" s="166"/>
      <c r="P196" s="166">
        <f t="shared" si="17"/>
        <v>600</v>
      </c>
      <c r="CY196" s="49"/>
      <c r="CZ196" s="49"/>
      <c r="DA196" s="49"/>
      <c r="DB196" s="49"/>
      <c r="DC196" s="49"/>
      <c r="DD196" s="49"/>
    </row>
    <row r="197" spans="1:108" s="48" customFormat="1" ht="12.75" hidden="1">
      <c r="A197" s="134" t="s">
        <v>473</v>
      </c>
      <c r="B197" s="164"/>
      <c r="C197" s="164"/>
      <c r="D197" s="131">
        <v>123.45</v>
      </c>
      <c r="E197" s="131"/>
      <c r="F197" s="131">
        <f t="shared" si="15"/>
        <v>123.45</v>
      </c>
      <c r="G197" s="131">
        <f>F197</f>
        <v>123.45</v>
      </c>
      <c r="H197" s="131"/>
      <c r="I197" s="131"/>
      <c r="J197" s="131">
        <f t="shared" si="16"/>
        <v>123.45</v>
      </c>
      <c r="K197" s="131"/>
      <c r="L197" s="131"/>
      <c r="M197" s="131"/>
      <c r="N197" s="131">
        <f>J197</f>
        <v>123.45</v>
      </c>
      <c r="O197" s="131"/>
      <c r="P197" s="131">
        <f t="shared" si="17"/>
        <v>123.45</v>
      </c>
      <c r="CY197" s="49"/>
      <c r="CZ197" s="49"/>
      <c r="DA197" s="49"/>
      <c r="DB197" s="49"/>
      <c r="DC197" s="49"/>
      <c r="DD197" s="49"/>
    </row>
    <row r="198" spans="1:108" s="48" customFormat="1" ht="12.75" hidden="1">
      <c r="A198" s="134" t="s">
        <v>472</v>
      </c>
      <c r="B198" s="164"/>
      <c r="C198" s="164"/>
      <c r="D198" s="131">
        <v>11.549</v>
      </c>
      <c r="E198" s="131"/>
      <c r="F198" s="131">
        <f t="shared" si="15"/>
        <v>11.549</v>
      </c>
      <c r="G198" s="131">
        <v>11.549</v>
      </c>
      <c r="H198" s="131"/>
      <c r="I198" s="131">
        <f>G198</f>
        <v>11.549</v>
      </c>
      <c r="J198" s="131">
        <f t="shared" si="16"/>
        <v>11.549</v>
      </c>
      <c r="K198" s="131"/>
      <c r="L198" s="131"/>
      <c r="M198" s="131"/>
      <c r="N198" s="131">
        <v>11.55</v>
      </c>
      <c r="O198" s="131"/>
      <c r="P198" s="131">
        <f t="shared" si="17"/>
        <v>11.55</v>
      </c>
      <c r="CY198" s="49"/>
      <c r="CZ198" s="49"/>
      <c r="DA198" s="49"/>
      <c r="DB198" s="49"/>
      <c r="DC198" s="49"/>
      <c r="DD198" s="49"/>
    </row>
    <row r="199" spans="1:108" s="48" customFormat="1" ht="12.75" hidden="1">
      <c r="A199" s="134" t="s">
        <v>474</v>
      </c>
      <c r="B199" s="164"/>
      <c r="C199" s="164"/>
      <c r="D199" s="131">
        <v>9</v>
      </c>
      <c r="E199" s="131"/>
      <c r="F199" s="131">
        <f t="shared" si="15"/>
        <v>9</v>
      </c>
      <c r="G199" s="131">
        <v>9</v>
      </c>
      <c r="H199" s="131"/>
      <c r="I199" s="131"/>
      <c r="J199" s="131">
        <f t="shared" si="16"/>
        <v>9</v>
      </c>
      <c r="K199" s="131"/>
      <c r="L199" s="131"/>
      <c r="M199" s="131"/>
      <c r="N199" s="131">
        <v>9</v>
      </c>
      <c r="O199" s="131"/>
      <c r="P199" s="131">
        <f t="shared" si="17"/>
        <v>9</v>
      </c>
      <c r="CY199" s="49"/>
      <c r="CZ199" s="49"/>
      <c r="DA199" s="49"/>
      <c r="DB199" s="49"/>
      <c r="DC199" s="49"/>
      <c r="DD199" s="49"/>
    </row>
    <row r="200" spans="1:108" s="4" customFormat="1" ht="12.75" hidden="1">
      <c r="A200" s="134" t="s">
        <v>475</v>
      </c>
      <c r="B200" s="164"/>
      <c r="C200" s="164"/>
      <c r="D200" s="131">
        <v>62633</v>
      </c>
      <c r="E200" s="131"/>
      <c r="F200" s="131">
        <f>D200</f>
        <v>62633</v>
      </c>
      <c r="G200" s="131">
        <v>62625</v>
      </c>
      <c r="H200" s="131"/>
      <c r="I200" s="131"/>
      <c r="J200" s="131">
        <f t="shared" si="16"/>
        <v>62625</v>
      </c>
      <c r="K200" s="131"/>
      <c r="L200" s="131"/>
      <c r="M200" s="131"/>
      <c r="N200" s="131">
        <v>62625</v>
      </c>
      <c r="O200" s="131"/>
      <c r="P200" s="131">
        <f t="shared" si="17"/>
        <v>62625</v>
      </c>
      <c r="CY200" s="13"/>
      <c r="CZ200" s="13"/>
      <c r="DA200" s="13"/>
      <c r="DB200" s="13"/>
      <c r="DC200" s="13"/>
      <c r="DD200" s="13"/>
    </row>
    <row r="201" spans="1:108" s="4" customFormat="1" ht="12.75" hidden="1">
      <c r="A201" s="175" t="s">
        <v>511</v>
      </c>
      <c r="B201" s="164"/>
      <c r="C201" s="164"/>
      <c r="D201" s="131">
        <v>40</v>
      </c>
      <c r="E201" s="131"/>
      <c r="F201" s="131">
        <f>D201</f>
        <v>40</v>
      </c>
      <c r="G201" s="131"/>
      <c r="H201" s="131"/>
      <c r="I201" s="131"/>
      <c r="J201" s="131"/>
      <c r="K201" s="131"/>
      <c r="L201" s="131"/>
      <c r="M201" s="131"/>
      <c r="N201" s="131"/>
      <c r="O201" s="131"/>
      <c r="P201" s="131"/>
      <c r="CY201" s="13"/>
      <c r="CZ201" s="13"/>
      <c r="DA201" s="13"/>
      <c r="DB201" s="13"/>
      <c r="DC201" s="13"/>
      <c r="DD201" s="13"/>
    </row>
    <row r="202" spans="1:108" s="4" customFormat="1" ht="12.75" hidden="1">
      <c r="A202" s="133" t="s">
        <v>184</v>
      </c>
      <c r="B202" s="8"/>
      <c r="C202" s="8"/>
      <c r="D202" s="9"/>
      <c r="E202" s="9"/>
      <c r="F202" s="9"/>
      <c r="G202" s="9"/>
      <c r="H202" s="9"/>
      <c r="I202" s="9"/>
      <c r="J202" s="131"/>
      <c r="K202" s="131"/>
      <c r="L202" s="131"/>
      <c r="M202" s="131"/>
      <c r="N202" s="9"/>
      <c r="O202" s="9"/>
      <c r="P202" s="131"/>
      <c r="CY202" s="13"/>
      <c r="CZ202" s="13"/>
      <c r="DA202" s="13"/>
      <c r="DB202" s="13"/>
      <c r="DC202" s="13"/>
      <c r="DD202" s="13"/>
    </row>
    <row r="203" spans="1:108" s="48" customFormat="1" ht="28.5" customHeight="1" hidden="1">
      <c r="A203" s="134" t="s">
        <v>529</v>
      </c>
      <c r="B203" s="164"/>
      <c r="C203" s="164"/>
      <c r="D203" s="308">
        <v>180</v>
      </c>
      <c r="E203" s="166"/>
      <c r="F203" s="166">
        <f>D203</f>
        <v>180</v>
      </c>
      <c r="G203" s="166">
        <v>187</v>
      </c>
      <c r="H203" s="166"/>
      <c r="I203" s="166"/>
      <c r="J203" s="166">
        <f aca="true" t="shared" si="18" ref="J203:J208">G203</f>
        <v>187</v>
      </c>
      <c r="K203" s="166"/>
      <c r="L203" s="166"/>
      <c r="M203" s="166"/>
      <c r="N203" s="166">
        <v>187</v>
      </c>
      <c r="O203" s="166"/>
      <c r="P203" s="166">
        <f aca="true" t="shared" si="19" ref="P203:P208">N203</f>
        <v>187</v>
      </c>
      <c r="CY203" s="49"/>
      <c r="CZ203" s="49"/>
      <c r="DA203" s="49"/>
      <c r="DB203" s="49"/>
      <c r="DC203" s="49"/>
      <c r="DD203" s="49"/>
    </row>
    <row r="204" spans="1:108" s="48" customFormat="1" ht="12.75" hidden="1">
      <c r="A204" s="134" t="s">
        <v>448</v>
      </c>
      <c r="B204" s="164"/>
      <c r="C204" s="164"/>
      <c r="D204" s="308">
        <f>1556+889-152-440</f>
        <v>1853</v>
      </c>
      <c r="E204" s="166"/>
      <c r="F204" s="166">
        <f aca="true" t="shared" si="20" ref="F204:F216">D204</f>
        <v>1853</v>
      </c>
      <c r="G204" s="166">
        <v>2292</v>
      </c>
      <c r="H204" s="166"/>
      <c r="I204" s="166"/>
      <c r="J204" s="166">
        <f t="shared" si="18"/>
        <v>2292</v>
      </c>
      <c r="K204" s="166"/>
      <c r="L204" s="166"/>
      <c r="M204" s="166"/>
      <c r="N204" s="166">
        <v>2241</v>
      </c>
      <c r="O204" s="166"/>
      <c r="P204" s="166">
        <f t="shared" si="19"/>
        <v>2241</v>
      </c>
      <c r="CY204" s="49"/>
      <c r="CZ204" s="49"/>
      <c r="DA204" s="49"/>
      <c r="DB204" s="49"/>
      <c r="DC204" s="49"/>
      <c r="DD204" s="49"/>
    </row>
    <row r="205" spans="1:108" s="48" customFormat="1" ht="12.75" hidden="1">
      <c r="A205" s="134" t="s">
        <v>467</v>
      </c>
      <c r="B205" s="164"/>
      <c r="C205" s="164"/>
      <c r="D205" s="174">
        <v>0</v>
      </c>
      <c r="E205" s="131"/>
      <c r="F205" s="131">
        <f>D205</f>
        <v>0</v>
      </c>
      <c r="G205" s="131">
        <v>7.77</v>
      </c>
      <c r="H205" s="131"/>
      <c r="I205" s="131"/>
      <c r="J205" s="131">
        <f>G205</f>
        <v>7.77</v>
      </c>
      <c r="K205" s="131"/>
      <c r="L205" s="131"/>
      <c r="M205" s="131"/>
      <c r="N205" s="131">
        <v>7.77</v>
      </c>
      <c r="O205" s="131"/>
      <c r="P205" s="131">
        <f>N205</f>
        <v>7.77</v>
      </c>
      <c r="CY205" s="49"/>
      <c r="CZ205" s="49"/>
      <c r="DA205" s="49"/>
      <c r="DB205" s="49"/>
      <c r="DC205" s="49"/>
      <c r="DD205" s="49"/>
    </row>
    <row r="206" spans="1:108" s="48" customFormat="1" ht="26.25" customHeight="1" hidden="1">
      <c r="A206" s="134" t="s">
        <v>476</v>
      </c>
      <c r="B206" s="164"/>
      <c r="C206" s="164"/>
      <c r="D206" s="174">
        <v>225</v>
      </c>
      <c r="E206" s="131"/>
      <c r="F206" s="131">
        <f>D206</f>
        <v>225</v>
      </c>
      <c r="G206" s="131">
        <v>645</v>
      </c>
      <c r="H206" s="131"/>
      <c r="I206" s="131"/>
      <c r="J206" s="131">
        <f>G206</f>
        <v>645</v>
      </c>
      <c r="K206" s="131"/>
      <c r="L206" s="131"/>
      <c r="M206" s="131"/>
      <c r="N206" s="131">
        <v>645</v>
      </c>
      <c r="O206" s="131"/>
      <c r="P206" s="131">
        <f>N206</f>
        <v>645</v>
      </c>
      <c r="CY206" s="49"/>
      <c r="CZ206" s="49"/>
      <c r="DA206" s="49"/>
      <c r="DB206" s="49"/>
      <c r="DC206" s="49"/>
      <c r="DD206" s="49"/>
    </row>
    <row r="207" spans="1:108" s="48" customFormat="1" ht="12.75" hidden="1">
      <c r="A207" s="134" t="s">
        <v>232</v>
      </c>
      <c r="B207" s="164"/>
      <c r="C207" s="164"/>
      <c r="D207" s="174">
        <v>472</v>
      </c>
      <c r="E207" s="131"/>
      <c r="F207" s="131">
        <f t="shared" si="20"/>
        <v>472</v>
      </c>
      <c r="G207" s="131">
        <v>490</v>
      </c>
      <c r="H207" s="131"/>
      <c r="I207" s="131"/>
      <c r="J207" s="131">
        <f t="shared" si="18"/>
        <v>490</v>
      </c>
      <c r="K207" s="131"/>
      <c r="L207" s="131"/>
      <c r="M207" s="131"/>
      <c r="N207" s="131">
        <v>490</v>
      </c>
      <c r="O207" s="131"/>
      <c r="P207" s="131">
        <f t="shared" si="19"/>
        <v>490</v>
      </c>
      <c r="CY207" s="49"/>
      <c r="CZ207" s="49"/>
      <c r="DA207" s="49"/>
      <c r="DB207" s="49"/>
      <c r="DC207" s="49"/>
      <c r="DD207" s="49"/>
    </row>
    <row r="208" spans="1:108" s="48" customFormat="1" ht="12.75" hidden="1">
      <c r="A208" s="134" t="s">
        <v>449</v>
      </c>
      <c r="B208" s="164"/>
      <c r="C208" s="164"/>
      <c r="D208" s="174">
        <v>76.26</v>
      </c>
      <c r="E208" s="131"/>
      <c r="F208" s="131">
        <f t="shared" si="20"/>
        <v>76.26</v>
      </c>
      <c r="G208" s="131">
        <v>76.26</v>
      </c>
      <c r="H208" s="131"/>
      <c r="I208" s="131"/>
      <c r="J208" s="131">
        <f t="shared" si="18"/>
        <v>76.26</v>
      </c>
      <c r="K208" s="131"/>
      <c r="L208" s="131"/>
      <c r="M208" s="131"/>
      <c r="N208" s="131">
        <f>J208</f>
        <v>76.26</v>
      </c>
      <c r="O208" s="131"/>
      <c r="P208" s="131">
        <f t="shared" si="19"/>
        <v>76.26</v>
      </c>
      <c r="CY208" s="49"/>
      <c r="CZ208" s="49"/>
      <c r="DA208" s="49"/>
      <c r="DB208" s="49"/>
      <c r="DC208" s="49"/>
      <c r="DD208" s="49"/>
    </row>
    <row r="209" spans="1:108" s="48" customFormat="1" ht="12.75" hidden="1">
      <c r="A209" s="134" t="s">
        <v>460</v>
      </c>
      <c r="B209" s="164"/>
      <c r="C209" s="164"/>
      <c r="D209" s="131">
        <f>11000-1143</f>
        <v>9857</v>
      </c>
      <c r="E209" s="131"/>
      <c r="F209" s="131">
        <f>D209</f>
        <v>9857</v>
      </c>
      <c r="G209" s="131">
        <v>11000</v>
      </c>
      <c r="H209" s="131"/>
      <c r="I209" s="131"/>
      <c r="J209" s="131">
        <f>G209</f>
        <v>11000</v>
      </c>
      <c r="K209" s="131"/>
      <c r="L209" s="131"/>
      <c r="M209" s="131"/>
      <c r="N209" s="131">
        <v>11000</v>
      </c>
      <c r="O209" s="131"/>
      <c r="P209" s="131">
        <f>N209</f>
        <v>11000</v>
      </c>
      <c r="CY209" s="49"/>
      <c r="CZ209" s="49"/>
      <c r="DA209" s="49"/>
      <c r="DB209" s="49"/>
      <c r="DC209" s="49"/>
      <c r="DD209" s="49"/>
    </row>
    <row r="210" spans="1:108" s="48" customFormat="1" ht="12.75" hidden="1">
      <c r="A210" s="134" t="s">
        <v>164</v>
      </c>
      <c r="B210" s="164"/>
      <c r="C210" s="164"/>
      <c r="D210" s="308">
        <v>1</v>
      </c>
      <c r="E210" s="166"/>
      <c r="F210" s="166">
        <f>D210</f>
        <v>1</v>
      </c>
      <c r="G210" s="166">
        <v>1</v>
      </c>
      <c r="H210" s="166"/>
      <c r="I210" s="166"/>
      <c r="J210" s="166">
        <f>G210</f>
        <v>1</v>
      </c>
      <c r="K210" s="166"/>
      <c r="L210" s="166"/>
      <c r="M210" s="166"/>
      <c r="N210" s="166">
        <v>1</v>
      </c>
      <c r="O210" s="166"/>
      <c r="P210" s="166">
        <f>N210</f>
        <v>1</v>
      </c>
      <c r="CY210" s="49"/>
      <c r="CZ210" s="49"/>
      <c r="DA210" s="49"/>
      <c r="DB210" s="49"/>
      <c r="DC210" s="49"/>
      <c r="DD210" s="49"/>
    </row>
    <row r="211" spans="1:108" s="48" customFormat="1" ht="12.75" hidden="1">
      <c r="A211" s="134" t="s">
        <v>251</v>
      </c>
      <c r="B211" s="164"/>
      <c r="C211" s="164"/>
      <c r="D211" s="174">
        <v>11.549</v>
      </c>
      <c r="E211" s="131"/>
      <c r="F211" s="131">
        <f t="shared" si="20"/>
        <v>11.549</v>
      </c>
      <c r="G211" s="131">
        <v>11.549</v>
      </c>
      <c r="H211" s="131"/>
      <c r="I211" s="131"/>
      <c r="J211" s="131">
        <v>11.55</v>
      </c>
      <c r="K211" s="131"/>
      <c r="L211" s="131"/>
      <c r="M211" s="131"/>
      <c r="N211" s="131">
        <v>11.549</v>
      </c>
      <c r="O211" s="131"/>
      <c r="P211" s="131">
        <v>11.55</v>
      </c>
      <c r="CY211" s="49"/>
      <c r="CZ211" s="49"/>
      <c r="DA211" s="49"/>
      <c r="DB211" s="49"/>
      <c r="DC211" s="49"/>
      <c r="DD211" s="49"/>
    </row>
    <row r="212" spans="1:108" s="48" customFormat="1" ht="20.25" customHeight="1" hidden="1">
      <c r="A212" s="134" t="s">
        <v>463</v>
      </c>
      <c r="B212" s="164"/>
      <c r="C212" s="164"/>
      <c r="D212" s="308">
        <f>14-14</f>
        <v>0</v>
      </c>
      <c r="E212" s="166"/>
      <c r="F212" s="166">
        <f t="shared" si="20"/>
        <v>0</v>
      </c>
      <c r="G212" s="166">
        <v>12</v>
      </c>
      <c r="H212" s="166"/>
      <c r="I212" s="166"/>
      <c r="J212" s="166">
        <f>G212</f>
        <v>12</v>
      </c>
      <c r="K212" s="166"/>
      <c r="L212" s="166"/>
      <c r="M212" s="166"/>
      <c r="N212" s="166">
        <v>12</v>
      </c>
      <c r="O212" s="166"/>
      <c r="P212" s="166">
        <f>N212</f>
        <v>12</v>
      </c>
      <c r="CY212" s="49"/>
      <c r="CZ212" s="49"/>
      <c r="DA212" s="49"/>
      <c r="DB212" s="49"/>
      <c r="DC212" s="49"/>
      <c r="DD212" s="49"/>
    </row>
    <row r="213" spans="1:108" s="48" customFormat="1" ht="24" customHeight="1" hidden="1">
      <c r="A213" s="134" t="s">
        <v>464</v>
      </c>
      <c r="B213" s="164"/>
      <c r="C213" s="164"/>
      <c r="D213" s="308">
        <v>19</v>
      </c>
      <c r="E213" s="166"/>
      <c r="F213" s="166">
        <f t="shared" si="20"/>
        <v>19</v>
      </c>
      <c r="G213" s="166">
        <v>18</v>
      </c>
      <c r="H213" s="166"/>
      <c r="I213" s="166"/>
      <c r="J213" s="166">
        <f>G213</f>
        <v>18</v>
      </c>
      <c r="K213" s="166"/>
      <c r="L213" s="166"/>
      <c r="M213" s="166"/>
      <c r="N213" s="166">
        <v>18</v>
      </c>
      <c r="O213" s="166"/>
      <c r="P213" s="166">
        <f>N213</f>
        <v>18</v>
      </c>
      <c r="CY213" s="49"/>
      <c r="CZ213" s="49"/>
      <c r="DA213" s="49"/>
      <c r="DB213" s="49"/>
      <c r="DC213" s="49"/>
      <c r="DD213" s="49"/>
    </row>
    <row r="214" spans="1:108" s="48" customFormat="1" ht="28.5" customHeight="1" hidden="1">
      <c r="A214" s="134" t="s">
        <v>548</v>
      </c>
      <c r="B214" s="164"/>
      <c r="C214" s="164"/>
      <c r="D214" s="308">
        <v>373.599</v>
      </c>
      <c r="E214" s="166"/>
      <c r="F214" s="166">
        <f t="shared" si="20"/>
        <v>373.599</v>
      </c>
      <c r="G214" s="166">
        <v>9296</v>
      </c>
      <c r="H214" s="166"/>
      <c r="I214" s="166"/>
      <c r="J214" s="166">
        <f>G214</f>
        <v>9296</v>
      </c>
      <c r="K214" s="166"/>
      <c r="L214" s="166"/>
      <c r="M214" s="166"/>
      <c r="N214" s="166">
        <v>9298</v>
      </c>
      <c r="O214" s="166"/>
      <c r="P214" s="166">
        <f>N214</f>
        <v>9298</v>
      </c>
      <c r="CY214" s="49"/>
      <c r="CZ214" s="49"/>
      <c r="DA214" s="49"/>
      <c r="DB214" s="49"/>
      <c r="DC214" s="49"/>
      <c r="DD214" s="49"/>
    </row>
    <row r="215" spans="1:108" s="48" customFormat="1" ht="12.75" hidden="1">
      <c r="A215" s="134" t="s">
        <v>287</v>
      </c>
      <c r="B215" s="164"/>
      <c r="C215" s="164"/>
      <c r="D215" s="174">
        <v>9</v>
      </c>
      <c r="E215" s="131"/>
      <c r="F215" s="131">
        <f t="shared" si="20"/>
        <v>9</v>
      </c>
      <c r="G215" s="131">
        <v>9</v>
      </c>
      <c r="H215" s="131"/>
      <c r="I215" s="131"/>
      <c r="J215" s="131">
        <f>G215</f>
        <v>9</v>
      </c>
      <c r="K215" s="131"/>
      <c r="L215" s="131"/>
      <c r="M215" s="131"/>
      <c r="N215" s="131">
        <v>9</v>
      </c>
      <c r="O215" s="131"/>
      <c r="P215" s="131">
        <f>N215</f>
        <v>9</v>
      </c>
      <c r="CY215" s="49"/>
      <c r="CZ215" s="49"/>
      <c r="DA215" s="49"/>
      <c r="DB215" s="49"/>
      <c r="DC215" s="49"/>
      <c r="DD215" s="49"/>
    </row>
    <row r="216" spans="1:108" s="48" customFormat="1" ht="25.5" hidden="1">
      <c r="A216" s="175" t="s">
        <v>512</v>
      </c>
      <c r="B216" s="164"/>
      <c r="C216" s="164"/>
      <c r="D216" s="174">
        <v>40</v>
      </c>
      <c r="E216" s="131"/>
      <c r="F216" s="131">
        <f t="shared" si="20"/>
        <v>40</v>
      </c>
      <c r="G216" s="131">
        <v>10.2</v>
      </c>
      <c r="H216" s="131"/>
      <c r="I216" s="131"/>
      <c r="J216" s="131">
        <f>G216</f>
        <v>10.2</v>
      </c>
      <c r="K216" s="131"/>
      <c r="L216" s="131"/>
      <c r="M216" s="131"/>
      <c r="N216" s="131"/>
      <c r="O216" s="131"/>
      <c r="P216" s="131"/>
      <c r="CY216" s="49"/>
      <c r="CZ216" s="49"/>
      <c r="DA216" s="49"/>
      <c r="DB216" s="49"/>
      <c r="DC216" s="49"/>
      <c r="DD216" s="49"/>
    </row>
    <row r="217" spans="1:108" s="4" customFormat="1" ht="12.75" hidden="1">
      <c r="A217" s="133" t="s">
        <v>186</v>
      </c>
      <c r="B217" s="8"/>
      <c r="C217" s="8"/>
      <c r="D217" s="9"/>
      <c r="E217" s="9"/>
      <c r="F217" s="131"/>
      <c r="G217" s="9"/>
      <c r="H217" s="9"/>
      <c r="I217" s="9"/>
      <c r="J217" s="131"/>
      <c r="K217" s="131"/>
      <c r="L217" s="131"/>
      <c r="M217" s="131"/>
      <c r="N217" s="9"/>
      <c r="O217" s="9"/>
      <c r="P217" s="131"/>
      <c r="CY217" s="13"/>
      <c r="CZ217" s="13"/>
      <c r="DA217" s="13"/>
      <c r="DB217" s="13"/>
      <c r="DC217" s="13"/>
      <c r="DD217" s="13"/>
    </row>
    <row r="218" spans="1:108" s="48" customFormat="1" ht="25.5" hidden="1">
      <c r="A218" s="134" t="s">
        <v>527</v>
      </c>
      <c r="B218" s="8"/>
      <c r="C218" s="8"/>
      <c r="D218" s="174">
        <v>33411.1111</v>
      </c>
      <c r="E218" s="9"/>
      <c r="F218" s="131">
        <f>D218</f>
        <v>33411.1111</v>
      </c>
      <c r="G218" s="131">
        <v>41711.2299465</v>
      </c>
      <c r="H218" s="9"/>
      <c r="I218" s="9"/>
      <c r="J218" s="131">
        <f aca="true" t="shared" si="21" ref="J218:J225">G218</f>
        <v>41711.2299465</v>
      </c>
      <c r="K218" s="131"/>
      <c r="L218" s="131"/>
      <c r="M218" s="131"/>
      <c r="N218" s="131">
        <v>68297.0012834</v>
      </c>
      <c r="O218" s="9"/>
      <c r="P218" s="131">
        <f aca="true" t="shared" si="22" ref="P218:P230">N218</f>
        <v>68297.0012834</v>
      </c>
      <c r="CY218" s="49"/>
      <c r="CZ218" s="49"/>
      <c r="DA218" s="49"/>
      <c r="DB218" s="49"/>
      <c r="DC218" s="49"/>
      <c r="DD218" s="49"/>
    </row>
    <row r="219" spans="1:108" s="48" customFormat="1" ht="12.75" hidden="1">
      <c r="A219" s="134" t="s">
        <v>447</v>
      </c>
      <c r="B219" s="164"/>
      <c r="C219" s="164"/>
      <c r="D219" s="174">
        <v>2398.812736</v>
      </c>
      <c r="E219" s="131"/>
      <c r="F219" s="131">
        <f>D219</f>
        <v>2398.812736</v>
      </c>
      <c r="G219" s="131">
        <v>2520.0698</v>
      </c>
      <c r="H219" s="131"/>
      <c r="I219" s="131"/>
      <c r="J219" s="131">
        <f t="shared" si="21"/>
        <v>2520.0698</v>
      </c>
      <c r="K219" s="131"/>
      <c r="L219" s="131"/>
      <c r="M219" s="131"/>
      <c r="N219" s="131">
        <f>2385.34+0.2</f>
        <v>2385.54</v>
      </c>
      <c r="O219" s="131"/>
      <c r="P219" s="131">
        <f t="shared" si="22"/>
        <v>2385.54</v>
      </c>
      <c r="CY219" s="49"/>
      <c r="CZ219" s="49"/>
      <c r="DA219" s="49"/>
      <c r="DB219" s="49"/>
      <c r="DC219" s="49"/>
      <c r="DD219" s="49"/>
    </row>
    <row r="220" spans="1:108" s="48" customFormat="1" ht="15" customHeight="1" hidden="1">
      <c r="A220" s="147" t="s">
        <v>468</v>
      </c>
      <c r="B220" s="164"/>
      <c r="C220" s="164"/>
      <c r="D220" s="174">
        <v>0</v>
      </c>
      <c r="E220" s="131"/>
      <c r="F220" s="131">
        <f>D220</f>
        <v>0</v>
      </c>
      <c r="G220" s="131">
        <v>62625</v>
      </c>
      <c r="H220" s="131"/>
      <c r="I220" s="131"/>
      <c r="J220" s="131">
        <f t="shared" si="21"/>
        <v>62625</v>
      </c>
      <c r="K220" s="131"/>
      <c r="L220" s="131"/>
      <c r="M220" s="131"/>
      <c r="N220" s="131">
        <v>62625</v>
      </c>
      <c r="O220" s="131"/>
      <c r="P220" s="131">
        <f t="shared" si="22"/>
        <v>62625</v>
      </c>
      <c r="CY220" s="49"/>
      <c r="CZ220" s="49"/>
      <c r="DA220" s="49"/>
      <c r="DB220" s="49"/>
      <c r="DC220" s="49"/>
      <c r="DD220" s="49"/>
    </row>
    <row r="221" spans="1:108" s="48" customFormat="1" ht="20.25" customHeight="1" hidden="1">
      <c r="A221" s="134" t="s">
        <v>323</v>
      </c>
      <c r="B221" s="164"/>
      <c r="C221" s="164"/>
      <c r="D221" s="174">
        <v>2666.666</v>
      </c>
      <c r="E221" s="131"/>
      <c r="F221" s="131">
        <f>D221</f>
        <v>2666.666</v>
      </c>
      <c r="G221" s="131">
        <v>2813.95</v>
      </c>
      <c r="H221" s="131"/>
      <c r="I221" s="131"/>
      <c r="J221" s="131">
        <f>G221</f>
        <v>2813.95</v>
      </c>
      <c r="K221" s="131"/>
      <c r="L221" s="131"/>
      <c r="M221" s="131"/>
      <c r="N221" s="131">
        <v>2813.95</v>
      </c>
      <c r="O221" s="131"/>
      <c r="P221" s="131">
        <f>N221</f>
        <v>2813.95</v>
      </c>
      <c r="CY221" s="49"/>
      <c r="CZ221" s="49"/>
      <c r="DA221" s="49"/>
      <c r="DB221" s="49"/>
      <c r="DC221" s="49"/>
      <c r="DD221" s="49"/>
    </row>
    <row r="222" spans="1:108" s="48" customFormat="1" ht="12.75" hidden="1">
      <c r="A222" s="134" t="s">
        <v>231</v>
      </c>
      <c r="B222" s="164"/>
      <c r="C222" s="164"/>
      <c r="D222" s="174">
        <v>4867.16</v>
      </c>
      <c r="E222" s="131"/>
      <c r="F222" s="131">
        <f aca="true" t="shared" si="23" ref="F222:F231">D222</f>
        <v>4867.16</v>
      </c>
      <c r="G222" s="131">
        <v>8513.67</v>
      </c>
      <c r="H222" s="131"/>
      <c r="I222" s="131"/>
      <c r="J222" s="131">
        <f t="shared" si="21"/>
        <v>8513.67</v>
      </c>
      <c r="K222" s="131"/>
      <c r="L222" s="131"/>
      <c r="M222" s="131"/>
      <c r="N222" s="131">
        <v>9024.49</v>
      </c>
      <c r="O222" s="131"/>
      <c r="P222" s="131">
        <f t="shared" si="22"/>
        <v>9024.49</v>
      </c>
      <c r="CY222" s="49"/>
      <c r="CZ222" s="49"/>
      <c r="DA222" s="49"/>
      <c r="DB222" s="49"/>
      <c r="DC222" s="49"/>
      <c r="DD222" s="49"/>
    </row>
    <row r="223" spans="1:108" s="48" customFormat="1" ht="12.75" hidden="1">
      <c r="A223" s="134" t="s">
        <v>477</v>
      </c>
      <c r="B223" s="164"/>
      <c r="C223" s="164"/>
      <c r="D223" s="174">
        <v>126345.399548</v>
      </c>
      <c r="E223" s="131"/>
      <c r="F223" s="131">
        <f t="shared" si="23"/>
        <v>126345.399548</v>
      </c>
      <c r="G223" s="131">
        <v>141956.4647</v>
      </c>
      <c r="H223" s="131"/>
      <c r="I223" s="131"/>
      <c r="J223" s="131">
        <f t="shared" si="21"/>
        <v>141956.4647</v>
      </c>
      <c r="K223" s="131"/>
      <c r="L223" s="131"/>
      <c r="M223" s="131"/>
      <c r="N223" s="131">
        <v>97758.7228612</v>
      </c>
      <c r="O223" s="131"/>
      <c r="P223" s="131">
        <f t="shared" si="22"/>
        <v>97758.7228612</v>
      </c>
      <c r="CY223" s="49"/>
      <c r="CZ223" s="49"/>
      <c r="DA223" s="49"/>
      <c r="DB223" s="49"/>
      <c r="DC223" s="49"/>
      <c r="DD223" s="49"/>
    </row>
    <row r="224" spans="1:108" s="48" customFormat="1" ht="12.75" hidden="1">
      <c r="A224" s="134" t="s">
        <v>456</v>
      </c>
      <c r="B224" s="164"/>
      <c r="C224" s="164"/>
      <c r="D224" s="174">
        <v>26.884</v>
      </c>
      <c r="E224" s="131"/>
      <c r="F224" s="131">
        <f t="shared" si="23"/>
        <v>26.884</v>
      </c>
      <c r="G224" s="131">
        <v>52.918</v>
      </c>
      <c r="H224" s="131"/>
      <c r="I224" s="131"/>
      <c r="J224" s="131">
        <f t="shared" si="21"/>
        <v>52.918</v>
      </c>
      <c r="K224" s="131"/>
      <c r="L224" s="131"/>
      <c r="M224" s="131"/>
      <c r="N224" s="131">
        <v>58.2</v>
      </c>
      <c r="O224" s="131"/>
      <c r="P224" s="131">
        <f t="shared" si="22"/>
        <v>58.2</v>
      </c>
      <c r="CY224" s="49"/>
      <c r="CZ224" s="49"/>
      <c r="DA224" s="49"/>
      <c r="DB224" s="49"/>
      <c r="DC224" s="49"/>
      <c r="DD224" s="49"/>
    </row>
    <row r="225" spans="1:108" s="48" customFormat="1" ht="12.75" hidden="1">
      <c r="A225" s="134" t="s">
        <v>461</v>
      </c>
      <c r="B225" s="164"/>
      <c r="C225" s="164"/>
      <c r="D225" s="174">
        <v>140000</v>
      </c>
      <c r="E225" s="131"/>
      <c r="F225" s="131">
        <f t="shared" si="23"/>
        <v>140000</v>
      </c>
      <c r="G225" s="131">
        <v>165700</v>
      </c>
      <c r="H225" s="131"/>
      <c r="I225" s="131"/>
      <c r="J225" s="131">
        <f t="shared" si="21"/>
        <v>165700</v>
      </c>
      <c r="K225" s="131"/>
      <c r="L225" s="131"/>
      <c r="M225" s="131"/>
      <c r="N225" s="131">
        <v>134624.7</v>
      </c>
      <c r="O225" s="131"/>
      <c r="P225" s="131">
        <f t="shared" si="22"/>
        <v>134624.7</v>
      </c>
      <c r="CY225" s="49"/>
      <c r="CZ225" s="49"/>
      <c r="DA225" s="49"/>
      <c r="DB225" s="49"/>
      <c r="DC225" s="49"/>
      <c r="DD225" s="49"/>
    </row>
    <row r="226" spans="1:108" s="48" customFormat="1" ht="28.5" customHeight="1" hidden="1">
      <c r="A226" s="134" t="s">
        <v>513</v>
      </c>
      <c r="B226" s="164"/>
      <c r="C226" s="164"/>
      <c r="D226" s="131">
        <f>21142.86+4398.26554</f>
        <v>25541.12554</v>
      </c>
      <c r="E226" s="131"/>
      <c r="F226" s="131">
        <f t="shared" si="23"/>
        <v>25541.12554</v>
      </c>
      <c r="G226" s="131">
        <v>23376.61896</v>
      </c>
      <c r="H226" s="131"/>
      <c r="I226" s="131"/>
      <c r="J226" s="131">
        <f aca="true" t="shared" si="24" ref="J226:J231">G226</f>
        <v>23376.61896</v>
      </c>
      <c r="K226" s="131"/>
      <c r="L226" s="131"/>
      <c r="M226" s="131"/>
      <c r="N226" s="131">
        <v>23760.51</v>
      </c>
      <c r="O226" s="131"/>
      <c r="P226" s="131">
        <f t="shared" si="22"/>
        <v>23760.51</v>
      </c>
      <c r="CY226" s="49"/>
      <c r="CZ226" s="49"/>
      <c r="DA226" s="49"/>
      <c r="DB226" s="49"/>
      <c r="DC226" s="49"/>
      <c r="DD226" s="49"/>
    </row>
    <row r="227" spans="1:108" s="48" customFormat="1" ht="18" customHeight="1" hidden="1">
      <c r="A227" s="134" t="s">
        <v>462</v>
      </c>
      <c r="B227" s="164"/>
      <c r="C227" s="164"/>
      <c r="D227" s="131">
        <f>2285.71-2285.71</f>
        <v>0</v>
      </c>
      <c r="E227" s="131"/>
      <c r="F227" s="131">
        <f t="shared" si="23"/>
        <v>0</v>
      </c>
      <c r="G227" s="131">
        <v>2825</v>
      </c>
      <c r="H227" s="131"/>
      <c r="I227" s="131"/>
      <c r="J227" s="131">
        <f t="shared" si="24"/>
        <v>2825</v>
      </c>
      <c r="K227" s="131"/>
      <c r="L227" s="131"/>
      <c r="M227" s="131"/>
      <c r="N227" s="131">
        <v>3491.7</v>
      </c>
      <c r="O227" s="131"/>
      <c r="P227" s="131">
        <f t="shared" si="22"/>
        <v>3491.7</v>
      </c>
      <c r="CY227" s="49"/>
      <c r="CZ227" s="49"/>
      <c r="DA227" s="49"/>
      <c r="DB227" s="49"/>
      <c r="DC227" s="49"/>
      <c r="DD227" s="49"/>
    </row>
    <row r="228" spans="1:108" s="48" customFormat="1" ht="12.75" hidden="1">
      <c r="A228" s="134" t="s">
        <v>465</v>
      </c>
      <c r="B228" s="164"/>
      <c r="C228" s="164"/>
      <c r="D228" s="131">
        <v>2631.58</v>
      </c>
      <c r="E228" s="131"/>
      <c r="F228" s="131">
        <f t="shared" si="23"/>
        <v>2631.58</v>
      </c>
      <c r="G228" s="131">
        <v>2777.78</v>
      </c>
      <c r="H228" s="131"/>
      <c r="I228" s="131"/>
      <c r="J228" s="131">
        <f t="shared" si="24"/>
        <v>2777.78</v>
      </c>
      <c r="K228" s="131"/>
      <c r="L228" s="131"/>
      <c r="M228" s="131"/>
      <c r="N228" s="131">
        <v>2930.5579</v>
      </c>
      <c r="O228" s="131"/>
      <c r="P228" s="131">
        <f t="shared" si="22"/>
        <v>2930.5579</v>
      </c>
      <c r="CY228" s="49"/>
      <c r="CZ228" s="49"/>
      <c r="DA228" s="49"/>
      <c r="DB228" s="49"/>
      <c r="DC228" s="49"/>
      <c r="DD228" s="49"/>
    </row>
    <row r="229" spans="1:108" s="48" customFormat="1" ht="33.75" customHeight="1" hidden="1">
      <c r="A229" s="134" t="s">
        <v>466</v>
      </c>
      <c r="B229" s="164"/>
      <c r="C229" s="164"/>
      <c r="D229" s="131">
        <v>8.03</v>
      </c>
      <c r="E229" s="131"/>
      <c r="F229" s="131">
        <f t="shared" si="23"/>
        <v>8.03</v>
      </c>
      <c r="G229" s="131">
        <v>8.52</v>
      </c>
      <c r="H229" s="131"/>
      <c r="I229" s="131"/>
      <c r="J229" s="131">
        <f t="shared" si="24"/>
        <v>8.52</v>
      </c>
      <c r="K229" s="131"/>
      <c r="L229" s="131"/>
      <c r="M229" s="131"/>
      <c r="N229" s="131">
        <v>9.03</v>
      </c>
      <c r="O229" s="131"/>
      <c r="P229" s="131">
        <f t="shared" si="22"/>
        <v>9.03</v>
      </c>
      <c r="CY229" s="49"/>
      <c r="CZ229" s="49"/>
      <c r="DA229" s="49"/>
      <c r="DB229" s="49"/>
      <c r="DC229" s="49"/>
      <c r="DD229" s="49"/>
    </row>
    <row r="230" spans="1:108" s="48" customFormat="1" ht="12.75" hidden="1">
      <c r="A230" s="134" t="s">
        <v>288</v>
      </c>
      <c r="B230" s="164"/>
      <c r="C230" s="164"/>
      <c r="D230" s="131">
        <f>112500-12500-41066.67</f>
        <v>58933.33</v>
      </c>
      <c r="E230" s="131"/>
      <c r="F230" s="131">
        <f t="shared" si="23"/>
        <v>58933.33</v>
      </c>
      <c r="G230" s="131">
        <v>122266.6666</v>
      </c>
      <c r="H230" s="131"/>
      <c r="I230" s="131"/>
      <c r="J230" s="131">
        <f t="shared" si="24"/>
        <v>122266.6666</v>
      </c>
      <c r="K230" s="131"/>
      <c r="L230" s="131"/>
      <c r="M230" s="131"/>
      <c r="N230" s="131">
        <v>129605.2248</v>
      </c>
      <c r="O230" s="131"/>
      <c r="P230" s="131">
        <f t="shared" si="22"/>
        <v>129605.2248</v>
      </c>
      <c r="CY230" s="49"/>
      <c r="CZ230" s="49"/>
      <c r="DA230" s="49"/>
      <c r="DB230" s="49"/>
      <c r="DC230" s="49"/>
      <c r="DD230" s="49"/>
    </row>
    <row r="231" spans="1:108" s="48" customFormat="1" ht="25.5" hidden="1">
      <c r="A231" s="175" t="s">
        <v>510</v>
      </c>
      <c r="B231" s="164"/>
      <c r="C231" s="164"/>
      <c r="D231" s="131">
        <v>3425</v>
      </c>
      <c r="E231" s="131"/>
      <c r="F231" s="131">
        <f t="shared" si="23"/>
        <v>3425</v>
      </c>
      <c r="G231" s="131">
        <v>3431.372549</v>
      </c>
      <c r="H231" s="131"/>
      <c r="I231" s="131"/>
      <c r="J231" s="131">
        <f t="shared" si="24"/>
        <v>3431.372549</v>
      </c>
      <c r="K231" s="131"/>
      <c r="L231" s="131"/>
      <c r="M231" s="131"/>
      <c r="N231" s="131"/>
      <c r="O231" s="131"/>
      <c r="P231" s="131"/>
      <c r="CY231" s="49"/>
      <c r="CZ231" s="49"/>
      <c r="DA231" s="49"/>
      <c r="DB231" s="49"/>
      <c r="DC231" s="49"/>
      <c r="DD231" s="49"/>
    </row>
    <row r="232" spans="1:108" s="4" customFormat="1" ht="12.75" hidden="1">
      <c r="A232" s="133" t="s">
        <v>185</v>
      </c>
      <c r="B232" s="8"/>
      <c r="C232" s="8"/>
      <c r="D232" s="9"/>
      <c r="E232" s="9"/>
      <c r="F232" s="131"/>
      <c r="G232" s="9"/>
      <c r="H232" s="9"/>
      <c r="I232" s="9"/>
      <c r="J232" s="131"/>
      <c r="K232" s="131"/>
      <c r="L232" s="131"/>
      <c r="M232" s="131"/>
      <c r="N232" s="9"/>
      <c r="O232" s="9"/>
      <c r="P232" s="131"/>
      <c r="CY232" s="13"/>
      <c r="CZ232" s="13"/>
      <c r="DA232" s="13"/>
      <c r="DB232" s="13"/>
      <c r="DC232" s="13"/>
      <c r="DD232" s="13"/>
    </row>
    <row r="233" spans="1:108" s="4" customFormat="1" ht="12.75" hidden="1">
      <c r="A233" s="134" t="s">
        <v>470</v>
      </c>
      <c r="B233" s="164"/>
      <c r="C233" s="164"/>
      <c r="D233" s="131">
        <f>D203/D193*100</f>
        <v>100</v>
      </c>
      <c r="E233" s="131"/>
      <c r="F233" s="131">
        <f>F203/F193*100</f>
        <v>100</v>
      </c>
      <c r="G233" s="131">
        <f>G203/G193*100</f>
        <v>100</v>
      </c>
      <c r="H233" s="131"/>
      <c r="I233" s="131"/>
      <c r="J233" s="131">
        <f aca="true" t="shared" si="25" ref="J233:N234">J203/J193*100</f>
        <v>100</v>
      </c>
      <c r="K233" s="131" t="e">
        <f t="shared" si="25"/>
        <v>#DIV/0!</v>
      </c>
      <c r="L233" s="131" t="e">
        <f t="shared" si="25"/>
        <v>#DIV/0!</v>
      </c>
      <c r="M233" s="131" t="e">
        <f t="shared" si="25"/>
        <v>#DIV/0!</v>
      </c>
      <c r="N233" s="131">
        <f t="shared" si="25"/>
        <v>100</v>
      </c>
      <c r="O233" s="131"/>
      <c r="P233" s="131">
        <f>P203/P193*100</f>
        <v>100</v>
      </c>
      <c r="CY233" s="13"/>
      <c r="CZ233" s="13"/>
      <c r="DA233" s="13"/>
      <c r="DB233" s="13"/>
      <c r="DC233" s="13"/>
      <c r="DD233" s="13"/>
    </row>
    <row r="234" spans="1:108" s="4" customFormat="1" ht="12.75" hidden="1">
      <c r="A234" s="134" t="s">
        <v>471</v>
      </c>
      <c r="B234" s="164"/>
      <c r="C234" s="164"/>
      <c r="D234" s="131">
        <f>D204/D194*100</f>
        <v>14.188361408882082</v>
      </c>
      <c r="E234" s="131"/>
      <c r="F234" s="131">
        <f>F204/F194*100</f>
        <v>14.188361408882082</v>
      </c>
      <c r="G234" s="131">
        <f>G204/G194*100</f>
        <v>17.549770290964776</v>
      </c>
      <c r="H234" s="131"/>
      <c r="I234" s="131"/>
      <c r="J234" s="131">
        <f t="shared" si="25"/>
        <v>17.549770290964776</v>
      </c>
      <c r="K234" s="131" t="e">
        <f t="shared" si="25"/>
        <v>#DIV/0!</v>
      </c>
      <c r="L234" s="131" t="e">
        <f t="shared" si="25"/>
        <v>#DIV/0!</v>
      </c>
      <c r="M234" s="131" t="e">
        <f t="shared" si="25"/>
        <v>#DIV/0!</v>
      </c>
      <c r="N234" s="131">
        <f t="shared" si="25"/>
        <v>17.15926493108729</v>
      </c>
      <c r="O234" s="131"/>
      <c r="P234" s="131">
        <f>P204/P194*100</f>
        <v>17.15926493108729</v>
      </c>
      <c r="CY234" s="13"/>
      <c r="CZ234" s="13"/>
      <c r="DA234" s="13"/>
      <c r="DB234" s="13"/>
      <c r="DC234" s="13"/>
      <c r="DD234" s="13"/>
    </row>
    <row r="235" spans="1:108" s="50" customFormat="1" ht="31.5" customHeight="1" hidden="1">
      <c r="A235" s="137" t="s">
        <v>21</v>
      </c>
      <c r="B235" s="159"/>
      <c r="C235" s="159"/>
      <c r="D235" s="160">
        <f>D237</f>
        <v>424600</v>
      </c>
      <c r="E235" s="160"/>
      <c r="F235" s="160">
        <f>D235</f>
        <v>424600</v>
      </c>
      <c r="G235" s="160">
        <f>G237</f>
        <v>735200</v>
      </c>
      <c r="H235" s="160"/>
      <c r="I235" s="160"/>
      <c r="J235" s="160">
        <f>G235</f>
        <v>735200</v>
      </c>
      <c r="K235" s="160"/>
      <c r="L235" s="160"/>
      <c r="M235" s="160"/>
      <c r="N235" s="160">
        <f>N237</f>
        <v>772000</v>
      </c>
      <c r="O235" s="160"/>
      <c r="P235" s="160">
        <f>N235</f>
        <v>772000</v>
      </c>
      <c r="CY235" s="51"/>
      <c r="CZ235" s="51"/>
      <c r="DA235" s="51"/>
      <c r="DB235" s="51"/>
      <c r="DC235" s="51"/>
      <c r="DD235" s="51"/>
    </row>
    <row r="236" spans="1:108" s="4" customFormat="1" ht="15.75" customHeight="1" hidden="1">
      <c r="A236" s="133" t="s">
        <v>254</v>
      </c>
      <c r="B236" s="164"/>
      <c r="C236" s="164"/>
      <c r="D236" s="131"/>
      <c r="E236" s="131"/>
      <c r="F236" s="131"/>
      <c r="G236" s="131"/>
      <c r="H236" s="131"/>
      <c r="I236" s="131"/>
      <c r="J236" s="131"/>
      <c r="K236" s="131"/>
      <c r="L236" s="131"/>
      <c r="M236" s="131"/>
      <c r="N236" s="131"/>
      <c r="O236" s="131"/>
      <c r="P236" s="131"/>
      <c r="CY236" s="13"/>
      <c r="CZ236" s="13"/>
      <c r="DA236" s="13"/>
      <c r="DB236" s="13"/>
      <c r="DC236" s="13"/>
      <c r="DD236" s="13"/>
    </row>
    <row r="237" spans="1:108" s="4" customFormat="1" ht="35.25" customHeight="1" hidden="1">
      <c r="A237" s="134" t="s">
        <v>450</v>
      </c>
      <c r="B237" s="164"/>
      <c r="C237" s="164"/>
      <c r="D237" s="131">
        <f>693600-269000</f>
        <v>424600</v>
      </c>
      <c r="E237" s="131"/>
      <c r="F237" s="131">
        <f>D237</f>
        <v>424600</v>
      </c>
      <c r="G237" s="131">
        <v>735200</v>
      </c>
      <c r="H237" s="131"/>
      <c r="I237" s="131"/>
      <c r="J237" s="131">
        <f>G237</f>
        <v>735200</v>
      </c>
      <c r="K237" s="131"/>
      <c r="L237" s="131"/>
      <c r="M237" s="131"/>
      <c r="N237" s="131">
        <v>772000</v>
      </c>
      <c r="O237" s="131"/>
      <c r="P237" s="131">
        <f>N237</f>
        <v>772000</v>
      </c>
      <c r="CY237" s="13"/>
      <c r="CZ237" s="13"/>
      <c r="DA237" s="13"/>
      <c r="DB237" s="13"/>
      <c r="DC237" s="13"/>
      <c r="DD237" s="13"/>
    </row>
    <row r="238" spans="1:108" s="4" customFormat="1" ht="12.75" hidden="1">
      <c r="A238" s="133" t="s">
        <v>376</v>
      </c>
      <c r="B238" s="164"/>
      <c r="C238" s="164"/>
      <c r="D238" s="131"/>
      <c r="E238" s="131"/>
      <c r="F238" s="131"/>
      <c r="G238" s="131"/>
      <c r="H238" s="131"/>
      <c r="I238" s="131"/>
      <c r="J238" s="131"/>
      <c r="K238" s="131"/>
      <c r="L238" s="131"/>
      <c r="M238" s="131"/>
      <c r="N238" s="131"/>
      <c r="O238" s="131"/>
      <c r="P238" s="131"/>
      <c r="CY238" s="13"/>
      <c r="CZ238" s="13"/>
      <c r="DA238" s="13"/>
      <c r="DB238" s="13"/>
      <c r="DC238" s="13"/>
      <c r="DD238" s="13"/>
    </row>
    <row r="239" spans="1:108" s="4" customFormat="1" ht="39" customHeight="1" hidden="1">
      <c r="A239" s="135" t="s">
        <v>451</v>
      </c>
      <c r="B239" s="164"/>
      <c r="C239" s="164"/>
      <c r="D239" s="166">
        <v>13</v>
      </c>
      <c r="E239" s="166"/>
      <c r="F239" s="166">
        <f>D239</f>
        <v>13</v>
      </c>
      <c r="G239" s="166">
        <v>13</v>
      </c>
      <c r="H239" s="166"/>
      <c r="I239" s="166"/>
      <c r="J239" s="166">
        <f>G239</f>
        <v>13</v>
      </c>
      <c r="K239" s="166"/>
      <c r="L239" s="166"/>
      <c r="M239" s="166"/>
      <c r="N239" s="166">
        <v>13</v>
      </c>
      <c r="O239" s="166"/>
      <c r="P239" s="166">
        <f>N239</f>
        <v>13</v>
      </c>
      <c r="CY239" s="13"/>
      <c r="CZ239" s="13"/>
      <c r="DA239" s="13"/>
      <c r="DB239" s="13"/>
      <c r="DC239" s="13"/>
      <c r="DD239" s="13"/>
    </row>
    <row r="240" spans="1:108" s="4" customFormat="1" ht="12.75" hidden="1">
      <c r="A240" s="133" t="s">
        <v>372</v>
      </c>
      <c r="B240" s="164"/>
      <c r="C240" s="164"/>
      <c r="D240" s="131"/>
      <c r="E240" s="131"/>
      <c r="F240" s="131"/>
      <c r="G240" s="131"/>
      <c r="H240" s="131"/>
      <c r="I240" s="131"/>
      <c r="J240" s="131"/>
      <c r="K240" s="131"/>
      <c r="L240" s="131"/>
      <c r="M240" s="131"/>
      <c r="N240" s="131"/>
      <c r="O240" s="131"/>
      <c r="P240" s="131"/>
      <c r="CY240" s="13"/>
      <c r="CZ240" s="13"/>
      <c r="DA240" s="13"/>
      <c r="DB240" s="13"/>
      <c r="DC240" s="13"/>
      <c r="DD240" s="13"/>
    </row>
    <row r="241" spans="1:108" s="4" customFormat="1" ht="35.25" customHeight="1" hidden="1">
      <c r="A241" s="134" t="s">
        <v>452</v>
      </c>
      <c r="B241" s="164"/>
      <c r="C241" s="164"/>
      <c r="D241" s="131">
        <f>D237/D239</f>
        <v>32661.53846153846</v>
      </c>
      <c r="E241" s="131"/>
      <c r="F241" s="131">
        <f>D241</f>
        <v>32661.53846153846</v>
      </c>
      <c r="G241" s="131">
        <f>G237/G239</f>
        <v>56553.846153846156</v>
      </c>
      <c r="H241" s="131"/>
      <c r="I241" s="131"/>
      <c r="J241" s="131">
        <f>G241</f>
        <v>56553.846153846156</v>
      </c>
      <c r="K241" s="131"/>
      <c r="L241" s="131"/>
      <c r="M241" s="131"/>
      <c r="N241" s="131">
        <f>N237/N239</f>
        <v>59384.61538461538</v>
      </c>
      <c r="O241" s="131"/>
      <c r="P241" s="131">
        <f>N241</f>
        <v>59384.61538461538</v>
      </c>
      <c r="CY241" s="13"/>
      <c r="CZ241" s="13"/>
      <c r="DA241" s="13"/>
      <c r="DB241" s="13"/>
      <c r="DC241" s="13"/>
      <c r="DD241" s="13"/>
    </row>
    <row r="242" spans="1:108" s="4" customFormat="1" ht="33.75" customHeight="1" hidden="1">
      <c r="A242" s="137" t="s">
        <v>22</v>
      </c>
      <c r="B242" s="162"/>
      <c r="C242" s="162"/>
      <c r="D242" s="160">
        <f>D244</f>
        <v>920000</v>
      </c>
      <c r="E242" s="160"/>
      <c r="F242" s="160">
        <f>D242</f>
        <v>920000</v>
      </c>
      <c r="G242" s="160">
        <f>G244</f>
        <v>1075000</v>
      </c>
      <c r="H242" s="160"/>
      <c r="I242" s="160"/>
      <c r="J242" s="160">
        <f>G242</f>
        <v>1075000</v>
      </c>
      <c r="K242" s="160"/>
      <c r="L242" s="160"/>
      <c r="M242" s="160"/>
      <c r="N242" s="160">
        <f>N244</f>
        <v>892500</v>
      </c>
      <c r="O242" s="160"/>
      <c r="P242" s="160">
        <f>N242</f>
        <v>892500</v>
      </c>
      <c r="CY242" s="13"/>
      <c r="CZ242" s="13"/>
      <c r="DA242" s="13"/>
      <c r="DB242" s="13"/>
      <c r="DC242" s="13"/>
      <c r="DD242" s="13"/>
    </row>
    <row r="243" spans="1:108" s="4" customFormat="1" ht="12.75" hidden="1">
      <c r="A243" s="133" t="s">
        <v>254</v>
      </c>
      <c r="B243" s="164"/>
      <c r="C243" s="164"/>
      <c r="D243" s="131"/>
      <c r="E243" s="131"/>
      <c r="F243" s="131"/>
      <c r="G243" s="131"/>
      <c r="H243" s="131"/>
      <c r="I243" s="131"/>
      <c r="J243" s="131"/>
      <c r="K243" s="131"/>
      <c r="L243" s="131"/>
      <c r="M243" s="131"/>
      <c r="N243" s="131"/>
      <c r="O243" s="131"/>
      <c r="P243" s="131"/>
      <c r="CY243" s="13"/>
      <c r="CZ243" s="13"/>
      <c r="DA243" s="13"/>
      <c r="DB243" s="13"/>
      <c r="DC243" s="13"/>
      <c r="DD243" s="13"/>
    </row>
    <row r="244" spans="1:108" s="4" customFormat="1" ht="27.75" customHeight="1" hidden="1">
      <c r="A244" s="134" t="s">
        <v>453</v>
      </c>
      <c r="B244" s="164"/>
      <c r="C244" s="164"/>
      <c r="D244" s="131">
        <f>760000+55000+105000</f>
        <v>920000</v>
      </c>
      <c r="E244" s="131"/>
      <c r="F244" s="131">
        <f>D244</f>
        <v>920000</v>
      </c>
      <c r="G244" s="131">
        <f>850000+225000</f>
        <v>1075000</v>
      </c>
      <c r="H244" s="131"/>
      <c r="I244" s="131"/>
      <c r="J244" s="131">
        <f>G244</f>
        <v>1075000</v>
      </c>
      <c r="K244" s="131"/>
      <c r="L244" s="131"/>
      <c r="M244" s="131"/>
      <c r="N244" s="131">
        <v>892500</v>
      </c>
      <c r="O244" s="131"/>
      <c r="P244" s="131">
        <f>N244</f>
        <v>892500</v>
      </c>
      <c r="CY244" s="13"/>
      <c r="CZ244" s="13"/>
      <c r="DA244" s="13"/>
      <c r="DB244" s="13"/>
      <c r="DC244" s="13"/>
      <c r="DD244" s="13"/>
    </row>
    <row r="245" spans="1:108" s="4" customFormat="1" ht="12.75" hidden="1">
      <c r="A245" s="133" t="s">
        <v>376</v>
      </c>
      <c r="B245" s="164"/>
      <c r="C245" s="164"/>
      <c r="D245" s="131"/>
      <c r="E245" s="131"/>
      <c r="F245" s="131"/>
      <c r="G245" s="131"/>
      <c r="H245" s="131"/>
      <c r="I245" s="131"/>
      <c r="J245" s="131"/>
      <c r="K245" s="131"/>
      <c r="L245" s="131"/>
      <c r="M245" s="131"/>
      <c r="N245" s="131"/>
      <c r="O245" s="131"/>
      <c r="P245" s="131"/>
      <c r="CY245" s="13"/>
      <c r="CZ245" s="13"/>
      <c r="DA245" s="13"/>
      <c r="DB245" s="13"/>
      <c r="DC245" s="13"/>
      <c r="DD245" s="13"/>
    </row>
    <row r="246" spans="1:108" s="4" customFormat="1" ht="31.5" customHeight="1" hidden="1">
      <c r="A246" s="135" t="s">
        <v>454</v>
      </c>
      <c r="B246" s="164"/>
      <c r="C246" s="164"/>
      <c r="D246" s="166">
        <v>12</v>
      </c>
      <c r="E246" s="166"/>
      <c r="F246" s="166">
        <f>D246</f>
        <v>12</v>
      </c>
      <c r="G246" s="166">
        <v>12</v>
      </c>
      <c r="H246" s="166"/>
      <c r="I246" s="166"/>
      <c r="J246" s="166">
        <f>G246</f>
        <v>12</v>
      </c>
      <c r="K246" s="166"/>
      <c r="L246" s="166"/>
      <c r="M246" s="166"/>
      <c r="N246" s="166">
        <v>12</v>
      </c>
      <c r="O246" s="166"/>
      <c r="P246" s="166">
        <f>N246</f>
        <v>12</v>
      </c>
      <c r="CY246" s="13"/>
      <c r="CZ246" s="13"/>
      <c r="DA246" s="13"/>
      <c r="DB246" s="13"/>
      <c r="DC246" s="13"/>
      <c r="DD246" s="13"/>
    </row>
    <row r="247" spans="1:108" s="4" customFormat="1" ht="12.75" hidden="1">
      <c r="A247" s="133" t="s">
        <v>372</v>
      </c>
      <c r="B247" s="164"/>
      <c r="C247" s="164"/>
      <c r="D247" s="131"/>
      <c r="E247" s="131"/>
      <c r="F247" s="131"/>
      <c r="G247" s="131"/>
      <c r="H247" s="131"/>
      <c r="I247" s="131"/>
      <c r="J247" s="131"/>
      <c r="K247" s="131"/>
      <c r="L247" s="131"/>
      <c r="M247" s="131"/>
      <c r="N247" s="131"/>
      <c r="O247" s="131"/>
      <c r="P247" s="131"/>
      <c r="CY247" s="13"/>
      <c r="CZ247" s="13"/>
      <c r="DA247" s="13"/>
      <c r="DB247" s="13"/>
      <c r="DC247" s="13"/>
      <c r="DD247" s="13"/>
    </row>
    <row r="248" spans="1:108" s="4" customFormat="1" ht="33" customHeight="1" hidden="1">
      <c r="A248" s="134" t="s">
        <v>455</v>
      </c>
      <c r="B248" s="164"/>
      <c r="C248" s="164"/>
      <c r="D248" s="131">
        <f>D244/D246</f>
        <v>76666.66666666667</v>
      </c>
      <c r="E248" s="131"/>
      <c r="F248" s="131">
        <f>D248</f>
        <v>76666.66666666667</v>
      </c>
      <c r="G248" s="131">
        <f>G244/G246</f>
        <v>89583.33333333333</v>
      </c>
      <c r="H248" s="131"/>
      <c r="I248" s="131"/>
      <c r="J248" s="131">
        <f>G248</f>
        <v>89583.33333333333</v>
      </c>
      <c r="K248" s="131"/>
      <c r="L248" s="131"/>
      <c r="M248" s="131"/>
      <c r="N248" s="131">
        <f>N244/N246</f>
        <v>74375</v>
      </c>
      <c r="O248" s="131"/>
      <c r="P248" s="131">
        <f>N248</f>
        <v>74375</v>
      </c>
      <c r="CY248" s="13"/>
      <c r="CZ248" s="13"/>
      <c r="DA248" s="13"/>
      <c r="DB248" s="13"/>
      <c r="DC248" s="13"/>
      <c r="DD248" s="13"/>
    </row>
    <row r="249" spans="1:108" s="48" customFormat="1" ht="27" hidden="1">
      <c r="A249" s="137" t="s">
        <v>23</v>
      </c>
      <c r="B249" s="162"/>
      <c r="C249" s="162"/>
      <c r="D249" s="160">
        <f>D251</f>
        <v>60000</v>
      </c>
      <c r="E249" s="160"/>
      <c r="F249" s="160">
        <f>D249</f>
        <v>60000</v>
      </c>
      <c r="G249" s="160">
        <f>G251</f>
        <v>135700</v>
      </c>
      <c r="H249" s="160"/>
      <c r="I249" s="160"/>
      <c r="J249" s="160">
        <f>G249</f>
        <v>135700</v>
      </c>
      <c r="K249" s="160"/>
      <c r="L249" s="160"/>
      <c r="M249" s="160"/>
      <c r="N249" s="160">
        <f>N251</f>
        <v>142500</v>
      </c>
      <c r="O249" s="160"/>
      <c r="P249" s="160">
        <f>N249</f>
        <v>142500</v>
      </c>
      <c r="CY249" s="49"/>
      <c r="CZ249" s="49"/>
      <c r="DA249" s="49"/>
      <c r="DB249" s="49"/>
      <c r="DC249" s="49"/>
      <c r="DD249" s="49"/>
    </row>
    <row r="250" spans="1:108" s="4" customFormat="1" ht="12.75" hidden="1">
      <c r="A250" s="133" t="s">
        <v>254</v>
      </c>
      <c r="B250" s="164"/>
      <c r="C250" s="164"/>
      <c r="D250" s="131"/>
      <c r="E250" s="131"/>
      <c r="F250" s="131"/>
      <c r="G250" s="131"/>
      <c r="H250" s="131"/>
      <c r="I250" s="131"/>
      <c r="J250" s="131"/>
      <c r="K250" s="131"/>
      <c r="L250" s="131"/>
      <c r="M250" s="131"/>
      <c r="N250" s="131"/>
      <c r="O250" s="131"/>
      <c r="P250" s="131"/>
      <c r="CY250" s="13"/>
      <c r="CZ250" s="13"/>
      <c r="DA250" s="13"/>
      <c r="DB250" s="13"/>
      <c r="DC250" s="13"/>
      <c r="DD250" s="13"/>
    </row>
    <row r="251" spans="1:108" s="4" customFormat="1" ht="12.75" hidden="1">
      <c r="A251" s="134" t="s">
        <v>457</v>
      </c>
      <c r="B251" s="164"/>
      <c r="C251" s="164"/>
      <c r="D251" s="131">
        <f>128000-68000</f>
        <v>60000</v>
      </c>
      <c r="E251" s="131"/>
      <c r="F251" s="131">
        <f>D251</f>
        <v>60000</v>
      </c>
      <c r="G251" s="131">
        <v>135700</v>
      </c>
      <c r="H251" s="131"/>
      <c r="I251" s="131"/>
      <c r="J251" s="131">
        <f>G251</f>
        <v>135700</v>
      </c>
      <c r="K251" s="131"/>
      <c r="L251" s="131"/>
      <c r="M251" s="131"/>
      <c r="N251" s="131">
        <v>142500</v>
      </c>
      <c r="O251" s="131"/>
      <c r="P251" s="131">
        <f>N251</f>
        <v>142500</v>
      </c>
      <c r="CY251" s="13"/>
      <c r="CZ251" s="13"/>
      <c r="DA251" s="13"/>
      <c r="DB251" s="13"/>
      <c r="DC251" s="13"/>
      <c r="DD251" s="13"/>
    </row>
    <row r="252" spans="1:108" s="4" customFormat="1" ht="15.75" customHeight="1" hidden="1">
      <c r="A252" s="133" t="s">
        <v>376</v>
      </c>
      <c r="B252" s="164"/>
      <c r="C252" s="164"/>
      <c r="D252" s="131"/>
      <c r="E252" s="131"/>
      <c r="F252" s="131"/>
      <c r="G252" s="131"/>
      <c r="H252" s="131"/>
      <c r="I252" s="131"/>
      <c r="J252" s="131"/>
      <c r="K252" s="131"/>
      <c r="L252" s="131"/>
      <c r="M252" s="131"/>
      <c r="N252" s="131"/>
      <c r="O252" s="131"/>
      <c r="P252" s="131"/>
      <c r="CY252" s="13"/>
      <c r="CZ252" s="13"/>
      <c r="DA252" s="13"/>
      <c r="DB252" s="13"/>
      <c r="DC252" s="13"/>
      <c r="DD252" s="13"/>
    </row>
    <row r="253" spans="1:108" s="4" customFormat="1" ht="25.5" hidden="1">
      <c r="A253" s="135" t="s">
        <v>458</v>
      </c>
      <c r="B253" s="164"/>
      <c r="C253" s="164"/>
      <c r="D253" s="166">
        <v>21</v>
      </c>
      <c r="E253" s="166"/>
      <c r="F253" s="166">
        <f>D253</f>
        <v>21</v>
      </c>
      <c r="G253" s="166">
        <v>21</v>
      </c>
      <c r="H253" s="166"/>
      <c r="I253" s="166"/>
      <c r="J253" s="166">
        <f>G253</f>
        <v>21</v>
      </c>
      <c r="K253" s="166"/>
      <c r="L253" s="166"/>
      <c r="M253" s="166"/>
      <c r="N253" s="166">
        <v>21</v>
      </c>
      <c r="O253" s="166"/>
      <c r="P253" s="166">
        <f>N253</f>
        <v>21</v>
      </c>
      <c r="CY253" s="13"/>
      <c r="CZ253" s="13"/>
      <c r="DA253" s="13"/>
      <c r="DB253" s="13"/>
      <c r="DC253" s="13"/>
      <c r="DD253" s="13"/>
    </row>
    <row r="254" spans="1:108" s="4" customFormat="1" ht="16.5" customHeight="1" hidden="1">
      <c r="A254" s="133" t="s">
        <v>372</v>
      </c>
      <c r="B254" s="164"/>
      <c r="C254" s="164"/>
      <c r="D254" s="131"/>
      <c r="E254" s="131"/>
      <c r="F254" s="131"/>
      <c r="G254" s="131"/>
      <c r="H254" s="131"/>
      <c r="I254" s="131"/>
      <c r="J254" s="131"/>
      <c r="K254" s="131"/>
      <c r="L254" s="131"/>
      <c r="M254" s="131"/>
      <c r="N254" s="131"/>
      <c r="O254" s="131"/>
      <c r="P254" s="131"/>
      <c r="CY254" s="13"/>
      <c r="CZ254" s="13"/>
      <c r="DA254" s="13"/>
      <c r="DB254" s="13"/>
      <c r="DC254" s="13"/>
      <c r="DD254" s="13"/>
    </row>
    <row r="255" spans="1:108" s="4" customFormat="1" ht="25.5" hidden="1">
      <c r="A255" s="134" t="s">
        <v>459</v>
      </c>
      <c r="B255" s="164"/>
      <c r="C255" s="164"/>
      <c r="D255" s="131">
        <f>D251/D253</f>
        <v>2857.1428571428573</v>
      </c>
      <c r="E255" s="131"/>
      <c r="F255" s="131">
        <f>D255</f>
        <v>2857.1428571428573</v>
      </c>
      <c r="G255" s="131">
        <f>G251/G253</f>
        <v>6461.9047619047615</v>
      </c>
      <c r="H255" s="131"/>
      <c r="I255" s="131"/>
      <c r="J255" s="131">
        <f>J251/J253</f>
        <v>6461.9047619047615</v>
      </c>
      <c r="K255" s="131"/>
      <c r="L255" s="131"/>
      <c r="M255" s="131"/>
      <c r="N255" s="131">
        <f>N251/N253</f>
        <v>6785.714285714285</v>
      </c>
      <c r="O255" s="131"/>
      <c r="P255" s="131">
        <f>N255</f>
        <v>6785.714285714285</v>
      </c>
      <c r="CY255" s="13"/>
      <c r="CZ255" s="13"/>
      <c r="DA255" s="13"/>
      <c r="DB255" s="13"/>
      <c r="DC255" s="13"/>
      <c r="DD255" s="13"/>
    </row>
    <row r="256" spans="1:108" s="48" customFormat="1" ht="13.5" hidden="1">
      <c r="A256" s="137" t="s">
        <v>24</v>
      </c>
      <c r="B256" s="162"/>
      <c r="C256" s="162"/>
      <c r="D256" s="161"/>
      <c r="E256" s="160">
        <f>E258</f>
        <v>3361200</v>
      </c>
      <c r="F256" s="160">
        <f>E256</f>
        <v>3361200</v>
      </c>
      <c r="G256" s="160"/>
      <c r="H256" s="160">
        <f>H258</f>
        <v>20530000</v>
      </c>
      <c r="I256" s="160"/>
      <c r="J256" s="160">
        <f>H256</f>
        <v>20530000</v>
      </c>
      <c r="K256" s="160"/>
      <c r="L256" s="160"/>
      <c r="M256" s="160"/>
      <c r="N256" s="160"/>
      <c r="O256" s="160">
        <f>O258</f>
        <v>21056500</v>
      </c>
      <c r="P256" s="160">
        <f>O256</f>
        <v>21056500</v>
      </c>
      <c r="CY256" s="49"/>
      <c r="CZ256" s="49"/>
      <c r="DA256" s="49"/>
      <c r="DB256" s="49"/>
      <c r="DC256" s="49"/>
      <c r="DD256" s="49"/>
    </row>
    <row r="257" spans="1:108" s="4" customFormat="1" ht="20.25" customHeight="1" hidden="1">
      <c r="A257" s="133" t="s">
        <v>254</v>
      </c>
      <c r="B257" s="164"/>
      <c r="C257" s="164"/>
      <c r="D257" s="131"/>
      <c r="E257" s="131"/>
      <c r="F257" s="131"/>
      <c r="G257" s="131"/>
      <c r="H257" s="131"/>
      <c r="I257" s="131"/>
      <c r="J257" s="131"/>
      <c r="K257" s="131"/>
      <c r="L257" s="131"/>
      <c r="M257" s="131"/>
      <c r="N257" s="131"/>
      <c r="O257" s="131"/>
      <c r="P257" s="131"/>
      <c r="CY257" s="13"/>
      <c r="CZ257" s="13"/>
      <c r="DA257" s="13"/>
      <c r="DB257" s="13"/>
      <c r="DC257" s="13"/>
      <c r="DD257" s="13"/>
    </row>
    <row r="258" spans="1:108" s="4" customFormat="1" ht="12.75" hidden="1">
      <c r="A258" s="134" t="s">
        <v>444</v>
      </c>
      <c r="B258" s="164"/>
      <c r="C258" s="164"/>
      <c r="D258" s="131"/>
      <c r="E258" s="131">
        <f>10000000+10000000-4000000-8238800-3000000-1400000</f>
        <v>3361200</v>
      </c>
      <c r="F258" s="131">
        <f>E258</f>
        <v>3361200</v>
      </c>
      <c r="G258" s="131"/>
      <c r="H258" s="131">
        <f>10530000+10000000</f>
        <v>20530000</v>
      </c>
      <c r="I258" s="131"/>
      <c r="J258" s="131">
        <f>H258</f>
        <v>20530000</v>
      </c>
      <c r="K258" s="131"/>
      <c r="L258" s="131"/>
      <c r="M258" s="131"/>
      <c r="N258" s="131"/>
      <c r="O258" s="131">
        <f>11056500+10000000</f>
        <v>21056500</v>
      </c>
      <c r="P258" s="131">
        <f>O258</f>
        <v>21056500</v>
      </c>
      <c r="CY258" s="13"/>
      <c r="CZ258" s="13"/>
      <c r="DA258" s="13"/>
      <c r="DB258" s="13"/>
      <c r="DC258" s="13"/>
      <c r="DD258" s="13"/>
    </row>
    <row r="259" spans="1:108" s="4" customFormat="1" ht="21" customHeight="1" hidden="1">
      <c r="A259" s="133" t="s">
        <v>376</v>
      </c>
      <c r="B259" s="164"/>
      <c r="C259" s="164"/>
      <c r="D259" s="131"/>
      <c r="E259" s="131"/>
      <c r="F259" s="131"/>
      <c r="G259" s="131"/>
      <c r="H259" s="131"/>
      <c r="I259" s="131"/>
      <c r="J259" s="131"/>
      <c r="K259" s="131"/>
      <c r="L259" s="131"/>
      <c r="M259" s="131"/>
      <c r="N259" s="131"/>
      <c r="O259" s="131"/>
      <c r="P259" s="131"/>
      <c r="CY259" s="13"/>
      <c r="CZ259" s="13"/>
      <c r="DA259" s="13"/>
      <c r="DB259" s="13"/>
      <c r="DC259" s="13"/>
      <c r="DD259" s="13"/>
    </row>
    <row r="260" spans="1:108" s="4" customFormat="1" ht="12.75" hidden="1">
      <c r="A260" s="135" t="s">
        <v>445</v>
      </c>
      <c r="B260" s="164"/>
      <c r="C260" s="164"/>
      <c r="D260" s="131"/>
      <c r="E260" s="166">
        <v>3</v>
      </c>
      <c r="F260" s="166">
        <f>E260</f>
        <v>3</v>
      </c>
      <c r="G260" s="166"/>
      <c r="H260" s="166">
        <v>2</v>
      </c>
      <c r="I260" s="166"/>
      <c r="J260" s="166">
        <f>H260</f>
        <v>2</v>
      </c>
      <c r="K260" s="166"/>
      <c r="L260" s="166"/>
      <c r="M260" s="166"/>
      <c r="N260" s="166"/>
      <c r="O260" s="166">
        <v>2</v>
      </c>
      <c r="P260" s="166">
        <v>1</v>
      </c>
      <c r="CY260" s="13"/>
      <c r="CZ260" s="13"/>
      <c r="DA260" s="13"/>
      <c r="DB260" s="13"/>
      <c r="DC260" s="13"/>
      <c r="DD260" s="13"/>
    </row>
    <row r="261" spans="1:108" s="4" customFormat="1" ht="12.75" hidden="1">
      <c r="A261" s="133" t="s">
        <v>372</v>
      </c>
      <c r="B261" s="164"/>
      <c r="C261" s="164"/>
      <c r="D261" s="131"/>
      <c r="E261" s="131"/>
      <c r="F261" s="131"/>
      <c r="G261" s="131"/>
      <c r="H261" s="131"/>
      <c r="I261" s="131"/>
      <c r="J261" s="131"/>
      <c r="K261" s="131"/>
      <c r="L261" s="131"/>
      <c r="M261" s="131"/>
      <c r="N261" s="131"/>
      <c r="O261" s="131"/>
      <c r="P261" s="131"/>
      <c r="CY261" s="13"/>
      <c r="CZ261" s="13"/>
      <c r="DA261" s="13"/>
      <c r="DB261" s="13"/>
      <c r="DC261" s="13"/>
      <c r="DD261" s="13"/>
    </row>
    <row r="262" spans="1:108" s="4" customFormat="1" ht="12.75" hidden="1">
      <c r="A262" s="134" t="s">
        <v>446</v>
      </c>
      <c r="B262" s="164"/>
      <c r="C262" s="164"/>
      <c r="D262" s="131"/>
      <c r="E262" s="131">
        <f>E258/E260</f>
        <v>1120400</v>
      </c>
      <c r="F262" s="131">
        <f>E262</f>
        <v>1120400</v>
      </c>
      <c r="G262" s="131"/>
      <c r="H262" s="131">
        <f>H258/H260</f>
        <v>10265000</v>
      </c>
      <c r="I262" s="131"/>
      <c r="J262" s="131">
        <f>H262</f>
        <v>10265000</v>
      </c>
      <c r="K262" s="131"/>
      <c r="L262" s="131"/>
      <c r="M262" s="131"/>
      <c r="N262" s="131"/>
      <c r="O262" s="131">
        <f>O258/O260</f>
        <v>10528250</v>
      </c>
      <c r="P262" s="131">
        <f>O262</f>
        <v>10528250</v>
      </c>
      <c r="CY262" s="13"/>
      <c r="CZ262" s="13"/>
      <c r="DA262" s="13"/>
      <c r="DB262" s="13"/>
      <c r="DC262" s="13"/>
      <c r="DD262" s="13"/>
    </row>
    <row r="263" spans="1:108" s="65" customFormat="1" ht="38.25" customHeight="1" hidden="1">
      <c r="A263" s="68" t="s">
        <v>25</v>
      </c>
      <c r="B263" s="64"/>
      <c r="C263" s="64"/>
      <c r="D263" s="67">
        <f>D264+D278+D271+D285+D292+D299+D313+D306</f>
        <v>17592500</v>
      </c>
      <c r="E263" s="67">
        <f aca="true" t="shared" si="26" ref="E263:O263">E264+E278+E271+E285+E292+E299+E313</f>
        <v>0</v>
      </c>
      <c r="F263" s="67">
        <f>D263+E263</f>
        <v>17592500</v>
      </c>
      <c r="G263" s="67">
        <f t="shared" si="26"/>
        <v>30023400</v>
      </c>
      <c r="H263" s="67">
        <f t="shared" si="26"/>
        <v>0</v>
      </c>
      <c r="I263" s="67">
        <f t="shared" si="26"/>
        <v>0</v>
      </c>
      <c r="J263" s="67">
        <f>G263+H263</f>
        <v>30023400</v>
      </c>
      <c r="K263" s="67">
        <f t="shared" si="26"/>
        <v>0</v>
      </c>
      <c r="L263" s="67">
        <f t="shared" si="26"/>
        <v>0</v>
      </c>
      <c r="M263" s="67">
        <f t="shared" si="26"/>
        <v>0</v>
      </c>
      <c r="N263" s="67">
        <f t="shared" si="26"/>
        <v>31525200</v>
      </c>
      <c r="O263" s="67">
        <f t="shared" si="26"/>
        <v>0</v>
      </c>
      <c r="P263" s="67">
        <f>N263+O263</f>
        <v>31525200</v>
      </c>
      <c r="CY263" s="66"/>
      <c r="CZ263" s="66"/>
      <c r="DA263" s="66"/>
      <c r="DB263" s="66"/>
      <c r="DC263" s="66"/>
      <c r="DD263" s="66"/>
    </row>
    <row r="264" spans="1:108" s="48" customFormat="1" ht="18.75" customHeight="1" hidden="1">
      <c r="A264" s="137" t="s">
        <v>26</v>
      </c>
      <c r="B264" s="162"/>
      <c r="C264" s="162"/>
      <c r="D264" s="160">
        <f>D266</f>
        <v>10689000</v>
      </c>
      <c r="E264" s="160"/>
      <c r="F264" s="160">
        <f>D264</f>
        <v>10689000</v>
      </c>
      <c r="G264" s="160">
        <f>G266</f>
        <v>17487600</v>
      </c>
      <c r="H264" s="160"/>
      <c r="I264" s="160"/>
      <c r="J264" s="160">
        <f>G264</f>
        <v>17487600</v>
      </c>
      <c r="K264" s="160"/>
      <c r="L264" s="160"/>
      <c r="M264" s="160"/>
      <c r="N264" s="160">
        <f>N266</f>
        <v>18362300</v>
      </c>
      <c r="O264" s="160"/>
      <c r="P264" s="160">
        <f>N264</f>
        <v>18362300</v>
      </c>
      <c r="CY264" s="49"/>
      <c r="CZ264" s="49"/>
      <c r="DA264" s="49"/>
      <c r="DB264" s="49"/>
      <c r="DC264" s="49"/>
      <c r="DD264" s="49"/>
    </row>
    <row r="265" spans="1:108" s="4" customFormat="1" ht="18.75" customHeight="1" hidden="1">
      <c r="A265" s="133" t="s">
        <v>254</v>
      </c>
      <c r="B265" s="164"/>
      <c r="C265" s="164"/>
      <c r="D265" s="131"/>
      <c r="E265" s="131"/>
      <c r="F265" s="131"/>
      <c r="G265" s="131"/>
      <c r="H265" s="131"/>
      <c r="I265" s="131"/>
      <c r="J265" s="131"/>
      <c r="K265" s="131"/>
      <c r="L265" s="131"/>
      <c r="M265" s="131"/>
      <c r="N265" s="131"/>
      <c r="O265" s="131"/>
      <c r="P265" s="131"/>
      <c r="CY265" s="13"/>
      <c r="CZ265" s="13"/>
      <c r="DA265" s="13"/>
      <c r="DB265" s="13"/>
      <c r="DC265" s="13"/>
      <c r="DD265" s="13"/>
    </row>
    <row r="266" spans="1:108" s="4" customFormat="1" ht="12.75" customHeight="1" hidden="1">
      <c r="A266" s="134" t="s">
        <v>399</v>
      </c>
      <c r="B266" s="164"/>
      <c r="C266" s="164"/>
      <c r="D266" s="131">
        <f>16448100+50000-50000-5759100</f>
        <v>10689000</v>
      </c>
      <c r="E266" s="131"/>
      <c r="F266" s="131">
        <f>D266</f>
        <v>10689000</v>
      </c>
      <c r="G266" s="131">
        <f>17435000+52600</f>
        <v>17487600</v>
      </c>
      <c r="H266" s="131"/>
      <c r="I266" s="131"/>
      <c r="J266" s="131">
        <f>G266</f>
        <v>17487600</v>
      </c>
      <c r="K266" s="131"/>
      <c r="L266" s="131"/>
      <c r="M266" s="131"/>
      <c r="N266" s="131">
        <f>18307000+55300</f>
        <v>18362300</v>
      </c>
      <c r="O266" s="131"/>
      <c r="P266" s="131">
        <f>N266</f>
        <v>18362300</v>
      </c>
      <c r="CY266" s="13"/>
      <c r="CZ266" s="13"/>
      <c r="DA266" s="13"/>
      <c r="DB266" s="13"/>
      <c r="DC266" s="13"/>
      <c r="DD266" s="13"/>
    </row>
    <row r="267" spans="1:108" s="4" customFormat="1" ht="17.25" customHeight="1" hidden="1">
      <c r="A267" s="133" t="s">
        <v>376</v>
      </c>
      <c r="B267" s="164"/>
      <c r="C267" s="164"/>
      <c r="D267" s="131"/>
      <c r="E267" s="131"/>
      <c r="F267" s="131"/>
      <c r="G267" s="131"/>
      <c r="H267" s="131"/>
      <c r="I267" s="131"/>
      <c r="J267" s="131"/>
      <c r="K267" s="131"/>
      <c r="L267" s="131"/>
      <c r="M267" s="131"/>
      <c r="N267" s="131"/>
      <c r="O267" s="131"/>
      <c r="P267" s="131"/>
      <c r="CY267" s="13"/>
      <c r="CZ267" s="13"/>
      <c r="DA267" s="13"/>
      <c r="DB267" s="13"/>
      <c r="DC267" s="13"/>
      <c r="DD267" s="13"/>
    </row>
    <row r="268" spans="1:108" s="4" customFormat="1" ht="12" customHeight="1" hidden="1">
      <c r="A268" s="135" t="s">
        <v>400</v>
      </c>
      <c r="B268" s="164"/>
      <c r="C268" s="164"/>
      <c r="D268" s="166">
        <v>13</v>
      </c>
      <c r="E268" s="166"/>
      <c r="F268" s="166">
        <f>D268</f>
        <v>13</v>
      </c>
      <c r="G268" s="166">
        <v>38</v>
      </c>
      <c r="H268" s="166"/>
      <c r="I268" s="166"/>
      <c r="J268" s="166">
        <f>G268</f>
        <v>38</v>
      </c>
      <c r="K268" s="166"/>
      <c r="L268" s="166"/>
      <c r="M268" s="166"/>
      <c r="N268" s="166">
        <f>J268</f>
        <v>38</v>
      </c>
      <c r="O268" s="166"/>
      <c r="P268" s="166">
        <f>N268</f>
        <v>38</v>
      </c>
      <c r="CY268" s="13"/>
      <c r="CZ268" s="13"/>
      <c r="DA268" s="13"/>
      <c r="DB268" s="13"/>
      <c r="DC268" s="13"/>
      <c r="DD268" s="13"/>
    </row>
    <row r="269" spans="1:108" s="4" customFormat="1" ht="18.75" customHeight="1" hidden="1">
      <c r="A269" s="133" t="s">
        <v>372</v>
      </c>
      <c r="B269" s="164"/>
      <c r="C269" s="164"/>
      <c r="D269" s="131"/>
      <c r="E269" s="131"/>
      <c r="F269" s="131"/>
      <c r="G269" s="131"/>
      <c r="H269" s="131"/>
      <c r="I269" s="131"/>
      <c r="J269" s="131"/>
      <c r="K269" s="131"/>
      <c r="L269" s="131"/>
      <c r="M269" s="131"/>
      <c r="N269" s="131"/>
      <c r="O269" s="131"/>
      <c r="P269" s="131"/>
      <c r="CY269" s="13"/>
      <c r="CZ269" s="13"/>
      <c r="DA269" s="13"/>
      <c r="DB269" s="13"/>
      <c r="DC269" s="13"/>
      <c r="DD269" s="13"/>
    </row>
    <row r="270" spans="1:108" s="4" customFormat="1" ht="19.5" customHeight="1" hidden="1">
      <c r="A270" s="134" t="s">
        <v>401</v>
      </c>
      <c r="B270" s="164"/>
      <c r="C270" s="164"/>
      <c r="D270" s="131">
        <f>D266/D268</f>
        <v>822230.7692307692</v>
      </c>
      <c r="E270" s="131"/>
      <c r="F270" s="131">
        <f>D270</f>
        <v>822230.7692307692</v>
      </c>
      <c r="G270" s="131">
        <f>G266/G268</f>
        <v>460200</v>
      </c>
      <c r="H270" s="131"/>
      <c r="I270" s="131"/>
      <c r="J270" s="131">
        <f>G270</f>
        <v>460200</v>
      </c>
      <c r="K270" s="131"/>
      <c r="L270" s="131"/>
      <c r="M270" s="131"/>
      <c r="N270" s="131">
        <f>N266/N268</f>
        <v>483218.4210526316</v>
      </c>
      <c r="O270" s="131"/>
      <c r="P270" s="131">
        <f>N270</f>
        <v>483218.4210526316</v>
      </c>
      <c r="CY270" s="13"/>
      <c r="CZ270" s="13"/>
      <c r="DA270" s="13"/>
      <c r="DB270" s="13"/>
      <c r="DC270" s="13"/>
      <c r="DD270" s="13"/>
    </row>
    <row r="271" spans="1:108" s="48" customFormat="1" ht="27.75" customHeight="1" hidden="1">
      <c r="A271" s="137" t="s">
        <v>27</v>
      </c>
      <c r="B271" s="162"/>
      <c r="C271" s="162"/>
      <c r="D271" s="174">
        <f>D273</f>
        <v>1905300</v>
      </c>
      <c r="E271" s="174"/>
      <c r="F271" s="174">
        <f>D271</f>
        <v>1905300</v>
      </c>
      <c r="G271" s="161">
        <f>G273</f>
        <v>5385700</v>
      </c>
      <c r="H271" s="161"/>
      <c r="I271" s="161"/>
      <c r="J271" s="161">
        <f>G271</f>
        <v>5385700</v>
      </c>
      <c r="K271" s="161"/>
      <c r="L271" s="161"/>
      <c r="M271" s="161"/>
      <c r="N271" s="161">
        <f>N273</f>
        <v>5655000</v>
      </c>
      <c r="O271" s="161"/>
      <c r="P271" s="161">
        <f>N271</f>
        <v>5655000</v>
      </c>
      <c r="CY271" s="49"/>
      <c r="CZ271" s="49"/>
      <c r="DA271" s="49"/>
      <c r="DB271" s="49"/>
      <c r="DC271" s="49"/>
      <c r="DD271" s="49"/>
    </row>
    <row r="272" spans="1:108" s="4" customFormat="1" ht="19.5" customHeight="1" hidden="1">
      <c r="A272" s="133" t="s">
        <v>254</v>
      </c>
      <c r="B272" s="164"/>
      <c r="C272" s="164"/>
      <c r="D272" s="131"/>
      <c r="E272" s="131"/>
      <c r="F272" s="131"/>
      <c r="G272" s="131"/>
      <c r="H272" s="131"/>
      <c r="I272" s="131"/>
      <c r="J272" s="131"/>
      <c r="K272" s="131"/>
      <c r="L272" s="131"/>
      <c r="M272" s="131"/>
      <c r="N272" s="131"/>
      <c r="O272" s="131"/>
      <c r="P272" s="131"/>
      <c r="CY272" s="13"/>
      <c r="CZ272" s="13"/>
      <c r="DA272" s="13"/>
      <c r="DB272" s="13"/>
      <c r="DC272" s="13"/>
      <c r="DD272" s="13"/>
    </row>
    <row r="273" spans="1:108" s="4" customFormat="1" ht="27.75" customHeight="1" hidden="1">
      <c r="A273" s="134" t="s">
        <v>402</v>
      </c>
      <c r="B273" s="164"/>
      <c r="C273" s="164"/>
      <c r="D273" s="131">
        <f>4826500-2921200</f>
        <v>1905300</v>
      </c>
      <c r="E273" s="131"/>
      <c r="F273" s="131">
        <f>D273</f>
        <v>1905300</v>
      </c>
      <c r="G273" s="131">
        <v>5385700</v>
      </c>
      <c r="H273" s="131"/>
      <c r="I273" s="131"/>
      <c r="J273" s="131">
        <f>G273</f>
        <v>5385700</v>
      </c>
      <c r="K273" s="131"/>
      <c r="L273" s="131"/>
      <c r="M273" s="131"/>
      <c r="N273" s="131">
        <v>5655000</v>
      </c>
      <c r="O273" s="131"/>
      <c r="P273" s="131">
        <f>N273</f>
        <v>5655000</v>
      </c>
      <c r="CY273" s="13"/>
      <c r="CZ273" s="13"/>
      <c r="DA273" s="13"/>
      <c r="DB273" s="13"/>
      <c r="DC273" s="13"/>
      <c r="DD273" s="13"/>
    </row>
    <row r="274" spans="1:108" s="4" customFormat="1" ht="20.25" customHeight="1" hidden="1">
      <c r="A274" s="133" t="s">
        <v>376</v>
      </c>
      <c r="B274" s="164"/>
      <c r="C274" s="164"/>
      <c r="D274" s="131"/>
      <c r="E274" s="131"/>
      <c r="F274" s="131"/>
      <c r="G274" s="131"/>
      <c r="H274" s="131"/>
      <c r="I274" s="131"/>
      <c r="J274" s="131"/>
      <c r="K274" s="131"/>
      <c r="L274" s="131"/>
      <c r="M274" s="131"/>
      <c r="N274" s="131"/>
      <c r="O274" s="131"/>
      <c r="P274" s="131"/>
      <c r="CY274" s="13"/>
      <c r="CZ274" s="13"/>
      <c r="DA274" s="13"/>
      <c r="DB274" s="13"/>
      <c r="DC274" s="13"/>
      <c r="DD274" s="13"/>
    </row>
    <row r="275" spans="1:108" s="4" customFormat="1" ht="26.25" customHeight="1" hidden="1">
      <c r="A275" s="135" t="s">
        <v>403</v>
      </c>
      <c r="B275" s="164"/>
      <c r="C275" s="164"/>
      <c r="D275" s="166">
        <v>13</v>
      </c>
      <c r="E275" s="166"/>
      <c r="F275" s="166">
        <f>D275</f>
        <v>13</v>
      </c>
      <c r="G275" s="166">
        <f>F275</f>
        <v>13</v>
      </c>
      <c r="H275" s="166"/>
      <c r="I275" s="166"/>
      <c r="J275" s="166">
        <f>G275</f>
        <v>13</v>
      </c>
      <c r="K275" s="166"/>
      <c r="L275" s="166"/>
      <c r="M275" s="166"/>
      <c r="N275" s="166">
        <v>13</v>
      </c>
      <c r="O275" s="166"/>
      <c r="P275" s="166">
        <f>N275</f>
        <v>13</v>
      </c>
      <c r="CY275" s="13"/>
      <c r="CZ275" s="13"/>
      <c r="DA275" s="13"/>
      <c r="DB275" s="13"/>
      <c r="DC275" s="13"/>
      <c r="DD275" s="13"/>
    </row>
    <row r="276" spans="1:108" s="4" customFormat="1" ht="18" customHeight="1" hidden="1">
      <c r="A276" s="133" t="s">
        <v>372</v>
      </c>
      <c r="B276" s="164"/>
      <c r="C276" s="164"/>
      <c r="D276" s="131"/>
      <c r="E276" s="131"/>
      <c r="F276" s="131"/>
      <c r="G276" s="131"/>
      <c r="H276" s="131"/>
      <c r="I276" s="131"/>
      <c r="J276" s="131"/>
      <c r="K276" s="131"/>
      <c r="L276" s="131"/>
      <c r="M276" s="131"/>
      <c r="N276" s="131"/>
      <c r="O276" s="131"/>
      <c r="P276" s="131"/>
      <c r="CY276" s="13"/>
      <c r="CZ276" s="13"/>
      <c r="DA276" s="13"/>
      <c r="DB276" s="13"/>
      <c r="DC276" s="13"/>
      <c r="DD276" s="13"/>
    </row>
    <row r="277" spans="1:108" s="4" customFormat="1" ht="27.75" customHeight="1" hidden="1">
      <c r="A277" s="134" t="s">
        <v>404</v>
      </c>
      <c r="B277" s="164"/>
      <c r="C277" s="164"/>
      <c r="D277" s="131">
        <f>D273/D275</f>
        <v>146561.53846153847</v>
      </c>
      <c r="E277" s="131"/>
      <c r="F277" s="131">
        <f>F273/F275</f>
        <v>146561.53846153847</v>
      </c>
      <c r="G277" s="131">
        <f>G273/G275</f>
        <v>414284.6153846154</v>
      </c>
      <c r="H277" s="131"/>
      <c r="I277" s="131"/>
      <c r="J277" s="131">
        <f>G277</f>
        <v>414284.6153846154</v>
      </c>
      <c r="K277" s="131"/>
      <c r="L277" s="131"/>
      <c r="M277" s="131"/>
      <c r="N277" s="131">
        <f>N273/N275</f>
        <v>435000</v>
      </c>
      <c r="O277" s="131"/>
      <c r="P277" s="131">
        <f>N277</f>
        <v>435000</v>
      </c>
      <c r="CY277" s="13"/>
      <c r="CZ277" s="13"/>
      <c r="DA277" s="13"/>
      <c r="DB277" s="13"/>
      <c r="DC277" s="13"/>
      <c r="DD277" s="13"/>
    </row>
    <row r="278" spans="1:108" s="50" customFormat="1" ht="20.25" customHeight="1" hidden="1">
      <c r="A278" s="137" t="s">
        <v>28</v>
      </c>
      <c r="B278" s="159"/>
      <c r="C278" s="159"/>
      <c r="D278" s="275">
        <f>D280</f>
        <v>4600000</v>
      </c>
      <c r="E278" s="275"/>
      <c r="F278" s="275">
        <f>D278</f>
        <v>4600000</v>
      </c>
      <c r="G278" s="160">
        <f>G280</f>
        <v>6628300</v>
      </c>
      <c r="H278" s="160"/>
      <c r="I278" s="160"/>
      <c r="J278" s="160">
        <f>G278</f>
        <v>6628300</v>
      </c>
      <c r="K278" s="160"/>
      <c r="L278" s="160"/>
      <c r="M278" s="160"/>
      <c r="N278" s="160">
        <f>N280</f>
        <v>6960000</v>
      </c>
      <c r="O278" s="160"/>
      <c r="P278" s="160">
        <f>N278</f>
        <v>6960000</v>
      </c>
      <c r="CY278" s="51"/>
      <c r="CZ278" s="51"/>
      <c r="DA278" s="51"/>
      <c r="DB278" s="51"/>
      <c r="DC278" s="51"/>
      <c r="DD278" s="51"/>
    </row>
    <row r="279" spans="1:108" s="4" customFormat="1" ht="12.75" hidden="1">
      <c r="A279" s="133" t="s">
        <v>254</v>
      </c>
      <c r="B279" s="164"/>
      <c r="C279" s="164"/>
      <c r="D279" s="131"/>
      <c r="E279" s="131"/>
      <c r="F279" s="131"/>
      <c r="G279" s="131"/>
      <c r="H279" s="131"/>
      <c r="I279" s="131"/>
      <c r="J279" s="131"/>
      <c r="K279" s="131"/>
      <c r="L279" s="131"/>
      <c r="M279" s="131"/>
      <c r="N279" s="131"/>
      <c r="O279" s="131"/>
      <c r="P279" s="131"/>
      <c r="CY279" s="13"/>
      <c r="CZ279" s="13"/>
      <c r="DA279" s="13"/>
      <c r="DB279" s="13"/>
      <c r="DC279" s="13"/>
      <c r="DD279" s="13"/>
    </row>
    <row r="280" spans="1:108" s="4" customFormat="1" ht="18" customHeight="1" hidden="1">
      <c r="A280" s="134" t="s">
        <v>405</v>
      </c>
      <c r="B280" s="164"/>
      <c r="C280" s="164"/>
      <c r="D280" s="131">
        <f>5928700-150000-1178700</f>
        <v>4600000</v>
      </c>
      <c r="E280" s="131"/>
      <c r="F280" s="131">
        <f>D280</f>
        <v>4600000</v>
      </c>
      <c r="G280" s="131">
        <v>6628300</v>
      </c>
      <c r="H280" s="131"/>
      <c r="I280" s="131"/>
      <c r="J280" s="131">
        <f>G280</f>
        <v>6628300</v>
      </c>
      <c r="K280" s="131"/>
      <c r="L280" s="131"/>
      <c r="M280" s="131"/>
      <c r="N280" s="131">
        <v>6960000</v>
      </c>
      <c r="O280" s="131"/>
      <c r="P280" s="131">
        <f>N280</f>
        <v>6960000</v>
      </c>
      <c r="CY280" s="13"/>
      <c r="CZ280" s="13"/>
      <c r="DA280" s="13"/>
      <c r="DB280" s="13"/>
      <c r="DC280" s="13"/>
      <c r="DD280" s="13"/>
    </row>
    <row r="281" spans="1:108" s="4" customFormat="1" ht="18.75" customHeight="1" hidden="1">
      <c r="A281" s="133" t="s">
        <v>376</v>
      </c>
      <c r="B281" s="164"/>
      <c r="C281" s="164"/>
      <c r="D281" s="131"/>
      <c r="E281" s="131"/>
      <c r="F281" s="131"/>
      <c r="G281" s="131"/>
      <c r="H281" s="131"/>
      <c r="I281" s="131"/>
      <c r="J281" s="131"/>
      <c r="K281" s="131"/>
      <c r="L281" s="131"/>
      <c r="M281" s="131"/>
      <c r="N281" s="131"/>
      <c r="O281" s="131"/>
      <c r="P281" s="131"/>
      <c r="CY281" s="13"/>
      <c r="CZ281" s="13"/>
      <c r="DA281" s="13"/>
      <c r="DB281" s="13"/>
      <c r="DC281" s="13"/>
      <c r="DD281" s="13"/>
    </row>
    <row r="282" spans="1:108" s="4" customFormat="1" ht="21.75" customHeight="1" hidden="1">
      <c r="A282" s="134" t="s">
        <v>274</v>
      </c>
      <c r="B282" s="164"/>
      <c r="C282" s="164"/>
      <c r="D282" s="166">
        <v>1600</v>
      </c>
      <c r="E282" s="166"/>
      <c r="F282" s="166">
        <f>D282</f>
        <v>1600</v>
      </c>
      <c r="G282" s="166">
        <v>1600</v>
      </c>
      <c r="H282" s="166"/>
      <c r="I282" s="166"/>
      <c r="J282" s="166">
        <f>G282</f>
        <v>1600</v>
      </c>
      <c r="K282" s="166"/>
      <c r="L282" s="166"/>
      <c r="M282" s="166"/>
      <c r="N282" s="166">
        <f>J282</f>
        <v>1600</v>
      </c>
      <c r="O282" s="166"/>
      <c r="P282" s="166">
        <f>N282</f>
        <v>1600</v>
      </c>
      <c r="CY282" s="13"/>
      <c r="CZ282" s="13"/>
      <c r="DA282" s="13"/>
      <c r="DB282" s="13"/>
      <c r="DC282" s="13"/>
      <c r="DD282" s="13"/>
    </row>
    <row r="283" spans="1:108" s="4" customFormat="1" ht="12.75" hidden="1">
      <c r="A283" s="133" t="s">
        <v>372</v>
      </c>
      <c r="B283" s="164"/>
      <c r="C283" s="164"/>
      <c r="D283" s="131"/>
      <c r="E283" s="131"/>
      <c r="F283" s="131"/>
      <c r="G283" s="131"/>
      <c r="H283" s="131"/>
      <c r="I283" s="131"/>
      <c r="J283" s="131"/>
      <c r="K283" s="131"/>
      <c r="L283" s="131"/>
      <c r="M283" s="131"/>
      <c r="N283" s="131"/>
      <c r="O283" s="131"/>
      <c r="P283" s="131"/>
      <c r="CY283" s="13"/>
      <c r="CZ283" s="13"/>
      <c r="DA283" s="13"/>
      <c r="DB283" s="13"/>
      <c r="DC283" s="13"/>
      <c r="DD283" s="13"/>
    </row>
    <row r="284" spans="1:108" s="4" customFormat="1" ht="18" customHeight="1" hidden="1">
      <c r="A284" s="134" t="s">
        <v>406</v>
      </c>
      <c r="B284" s="164"/>
      <c r="C284" s="164"/>
      <c r="D284" s="131">
        <f>D280/D282</f>
        <v>2875</v>
      </c>
      <c r="E284" s="131"/>
      <c r="F284" s="131">
        <f>D284</f>
        <v>2875</v>
      </c>
      <c r="G284" s="131">
        <f>G280/G282</f>
        <v>4142.6875</v>
      </c>
      <c r="H284" s="131"/>
      <c r="I284" s="131"/>
      <c r="J284" s="131">
        <f>G284</f>
        <v>4142.6875</v>
      </c>
      <c r="K284" s="131"/>
      <c r="L284" s="131"/>
      <c r="M284" s="131"/>
      <c r="N284" s="131">
        <f>N280/N282</f>
        <v>4350</v>
      </c>
      <c r="O284" s="131"/>
      <c r="P284" s="131">
        <f>N284</f>
        <v>4350</v>
      </c>
      <c r="CY284" s="13"/>
      <c r="CZ284" s="13"/>
      <c r="DA284" s="13"/>
      <c r="DB284" s="13"/>
      <c r="DC284" s="13"/>
      <c r="DD284" s="13"/>
    </row>
    <row r="285" spans="1:108" s="50" customFormat="1" ht="19.5" customHeight="1" hidden="1">
      <c r="A285" s="137" t="s">
        <v>29</v>
      </c>
      <c r="B285" s="159"/>
      <c r="C285" s="159"/>
      <c r="D285" s="275">
        <f>D287</f>
        <v>193200</v>
      </c>
      <c r="E285" s="275"/>
      <c r="F285" s="275">
        <f>D285</f>
        <v>193200</v>
      </c>
      <c r="G285" s="160">
        <f>G287</f>
        <v>454000</v>
      </c>
      <c r="H285" s="160"/>
      <c r="I285" s="160"/>
      <c r="J285" s="160">
        <f>G285</f>
        <v>454000</v>
      </c>
      <c r="K285" s="160"/>
      <c r="L285" s="160"/>
      <c r="M285" s="160"/>
      <c r="N285" s="160">
        <f>N287</f>
        <v>476700</v>
      </c>
      <c r="O285" s="160"/>
      <c r="P285" s="160">
        <f>N285</f>
        <v>476700</v>
      </c>
      <c r="CY285" s="51"/>
      <c r="CZ285" s="51"/>
      <c r="DA285" s="51"/>
      <c r="DB285" s="51"/>
      <c r="DC285" s="51"/>
      <c r="DD285" s="51"/>
    </row>
    <row r="286" spans="1:108" s="4" customFormat="1" ht="15" customHeight="1" hidden="1">
      <c r="A286" s="133" t="s">
        <v>254</v>
      </c>
      <c r="B286" s="164"/>
      <c r="C286" s="164"/>
      <c r="D286" s="131"/>
      <c r="E286" s="131"/>
      <c r="F286" s="131"/>
      <c r="G286" s="131"/>
      <c r="H286" s="131"/>
      <c r="I286" s="131"/>
      <c r="J286" s="131"/>
      <c r="K286" s="131"/>
      <c r="L286" s="131"/>
      <c r="M286" s="131"/>
      <c r="N286" s="131"/>
      <c r="O286" s="131"/>
      <c r="P286" s="131"/>
      <c r="CY286" s="13"/>
      <c r="CZ286" s="13"/>
      <c r="DA286" s="13"/>
      <c r="DB286" s="13"/>
      <c r="DC286" s="13"/>
      <c r="DD286" s="13"/>
    </row>
    <row r="287" spans="1:108" s="4" customFormat="1" ht="18.75" customHeight="1" hidden="1">
      <c r="A287" s="134" t="s">
        <v>407</v>
      </c>
      <c r="B287" s="164"/>
      <c r="C287" s="164"/>
      <c r="D287" s="131">
        <f>406100-212900</f>
        <v>193200</v>
      </c>
      <c r="E287" s="131"/>
      <c r="F287" s="131">
        <f>D287</f>
        <v>193200</v>
      </c>
      <c r="G287" s="131">
        <v>454000</v>
      </c>
      <c r="H287" s="131"/>
      <c r="I287" s="131"/>
      <c r="J287" s="131">
        <f>G287</f>
        <v>454000</v>
      </c>
      <c r="K287" s="131"/>
      <c r="L287" s="131"/>
      <c r="M287" s="131"/>
      <c r="N287" s="131">
        <v>476700</v>
      </c>
      <c r="O287" s="131"/>
      <c r="P287" s="131">
        <f>N287</f>
        <v>476700</v>
      </c>
      <c r="CY287" s="13"/>
      <c r="CZ287" s="13"/>
      <c r="DA287" s="13"/>
      <c r="DB287" s="13"/>
      <c r="DC287" s="13"/>
      <c r="DD287" s="13"/>
    </row>
    <row r="288" spans="1:108" s="4" customFormat="1" ht="12.75" hidden="1">
      <c r="A288" s="133" t="s">
        <v>376</v>
      </c>
      <c r="B288" s="164"/>
      <c r="C288" s="164"/>
      <c r="D288" s="131"/>
      <c r="E288" s="131"/>
      <c r="F288" s="131"/>
      <c r="G288" s="131"/>
      <c r="H288" s="131"/>
      <c r="I288" s="131"/>
      <c r="J288" s="131"/>
      <c r="K288" s="131"/>
      <c r="L288" s="131"/>
      <c r="M288" s="131"/>
      <c r="N288" s="131"/>
      <c r="O288" s="131"/>
      <c r="P288" s="131"/>
      <c r="CY288" s="13"/>
      <c r="CZ288" s="13"/>
      <c r="DA288" s="13"/>
      <c r="DB288" s="13"/>
      <c r="DC288" s="13"/>
      <c r="DD288" s="13"/>
    </row>
    <row r="289" spans="1:108" s="4" customFormat="1" ht="20.25" customHeight="1" hidden="1">
      <c r="A289" s="134" t="s">
        <v>326</v>
      </c>
      <c r="B289" s="164"/>
      <c r="C289" s="164"/>
      <c r="D289" s="166">
        <v>43</v>
      </c>
      <c r="E289" s="166"/>
      <c r="F289" s="166">
        <f>D289</f>
        <v>43</v>
      </c>
      <c r="G289" s="166">
        <v>90</v>
      </c>
      <c r="H289" s="166"/>
      <c r="I289" s="166"/>
      <c r="J289" s="166">
        <f>G289</f>
        <v>90</v>
      </c>
      <c r="K289" s="166"/>
      <c r="L289" s="166"/>
      <c r="M289" s="166"/>
      <c r="N289" s="166">
        <v>90</v>
      </c>
      <c r="O289" s="166"/>
      <c r="P289" s="166">
        <v>90</v>
      </c>
      <c r="CY289" s="13"/>
      <c r="CZ289" s="13"/>
      <c r="DA289" s="13"/>
      <c r="DB289" s="13"/>
      <c r="DC289" s="13"/>
      <c r="DD289" s="13"/>
    </row>
    <row r="290" spans="1:108" s="4" customFormat="1" ht="12.75" hidden="1">
      <c r="A290" s="133" t="s">
        <v>372</v>
      </c>
      <c r="B290" s="164"/>
      <c r="C290" s="164"/>
      <c r="D290" s="131"/>
      <c r="E290" s="131"/>
      <c r="F290" s="131"/>
      <c r="G290" s="131"/>
      <c r="H290" s="131"/>
      <c r="I290" s="131"/>
      <c r="J290" s="131"/>
      <c r="K290" s="131"/>
      <c r="L290" s="131"/>
      <c r="M290" s="131"/>
      <c r="N290" s="131"/>
      <c r="O290" s="131"/>
      <c r="P290" s="131"/>
      <c r="CY290" s="13"/>
      <c r="CZ290" s="13"/>
      <c r="DA290" s="13"/>
      <c r="DB290" s="13"/>
      <c r="DC290" s="13"/>
      <c r="DD290" s="13"/>
    </row>
    <row r="291" spans="1:108" s="4" customFormat="1" ht="21.75" customHeight="1" hidden="1">
      <c r="A291" s="134" t="s">
        <v>279</v>
      </c>
      <c r="B291" s="164"/>
      <c r="C291" s="164"/>
      <c r="D291" s="131">
        <f>D287/D289</f>
        <v>4493.023255813953</v>
      </c>
      <c r="E291" s="131"/>
      <c r="F291" s="131">
        <f>D291</f>
        <v>4493.023255813953</v>
      </c>
      <c r="G291" s="131">
        <f>G287/G289</f>
        <v>5044.444444444444</v>
      </c>
      <c r="H291" s="131"/>
      <c r="I291" s="131"/>
      <c r="J291" s="131">
        <f>G291</f>
        <v>5044.444444444444</v>
      </c>
      <c r="K291" s="131"/>
      <c r="L291" s="131"/>
      <c r="M291" s="131"/>
      <c r="N291" s="131">
        <f>N287/N289</f>
        <v>5296.666666666667</v>
      </c>
      <c r="O291" s="131"/>
      <c r="P291" s="131">
        <f>N291</f>
        <v>5296.666666666667</v>
      </c>
      <c r="CY291" s="13"/>
      <c r="CZ291" s="13"/>
      <c r="DA291" s="13"/>
      <c r="DB291" s="13"/>
      <c r="DC291" s="13"/>
      <c r="DD291" s="13"/>
    </row>
    <row r="292" spans="1:108" s="50" customFormat="1" ht="20.25" customHeight="1" hidden="1">
      <c r="A292" s="137" t="s">
        <v>30</v>
      </c>
      <c r="B292" s="159"/>
      <c r="C292" s="159"/>
      <c r="D292" s="275">
        <f>D294</f>
        <v>55000</v>
      </c>
      <c r="E292" s="275"/>
      <c r="F292" s="275">
        <f>D292</f>
        <v>55000</v>
      </c>
      <c r="G292" s="160">
        <f>G294</f>
        <v>67800</v>
      </c>
      <c r="H292" s="160"/>
      <c r="I292" s="160"/>
      <c r="J292" s="160">
        <f>G292</f>
        <v>67800</v>
      </c>
      <c r="K292" s="160"/>
      <c r="L292" s="160"/>
      <c r="M292" s="160"/>
      <c r="N292" s="160">
        <f>N294</f>
        <v>71200</v>
      </c>
      <c r="O292" s="160"/>
      <c r="P292" s="160">
        <f>N292</f>
        <v>71200</v>
      </c>
      <c r="CY292" s="51"/>
      <c r="CZ292" s="51"/>
      <c r="DA292" s="51"/>
      <c r="DB292" s="51"/>
      <c r="DC292" s="51"/>
      <c r="DD292" s="51"/>
    </row>
    <row r="293" spans="1:108" s="4" customFormat="1" ht="12.75" hidden="1">
      <c r="A293" s="133" t="s">
        <v>254</v>
      </c>
      <c r="B293" s="164"/>
      <c r="C293" s="164"/>
      <c r="D293" s="131"/>
      <c r="E293" s="131"/>
      <c r="F293" s="131"/>
      <c r="G293" s="131"/>
      <c r="H293" s="131"/>
      <c r="I293" s="131"/>
      <c r="J293" s="131"/>
      <c r="K293" s="131"/>
      <c r="L293" s="131"/>
      <c r="M293" s="131"/>
      <c r="N293" s="131"/>
      <c r="O293" s="131"/>
      <c r="P293" s="131"/>
      <c r="CY293" s="13"/>
      <c r="CZ293" s="13"/>
      <c r="DA293" s="13"/>
      <c r="DB293" s="13"/>
      <c r="DC293" s="13"/>
      <c r="DD293" s="13"/>
    </row>
    <row r="294" spans="1:108" s="4" customFormat="1" ht="23.25" customHeight="1" hidden="1">
      <c r="A294" s="134" t="s">
        <v>408</v>
      </c>
      <c r="B294" s="164"/>
      <c r="C294" s="164"/>
      <c r="D294" s="131">
        <f>D296*D298</f>
        <v>55000</v>
      </c>
      <c r="E294" s="131"/>
      <c r="F294" s="131">
        <f>D294</f>
        <v>55000</v>
      </c>
      <c r="G294" s="131">
        <f>G296*G298</f>
        <v>67800</v>
      </c>
      <c r="H294" s="131"/>
      <c r="I294" s="131"/>
      <c r="J294" s="131">
        <f>G294</f>
        <v>67800</v>
      </c>
      <c r="K294" s="131"/>
      <c r="L294" s="131"/>
      <c r="M294" s="131"/>
      <c r="N294" s="131">
        <f>N296*N298</f>
        <v>71200</v>
      </c>
      <c r="O294" s="131"/>
      <c r="P294" s="131">
        <f>N294</f>
        <v>71200</v>
      </c>
      <c r="CY294" s="13"/>
      <c r="CZ294" s="13"/>
      <c r="DA294" s="13"/>
      <c r="DB294" s="13"/>
      <c r="DC294" s="13"/>
      <c r="DD294" s="13"/>
    </row>
    <row r="295" spans="1:108" s="4" customFormat="1" ht="14.25" customHeight="1" hidden="1">
      <c r="A295" s="133" t="s">
        <v>376</v>
      </c>
      <c r="B295" s="164"/>
      <c r="C295" s="164"/>
      <c r="D295" s="131"/>
      <c r="E295" s="131"/>
      <c r="F295" s="131"/>
      <c r="G295" s="131"/>
      <c r="H295" s="131"/>
      <c r="I295" s="131"/>
      <c r="J295" s="131"/>
      <c r="K295" s="131"/>
      <c r="L295" s="131"/>
      <c r="M295" s="131"/>
      <c r="N295" s="131"/>
      <c r="O295" s="131"/>
      <c r="P295" s="131"/>
      <c r="CY295" s="13"/>
      <c r="CZ295" s="13"/>
      <c r="DA295" s="13"/>
      <c r="DB295" s="13"/>
      <c r="DC295" s="13"/>
      <c r="DD295" s="13"/>
    </row>
    <row r="296" spans="1:108" s="4" customFormat="1" ht="15.75" customHeight="1" hidden="1">
      <c r="A296" s="134" t="s">
        <v>136</v>
      </c>
      <c r="B296" s="164"/>
      <c r="C296" s="164"/>
      <c r="D296" s="166">
        <v>4</v>
      </c>
      <c r="E296" s="166"/>
      <c r="F296" s="166">
        <f>D296</f>
        <v>4</v>
      </c>
      <c r="G296" s="166">
        <v>4</v>
      </c>
      <c r="H296" s="166"/>
      <c r="I296" s="166"/>
      <c r="J296" s="166">
        <f>G296</f>
        <v>4</v>
      </c>
      <c r="K296" s="166"/>
      <c r="L296" s="166"/>
      <c r="M296" s="166"/>
      <c r="N296" s="166">
        <f>J296</f>
        <v>4</v>
      </c>
      <c r="O296" s="166"/>
      <c r="P296" s="166">
        <f>N296</f>
        <v>4</v>
      </c>
      <c r="CY296" s="13"/>
      <c r="CZ296" s="13"/>
      <c r="DA296" s="13"/>
      <c r="DB296" s="13"/>
      <c r="DC296" s="13"/>
      <c r="DD296" s="13"/>
    </row>
    <row r="297" spans="1:108" s="4" customFormat="1" ht="15.75" customHeight="1" hidden="1">
      <c r="A297" s="133" t="s">
        <v>372</v>
      </c>
      <c r="B297" s="164"/>
      <c r="C297" s="164"/>
      <c r="D297" s="131"/>
      <c r="E297" s="131"/>
      <c r="F297" s="131"/>
      <c r="G297" s="131"/>
      <c r="H297" s="131"/>
      <c r="I297" s="131"/>
      <c r="J297" s="131"/>
      <c r="K297" s="131"/>
      <c r="L297" s="131"/>
      <c r="M297" s="131"/>
      <c r="N297" s="131"/>
      <c r="O297" s="131"/>
      <c r="P297" s="131"/>
      <c r="CY297" s="13"/>
      <c r="CZ297" s="13"/>
      <c r="DA297" s="13"/>
      <c r="DB297" s="13"/>
      <c r="DC297" s="13"/>
      <c r="DD297" s="13"/>
    </row>
    <row r="298" spans="1:108" s="4" customFormat="1" ht="21.75" customHeight="1" hidden="1">
      <c r="A298" s="134" t="s">
        <v>409</v>
      </c>
      <c r="B298" s="164"/>
      <c r="C298" s="164"/>
      <c r="D298" s="131">
        <v>13750</v>
      </c>
      <c r="E298" s="131"/>
      <c r="F298" s="131">
        <f>D298</f>
        <v>13750</v>
      </c>
      <c r="G298" s="131">
        <v>16950</v>
      </c>
      <c r="H298" s="131"/>
      <c r="I298" s="131"/>
      <c r="J298" s="131">
        <f>G298</f>
        <v>16950</v>
      </c>
      <c r="K298" s="131"/>
      <c r="L298" s="131"/>
      <c r="M298" s="131"/>
      <c r="N298" s="131">
        <v>17800</v>
      </c>
      <c r="O298" s="131"/>
      <c r="P298" s="131">
        <f>N298</f>
        <v>17800</v>
      </c>
      <c r="CY298" s="13"/>
      <c r="CZ298" s="13"/>
      <c r="DA298" s="13"/>
      <c r="DB298" s="13"/>
      <c r="DC298" s="13"/>
      <c r="DD298" s="13"/>
    </row>
    <row r="299" spans="1:108" s="48" customFormat="1" ht="41.25" customHeight="1" hidden="1">
      <c r="A299" s="137" t="s">
        <v>175</v>
      </c>
      <c r="B299" s="176"/>
      <c r="C299" s="176"/>
      <c r="D299" s="160">
        <v>150000</v>
      </c>
      <c r="E299" s="160"/>
      <c r="F299" s="160">
        <f>D299</f>
        <v>150000</v>
      </c>
      <c r="G299" s="161"/>
      <c r="H299" s="161"/>
      <c r="I299" s="161"/>
      <c r="J299" s="161"/>
      <c r="K299" s="161"/>
      <c r="L299" s="161"/>
      <c r="M299" s="161"/>
      <c r="N299" s="161"/>
      <c r="O299" s="161"/>
      <c r="P299" s="161"/>
      <c r="CY299" s="49"/>
      <c r="CZ299" s="49"/>
      <c r="DA299" s="49"/>
      <c r="DB299" s="49"/>
      <c r="DC299" s="49"/>
      <c r="DD299" s="49"/>
    </row>
    <row r="300" spans="1:108" s="4" customFormat="1" ht="21.75" customHeight="1" hidden="1">
      <c r="A300" s="133" t="s">
        <v>254</v>
      </c>
      <c r="B300" s="167"/>
      <c r="C300" s="167"/>
      <c r="D300" s="131"/>
      <c r="E300" s="131"/>
      <c r="F300" s="131"/>
      <c r="G300" s="131"/>
      <c r="H300" s="131"/>
      <c r="I300" s="131"/>
      <c r="J300" s="131"/>
      <c r="K300" s="131"/>
      <c r="L300" s="131"/>
      <c r="M300" s="131"/>
      <c r="N300" s="131"/>
      <c r="O300" s="131"/>
      <c r="P300" s="131"/>
      <c r="CY300" s="13"/>
      <c r="CZ300" s="13"/>
      <c r="DA300" s="13"/>
      <c r="DB300" s="13"/>
      <c r="DC300" s="13"/>
      <c r="DD300" s="13"/>
    </row>
    <row r="301" spans="1:108" s="4" customFormat="1" ht="16.5" customHeight="1" hidden="1">
      <c r="A301" s="134" t="s">
        <v>176</v>
      </c>
      <c r="B301" s="167"/>
      <c r="C301" s="167"/>
      <c r="D301" s="131">
        <v>150000</v>
      </c>
      <c r="E301" s="131"/>
      <c r="F301" s="131">
        <f>D301+E301</f>
        <v>150000</v>
      </c>
      <c r="G301" s="131"/>
      <c r="H301" s="131"/>
      <c r="I301" s="131"/>
      <c r="J301" s="131"/>
      <c r="K301" s="131"/>
      <c r="L301" s="131"/>
      <c r="M301" s="131"/>
      <c r="N301" s="131"/>
      <c r="O301" s="131"/>
      <c r="P301" s="131"/>
      <c r="CY301" s="13"/>
      <c r="CZ301" s="13"/>
      <c r="DA301" s="13"/>
      <c r="DB301" s="13"/>
      <c r="DC301" s="13"/>
      <c r="DD301" s="13"/>
    </row>
    <row r="302" spans="1:108" s="4" customFormat="1" ht="21.75" customHeight="1" hidden="1">
      <c r="A302" s="133" t="s">
        <v>376</v>
      </c>
      <c r="B302" s="167"/>
      <c r="C302" s="167"/>
      <c r="D302" s="131"/>
      <c r="E302" s="131"/>
      <c r="F302" s="131"/>
      <c r="G302" s="131"/>
      <c r="H302" s="131"/>
      <c r="I302" s="131"/>
      <c r="J302" s="131"/>
      <c r="K302" s="131"/>
      <c r="L302" s="131"/>
      <c r="M302" s="131"/>
      <c r="N302" s="131"/>
      <c r="O302" s="131"/>
      <c r="P302" s="131"/>
      <c r="CY302" s="13"/>
      <c r="CZ302" s="13"/>
      <c r="DA302" s="13"/>
      <c r="DB302" s="13"/>
      <c r="DC302" s="13"/>
      <c r="DD302" s="13"/>
    </row>
    <row r="303" spans="1:108" s="4" customFormat="1" ht="21.75" customHeight="1" hidden="1">
      <c r="A303" s="134" t="s">
        <v>525</v>
      </c>
      <c r="B303" s="167"/>
      <c r="C303" s="167"/>
      <c r="D303" s="166">
        <v>42</v>
      </c>
      <c r="E303" s="131"/>
      <c r="F303" s="166">
        <v>42</v>
      </c>
      <c r="G303" s="131"/>
      <c r="H303" s="131"/>
      <c r="I303" s="131"/>
      <c r="J303" s="131"/>
      <c r="K303" s="131"/>
      <c r="L303" s="131"/>
      <c r="M303" s="131"/>
      <c r="N303" s="131"/>
      <c r="O303" s="131"/>
      <c r="P303" s="131"/>
      <c r="CY303" s="13"/>
      <c r="CZ303" s="13"/>
      <c r="DA303" s="13"/>
      <c r="DB303" s="13"/>
      <c r="DC303" s="13"/>
      <c r="DD303" s="13"/>
    </row>
    <row r="304" spans="1:108" s="4" customFormat="1" ht="15" customHeight="1" hidden="1">
      <c r="A304" s="133" t="s">
        <v>372</v>
      </c>
      <c r="B304" s="167"/>
      <c r="C304" s="167"/>
      <c r="D304" s="131"/>
      <c r="E304" s="131"/>
      <c r="F304" s="131"/>
      <c r="G304" s="131"/>
      <c r="H304" s="131"/>
      <c r="I304" s="131"/>
      <c r="J304" s="131"/>
      <c r="K304" s="131"/>
      <c r="L304" s="131"/>
      <c r="M304" s="131"/>
      <c r="N304" s="131"/>
      <c r="O304" s="131"/>
      <c r="P304" s="131"/>
      <c r="CY304" s="13"/>
      <c r="CZ304" s="13"/>
      <c r="DA304" s="13"/>
      <c r="DB304" s="13"/>
      <c r="DC304" s="13"/>
      <c r="DD304" s="13"/>
    </row>
    <row r="305" spans="1:108" s="4" customFormat="1" ht="14.25" customHeight="1" hidden="1">
      <c r="A305" s="134" t="s">
        <v>177</v>
      </c>
      <c r="B305" s="167"/>
      <c r="C305" s="167"/>
      <c r="D305" s="131">
        <v>3500</v>
      </c>
      <c r="E305" s="131"/>
      <c r="F305" s="131">
        <f>D305</f>
        <v>3500</v>
      </c>
      <c r="G305" s="131"/>
      <c r="H305" s="131"/>
      <c r="I305" s="131"/>
      <c r="J305" s="131"/>
      <c r="K305" s="131"/>
      <c r="L305" s="131"/>
      <c r="M305" s="131"/>
      <c r="N305" s="131"/>
      <c r="O305" s="131"/>
      <c r="P305" s="131"/>
      <c r="CY305" s="13"/>
      <c r="CZ305" s="13"/>
      <c r="DA305" s="13"/>
      <c r="DB305" s="13"/>
      <c r="DC305" s="13"/>
      <c r="DD305" s="13"/>
    </row>
    <row r="306" spans="1:108" s="4" customFormat="1" ht="24.75" customHeight="1" hidden="1">
      <c r="A306" s="177" t="s">
        <v>98</v>
      </c>
      <c r="B306" s="164"/>
      <c r="C306" s="164"/>
      <c r="D306" s="163">
        <f>D308</f>
        <v>0</v>
      </c>
      <c r="E306" s="163"/>
      <c r="F306" s="163">
        <f>D306+E306</f>
        <v>0</v>
      </c>
      <c r="G306" s="131"/>
      <c r="H306" s="131"/>
      <c r="I306" s="131"/>
      <c r="J306" s="131"/>
      <c r="K306" s="131"/>
      <c r="L306" s="131"/>
      <c r="M306" s="131"/>
      <c r="N306" s="131"/>
      <c r="O306" s="131"/>
      <c r="P306" s="131"/>
      <c r="CY306" s="13"/>
      <c r="CZ306" s="13"/>
      <c r="DA306" s="13"/>
      <c r="DB306" s="13"/>
      <c r="DC306" s="13"/>
      <c r="DD306" s="13"/>
    </row>
    <row r="307" spans="1:108" s="4" customFormat="1" ht="21.75" customHeight="1" hidden="1">
      <c r="A307" s="178" t="s">
        <v>254</v>
      </c>
      <c r="B307" s="164"/>
      <c r="C307" s="164"/>
      <c r="D307" s="131"/>
      <c r="E307" s="131"/>
      <c r="F307" s="131">
        <f>D307+E307</f>
        <v>0</v>
      </c>
      <c r="G307" s="131"/>
      <c r="H307" s="131"/>
      <c r="I307" s="131"/>
      <c r="J307" s="131"/>
      <c r="K307" s="131"/>
      <c r="L307" s="131"/>
      <c r="M307" s="131"/>
      <c r="N307" s="131"/>
      <c r="O307" s="131"/>
      <c r="P307" s="131"/>
      <c r="CY307" s="13"/>
      <c r="CZ307" s="13"/>
      <c r="DA307" s="13"/>
      <c r="DB307" s="13"/>
      <c r="DC307" s="13"/>
      <c r="DD307" s="13"/>
    </row>
    <row r="308" spans="1:108" s="4" customFormat="1" ht="21.75" customHeight="1" hidden="1">
      <c r="A308" s="179" t="s">
        <v>478</v>
      </c>
      <c r="B308" s="164"/>
      <c r="C308" s="164"/>
      <c r="D308" s="131"/>
      <c r="E308" s="131"/>
      <c r="F308" s="131"/>
      <c r="G308" s="131"/>
      <c r="H308" s="131"/>
      <c r="I308" s="131"/>
      <c r="J308" s="131"/>
      <c r="K308" s="131"/>
      <c r="L308" s="131"/>
      <c r="M308" s="131"/>
      <c r="N308" s="131"/>
      <c r="O308" s="131"/>
      <c r="P308" s="131"/>
      <c r="CY308" s="13"/>
      <c r="CZ308" s="13"/>
      <c r="DA308" s="13"/>
      <c r="DB308" s="13"/>
      <c r="DC308" s="13"/>
      <c r="DD308" s="13"/>
    </row>
    <row r="309" spans="1:108" s="4" customFormat="1" ht="21.75" customHeight="1" hidden="1">
      <c r="A309" s="178" t="s">
        <v>376</v>
      </c>
      <c r="B309" s="164"/>
      <c r="C309" s="164"/>
      <c r="D309" s="131"/>
      <c r="E309" s="131"/>
      <c r="F309" s="131">
        <f>D309+E309</f>
        <v>0</v>
      </c>
      <c r="G309" s="131"/>
      <c r="H309" s="131"/>
      <c r="I309" s="131"/>
      <c r="J309" s="131"/>
      <c r="K309" s="131"/>
      <c r="L309" s="131"/>
      <c r="M309" s="131"/>
      <c r="N309" s="131"/>
      <c r="O309" s="131"/>
      <c r="P309" s="131"/>
      <c r="CY309" s="13"/>
      <c r="CZ309" s="13"/>
      <c r="DA309" s="13"/>
      <c r="DB309" s="13"/>
      <c r="DC309" s="13"/>
      <c r="DD309" s="13"/>
    </row>
    <row r="310" spans="1:108" s="4" customFormat="1" ht="21.75" customHeight="1" hidden="1">
      <c r="A310" s="179" t="s">
        <v>479</v>
      </c>
      <c r="B310" s="164"/>
      <c r="C310" s="164"/>
      <c r="D310" s="131"/>
      <c r="E310" s="131"/>
      <c r="F310" s="131"/>
      <c r="G310" s="131"/>
      <c r="H310" s="131"/>
      <c r="I310" s="131"/>
      <c r="J310" s="131"/>
      <c r="K310" s="131"/>
      <c r="L310" s="131"/>
      <c r="M310" s="131"/>
      <c r="N310" s="131"/>
      <c r="O310" s="131"/>
      <c r="P310" s="131"/>
      <c r="CY310" s="13"/>
      <c r="CZ310" s="13"/>
      <c r="DA310" s="13"/>
      <c r="DB310" s="13"/>
      <c r="DC310" s="13"/>
      <c r="DD310" s="13"/>
    </row>
    <row r="311" spans="1:108" s="4" customFormat="1" ht="21.75" customHeight="1" hidden="1">
      <c r="A311" s="178" t="s">
        <v>372</v>
      </c>
      <c r="B311" s="164"/>
      <c r="C311" s="164"/>
      <c r="D311" s="131"/>
      <c r="E311" s="131"/>
      <c r="F311" s="131">
        <f>D311+E311</f>
        <v>0</v>
      </c>
      <c r="G311" s="131"/>
      <c r="H311" s="131"/>
      <c r="I311" s="131"/>
      <c r="J311" s="131"/>
      <c r="K311" s="131"/>
      <c r="L311" s="131"/>
      <c r="M311" s="131"/>
      <c r="N311" s="131"/>
      <c r="O311" s="131"/>
      <c r="P311" s="131"/>
      <c r="CY311" s="13"/>
      <c r="CZ311" s="13"/>
      <c r="DA311" s="13"/>
      <c r="DB311" s="13"/>
      <c r="DC311" s="13"/>
      <c r="DD311" s="13"/>
    </row>
    <row r="312" spans="1:108" s="4" customFormat="1" ht="21.75" customHeight="1" hidden="1">
      <c r="A312" s="179" t="s">
        <v>480</v>
      </c>
      <c r="B312" s="164"/>
      <c r="C312" s="164"/>
      <c r="D312" s="131"/>
      <c r="E312" s="131"/>
      <c r="F312" s="131"/>
      <c r="G312" s="131"/>
      <c r="H312" s="131"/>
      <c r="I312" s="131"/>
      <c r="J312" s="131"/>
      <c r="K312" s="131"/>
      <c r="L312" s="131"/>
      <c r="M312" s="131"/>
      <c r="N312" s="131"/>
      <c r="O312" s="131"/>
      <c r="P312" s="131"/>
      <c r="CY312" s="13"/>
      <c r="CZ312" s="13"/>
      <c r="DA312" s="13"/>
      <c r="DB312" s="13"/>
      <c r="DC312" s="13"/>
      <c r="DD312" s="13"/>
    </row>
    <row r="313" spans="1:108" s="50" customFormat="1" ht="24.75" customHeight="1" hidden="1">
      <c r="A313" s="177" t="s">
        <v>99</v>
      </c>
      <c r="B313" s="180"/>
      <c r="C313" s="180"/>
      <c r="D313" s="160"/>
      <c r="E313" s="160">
        <f>E315</f>
        <v>0</v>
      </c>
      <c r="F313" s="160">
        <f>E313</f>
        <v>0</v>
      </c>
      <c r="G313" s="160"/>
      <c r="H313" s="160"/>
      <c r="I313" s="160"/>
      <c r="J313" s="160"/>
      <c r="K313" s="160"/>
      <c r="L313" s="160"/>
      <c r="M313" s="160"/>
      <c r="N313" s="160"/>
      <c r="O313" s="160"/>
      <c r="P313" s="160"/>
      <c r="CY313" s="51"/>
      <c r="CZ313" s="51"/>
      <c r="DA313" s="51"/>
      <c r="DB313" s="51"/>
      <c r="DC313" s="51"/>
      <c r="DD313" s="51"/>
    </row>
    <row r="314" spans="1:108" s="4" customFormat="1" ht="21.75" customHeight="1" hidden="1">
      <c r="A314" s="178" t="s">
        <v>254</v>
      </c>
      <c r="B314" s="167"/>
      <c r="C314" s="167"/>
      <c r="D314" s="131"/>
      <c r="E314" s="131"/>
      <c r="F314" s="131"/>
      <c r="G314" s="131"/>
      <c r="H314" s="131"/>
      <c r="I314" s="131"/>
      <c r="J314" s="131"/>
      <c r="K314" s="131"/>
      <c r="L314" s="131"/>
      <c r="M314" s="131"/>
      <c r="N314" s="131"/>
      <c r="O314" s="131"/>
      <c r="P314" s="131"/>
      <c r="CY314" s="13"/>
      <c r="CZ314" s="13"/>
      <c r="DA314" s="13"/>
      <c r="DB314" s="13"/>
      <c r="DC314" s="13"/>
      <c r="DD314" s="13"/>
    </row>
    <row r="315" spans="1:108" s="4" customFormat="1" ht="21.75" customHeight="1" hidden="1">
      <c r="A315" s="179" t="s">
        <v>478</v>
      </c>
      <c r="B315" s="167"/>
      <c r="C315" s="167"/>
      <c r="D315" s="131"/>
      <c r="E315" s="131"/>
      <c r="F315" s="131"/>
      <c r="G315" s="131"/>
      <c r="H315" s="131"/>
      <c r="I315" s="131"/>
      <c r="J315" s="131"/>
      <c r="K315" s="131"/>
      <c r="L315" s="131"/>
      <c r="M315" s="131"/>
      <c r="N315" s="131"/>
      <c r="O315" s="131"/>
      <c r="P315" s="131"/>
      <c r="CY315" s="13"/>
      <c r="CZ315" s="13"/>
      <c r="DA315" s="13"/>
      <c r="DB315" s="13"/>
      <c r="DC315" s="13"/>
      <c r="DD315" s="13"/>
    </row>
    <row r="316" spans="1:108" s="4" customFormat="1" ht="21.75" customHeight="1" hidden="1">
      <c r="A316" s="178" t="s">
        <v>376</v>
      </c>
      <c r="B316" s="167"/>
      <c r="C316" s="167"/>
      <c r="D316" s="131"/>
      <c r="E316" s="131"/>
      <c r="F316" s="131"/>
      <c r="G316" s="131"/>
      <c r="H316" s="131"/>
      <c r="I316" s="131"/>
      <c r="J316" s="131"/>
      <c r="K316" s="131"/>
      <c r="L316" s="131"/>
      <c r="M316" s="131"/>
      <c r="N316" s="131"/>
      <c r="O316" s="131"/>
      <c r="P316" s="131"/>
      <c r="CY316" s="13"/>
      <c r="CZ316" s="13"/>
      <c r="DA316" s="13"/>
      <c r="DB316" s="13"/>
      <c r="DC316" s="13"/>
      <c r="DD316" s="13"/>
    </row>
    <row r="317" spans="1:108" s="4" customFormat="1" ht="21.75" customHeight="1" hidden="1">
      <c r="A317" s="179" t="s">
        <v>479</v>
      </c>
      <c r="B317" s="167"/>
      <c r="C317" s="167"/>
      <c r="D317" s="131"/>
      <c r="E317" s="131"/>
      <c r="F317" s="131"/>
      <c r="G317" s="131"/>
      <c r="H317" s="131"/>
      <c r="I317" s="131"/>
      <c r="J317" s="131"/>
      <c r="K317" s="131"/>
      <c r="L317" s="131"/>
      <c r="M317" s="131"/>
      <c r="N317" s="131"/>
      <c r="O317" s="131"/>
      <c r="P317" s="131"/>
      <c r="CY317" s="13"/>
      <c r="CZ317" s="13"/>
      <c r="DA317" s="13"/>
      <c r="DB317" s="13"/>
      <c r="DC317" s="13"/>
      <c r="DD317" s="13"/>
    </row>
    <row r="318" spans="1:108" s="4" customFormat="1" ht="21.75" customHeight="1" hidden="1">
      <c r="A318" s="178" t="s">
        <v>372</v>
      </c>
      <c r="B318" s="167"/>
      <c r="C318" s="167"/>
      <c r="D318" s="131"/>
      <c r="E318" s="131"/>
      <c r="F318" s="131"/>
      <c r="G318" s="131"/>
      <c r="H318" s="131"/>
      <c r="I318" s="131"/>
      <c r="J318" s="131"/>
      <c r="K318" s="131"/>
      <c r="L318" s="131"/>
      <c r="M318" s="131"/>
      <c r="N318" s="131"/>
      <c r="O318" s="131"/>
      <c r="P318" s="131"/>
      <c r="CY318" s="13"/>
      <c r="CZ318" s="13"/>
      <c r="DA318" s="13"/>
      <c r="DB318" s="13"/>
      <c r="DC318" s="13"/>
      <c r="DD318" s="13"/>
    </row>
    <row r="319" spans="1:108" s="4" customFormat="1" ht="24.75" customHeight="1" hidden="1">
      <c r="A319" s="179" t="s">
        <v>480</v>
      </c>
      <c r="B319" s="167"/>
      <c r="C319" s="167"/>
      <c r="D319" s="131"/>
      <c r="E319" s="131"/>
      <c r="F319" s="131"/>
      <c r="G319" s="131"/>
      <c r="H319" s="131"/>
      <c r="I319" s="131"/>
      <c r="J319" s="131"/>
      <c r="K319" s="131"/>
      <c r="L319" s="131"/>
      <c r="M319" s="131"/>
      <c r="N319" s="131"/>
      <c r="O319" s="131"/>
      <c r="P319" s="131"/>
      <c r="CY319" s="13"/>
      <c r="CZ319" s="13"/>
      <c r="DA319" s="13"/>
      <c r="DB319" s="13"/>
      <c r="DC319" s="13"/>
      <c r="DD319" s="13"/>
    </row>
    <row r="320" spans="1:108" s="70" customFormat="1" ht="32.25" customHeight="1" hidden="1">
      <c r="A320" s="68" t="s">
        <v>107</v>
      </c>
      <c r="B320" s="69"/>
      <c r="C320" s="69"/>
      <c r="D320" s="67">
        <f>D321+D328+D335+D342+D349+D356</f>
        <v>6930000</v>
      </c>
      <c r="E320" s="67">
        <f aca="true" t="shared" si="27" ref="E320:P320">E321+E328+E335+E342+E349+E356</f>
        <v>0</v>
      </c>
      <c r="F320" s="67">
        <f t="shared" si="27"/>
        <v>6930000</v>
      </c>
      <c r="G320" s="67">
        <f t="shared" si="27"/>
        <v>11812800</v>
      </c>
      <c r="H320" s="67">
        <f t="shared" si="27"/>
        <v>0</v>
      </c>
      <c r="I320" s="67">
        <f t="shared" si="27"/>
        <v>0</v>
      </c>
      <c r="J320" s="67">
        <f t="shared" si="27"/>
        <v>11812800</v>
      </c>
      <c r="K320" s="67">
        <f t="shared" si="27"/>
        <v>0</v>
      </c>
      <c r="L320" s="67">
        <f t="shared" si="27"/>
        <v>0</v>
      </c>
      <c r="M320" s="67">
        <f t="shared" si="27"/>
        <v>0</v>
      </c>
      <c r="N320" s="67">
        <f t="shared" si="27"/>
        <v>10277000</v>
      </c>
      <c r="O320" s="67">
        <f t="shared" si="27"/>
        <v>0</v>
      </c>
      <c r="P320" s="67">
        <f t="shared" si="27"/>
        <v>10277000</v>
      </c>
      <c r="CY320" s="71"/>
      <c r="CZ320" s="71"/>
      <c r="DA320" s="71"/>
      <c r="DB320" s="71"/>
      <c r="DC320" s="71"/>
      <c r="DD320" s="71"/>
    </row>
    <row r="321" spans="1:108" s="50" customFormat="1" ht="45.75" customHeight="1" hidden="1">
      <c r="A321" s="137" t="s">
        <v>31</v>
      </c>
      <c r="B321" s="159"/>
      <c r="C321" s="159"/>
      <c r="D321" s="160">
        <f>D323</f>
        <v>680000</v>
      </c>
      <c r="E321" s="160"/>
      <c r="F321" s="160">
        <f>D321</f>
        <v>680000</v>
      </c>
      <c r="G321" s="160">
        <f>G323</f>
        <v>1550800</v>
      </c>
      <c r="H321" s="160"/>
      <c r="I321" s="160"/>
      <c r="J321" s="160">
        <f>G321</f>
        <v>1550800</v>
      </c>
      <c r="K321" s="160"/>
      <c r="L321" s="160"/>
      <c r="M321" s="160"/>
      <c r="N321" s="160">
        <f>N323</f>
        <v>1638300</v>
      </c>
      <c r="O321" s="160"/>
      <c r="P321" s="160">
        <f>N321</f>
        <v>1638300</v>
      </c>
      <c r="CY321" s="51"/>
      <c r="CZ321" s="51"/>
      <c r="DA321" s="51"/>
      <c r="DB321" s="51"/>
      <c r="DC321" s="51"/>
      <c r="DD321" s="51"/>
    </row>
    <row r="322" spans="1:108" s="48" customFormat="1" ht="17.25" customHeight="1" hidden="1">
      <c r="A322" s="133" t="s">
        <v>254</v>
      </c>
      <c r="B322" s="64"/>
      <c r="C322" s="64"/>
      <c r="D322" s="161"/>
      <c r="E322" s="161"/>
      <c r="F322" s="161"/>
      <c r="G322" s="161"/>
      <c r="H322" s="161"/>
      <c r="I322" s="161"/>
      <c r="J322" s="161"/>
      <c r="K322" s="161"/>
      <c r="L322" s="161"/>
      <c r="M322" s="161"/>
      <c r="N322" s="161"/>
      <c r="O322" s="161"/>
      <c r="P322" s="161"/>
      <c r="CY322" s="49"/>
      <c r="CZ322" s="49"/>
      <c r="DA322" s="49"/>
      <c r="DB322" s="49"/>
      <c r="DC322" s="49"/>
      <c r="DD322" s="49"/>
    </row>
    <row r="323" spans="1:108" s="48" customFormat="1" ht="38.25" customHeight="1" hidden="1">
      <c r="A323" s="134" t="s">
        <v>411</v>
      </c>
      <c r="B323" s="64"/>
      <c r="C323" s="64"/>
      <c r="D323" s="161">
        <f>1651700-200000-300000-471700</f>
        <v>680000</v>
      </c>
      <c r="E323" s="161"/>
      <c r="F323" s="161">
        <f>D323</f>
        <v>680000</v>
      </c>
      <c r="G323" s="161">
        <f>1750800-200000</f>
        <v>1550800</v>
      </c>
      <c r="H323" s="161"/>
      <c r="I323" s="161"/>
      <c r="J323" s="161">
        <f>G323</f>
        <v>1550800</v>
      </c>
      <c r="K323" s="161"/>
      <c r="L323" s="161"/>
      <c r="M323" s="161"/>
      <c r="N323" s="161">
        <f>1838300-200000</f>
        <v>1638300</v>
      </c>
      <c r="O323" s="161"/>
      <c r="P323" s="161">
        <f>N323</f>
        <v>1638300</v>
      </c>
      <c r="CY323" s="49"/>
      <c r="CZ323" s="49"/>
      <c r="DA323" s="49"/>
      <c r="DB323" s="49"/>
      <c r="DC323" s="49"/>
      <c r="DD323" s="49"/>
    </row>
    <row r="324" spans="1:108" s="48" customFormat="1" ht="16.5" customHeight="1" hidden="1">
      <c r="A324" s="133" t="s">
        <v>410</v>
      </c>
      <c r="B324" s="64"/>
      <c r="C324" s="64"/>
      <c r="D324" s="161"/>
      <c r="E324" s="161"/>
      <c r="F324" s="161"/>
      <c r="G324" s="161"/>
      <c r="H324" s="161"/>
      <c r="I324" s="161"/>
      <c r="J324" s="161"/>
      <c r="K324" s="161"/>
      <c r="L324" s="161"/>
      <c r="M324" s="161"/>
      <c r="N324" s="161"/>
      <c r="O324" s="161"/>
      <c r="P324" s="161"/>
      <c r="CY324" s="49"/>
      <c r="CZ324" s="49"/>
      <c r="DA324" s="49"/>
      <c r="DB324" s="49"/>
      <c r="DC324" s="49"/>
      <c r="DD324" s="49"/>
    </row>
    <row r="325" spans="1:108" s="48" customFormat="1" ht="38.25" customHeight="1" hidden="1">
      <c r="A325" s="134" t="s">
        <v>292</v>
      </c>
      <c r="B325" s="64"/>
      <c r="C325" s="64"/>
      <c r="D325" s="161">
        <v>92016</v>
      </c>
      <c r="E325" s="161"/>
      <c r="F325" s="161">
        <f>D325</f>
        <v>92016</v>
      </c>
      <c r="G325" s="161">
        <v>155760</v>
      </c>
      <c r="H325" s="161"/>
      <c r="I325" s="161"/>
      <c r="J325" s="161">
        <f>G325</f>
        <v>155760</v>
      </c>
      <c r="K325" s="161"/>
      <c r="L325" s="161"/>
      <c r="M325" s="161"/>
      <c r="N325" s="161">
        <v>155760</v>
      </c>
      <c r="O325" s="161"/>
      <c r="P325" s="161">
        <f>N325</f>
        <v>155760</v>
      </c>
      <c r="CY325" s="49"/>
      <c r="CZ325" s="49"/>
      <c r="DA325" s="49"/>
      <c r="DB325" s="49"/>
      <c r="DC325" s="49"/>
      <c r="DD325" s="49"/>
    </row>
    <row r="326" spans="1:108" s="48" customFormat="1" ht="17.25" customHeight="1" hidden="1">
      <c r="A326" s="133" t="s">
        <v>372</v>
      </c>
      <c r="B326" s="64"/>
      <c r="C326" s="64"/>
      <c r="D326" s="161"/>
      <c r="E326" s="161"/>
      <c r="F326" s="161"/>
      <c r="G326" s="161"/>
      <c r="H326" s="161"/>
      <c r="I326" s="161"/>
      <c r="J326" s="161"/>
      <c r="K326" s="161"/>
      <c r="L326" s="161"/>
      <c r="M326" s="161"/>
      <c r="N326" s="161"/>
      <c r="O326" s="161"/>
      <c r="P326" s="161"/>
      <c r="CY326" s="49"/>
      <c r="CZ326" s="49"/>
      <c r="DA326" s="49"/>
      <c r="DB326" s="49"/>
      <c r="DC326" s="49"/>
      <c r="DD326" s="49"/>
    </row>
    <row r="327" spans="1:108" s="48" customFormat="1" ht="38.25" customHeight="1" hidden="1">
      <c r="A327" s="134" t="s">
        <v>293</v>
      </c>
      <c r="B327" s="64"/>
      <c r="C327" s="64"/>
      <c r="D327" s="161">
        <f>D323/D325</f>
        <v>7.390019127108329</v>
      </c>
      <c r="E327" s="161"/>
      <c r="F327" s="161">
        <f>D327</f>
        <v>7.390019127108329</v>
      </c>
      <c r="G327" s="161">
        <f>G323/G325</f>
        <v>9.956343091936311</v>
      </c>
      <c r="H327" s="161"/>
      <c r="I327" s="161"/>
      <c r="J327" s="161">
        <f>G327</f>
        <v>9.956343091936311</v>
      </c>
      <c r="K327" s="161"/>
      <c r="L327" s="161"/>
      <c r="M327" s="161"/>
      <c r="N327" s="161">
        <f>N321/N325</f>
        <v>10.518104776579353</v>
      </c>
      <c r="O327" s="161"/>
      <c r="P327" s="161">
        <f>N327</f>
        <v>10.518104776579353</v>
      </c>
      <c r="CY327" s="49"/>
      <c r="CZ327" s="49"/>
      <c r="DA327" s="49"/>
      <c r="DB327" s="49"/>
      <c r="DC327" s="49"/>
      <c r="DD327" s="49"/>
    </row>
    <row r="328" spans="1:108" s="50" customFormat="1" ht="33.75" customHeight="1" hidden="1">
      <c r="A328" s="137" t="s">
        <v>32</v>
      </c>
      <c r="B328" s="159"/>
      <c r="C328" s="159"/>
      <c r="D328" s="160">
        <f>D330</f>
        <v>3820000</v>
      </c>
      <c r="E328" s="160"/>
      <c r="F328" s="160">
        <f>D328</f>
        <v>3820000</v>
      </c>
      <c r="G328" s="160">
        <f>G330</f>
        <v>7000000</v>
      </c>
      <c r="H328" s="160"/>
      <c r="I328" s="160"/>
      <c r="J328" s="160">
        <f>G328</f>
        <v>7000000</v>
      </c>
      <c r="K328" s="160"/>
      <c r="L328" s="160"/>
      <c r="M328" s="160"/>
      <c r="N328" s="160">
        <f>N330</f>
        <v>5256000</v>
      </c>
      <c r="O328" s="160"/>
      <c r="P328" s="160">
        <f>N328</f>
        <v>5256000</v>
      </c>
      <c r="CY328" s="51"/>
      <c r="CZ328" s="51"/>
      <c r="DA328" s="51"/>
      <c r="DB328" s="51"/>
      <c r="DC328" s="51"/>
      <c r="DD328" s="51"/>
    </row>
    <row r="329" spans="1:108" s="48" customFormat="1" ht="19.5" customHeight="1" hidden="1">
      <c r="A329" s="133" t="s">
        <v>254</v>
      </c>
      <c r="B329" s="64"/>
      <c r="C329" s="64"/>
      <c r="D329" s="161"/>
      <c r="E329" s="161"/>
      <c r="F329" s="161"/>
      <c r="G329" s="161"/>
      <c r="H329" s="161"/>
      <c r="I329" s="161"/>
      <c r="J329" s="161"/>
      <c r="K329" s="161"/>
      <c r="L329" s="161"/>
      <c r="M329" s="161"/>
      <c r="N329" s="161"/>
      <c r="O329" s="161"/>
      <c r="P329" s="161"/>
      <c r="CY329" s="49"/>
      <c r="CZ329" s="49"/>
      <c r="DA329" s="49"/>
      <c r="DB329" s="49"/>
      <c r="DC329" s="49"/>
      <c r="DD329" s="49"/>
    </row>
    <row r="330" spans="1:108" s="48" customFormat="1" ht="38.25" customHeight="1" hidden="1">
      <c r="A330" s="134" t="s">
        <v>412</v>
      </c>
      <c r="B330" s="64"/>
      <c r="C330" s="64"/>
      <c r="D330" s="161">
        <f>6519400-2000000-1160000+460600</f>
        <v>3820000</v>
      </c>
      <c r="E330" s="161"/>
      <c r="F330" s="161">
        <f>D330</f>
        <v>3820000</v>
      </c>
      <c r="G330" s="161">
        <f>6910500-2000000+2089500</f>
        <v>7000000</v>
      </c>
      <c r="H330" s="161"/>
      <c r="I330" s="161"/>
      <c r="J330" s="161">
        <f>G330</f>
        <v>7000000</v>
      </c>
      <c r="K330" s="161"/>
      <c r="L330" s="161"/>
      <c r="M330" s="161"/>
      <c r="N330" s="161">
        <f>7256000-2000000</f>
        <v>5256000</v>
      </c>
      <c r="O330" s="161"/>
      <c r="P330" s="161">
        <f>N330</f>
        <v>5256000</v>
      </c>
      <c r="CY330" s="49"/>
      <c r="CZ330" s="49"/>
      <c r="DA330" s="49"/>
      <c r="DB330" s="49"/>
      <c r="DC330" s="49"/>
      <c r="DD330" s="49"/>
    </row>
    <row r="331" spans="1:108" s="48" customFormat="1" ht="17.25" customHeight="1" hidden="1">
      <c r="A331" s="133" t="s">
        <v>410</v>
      </c>
      <c r="B331" s="64"/>
      <c r="C331" s="64"/>
      <c r="D331" s="161"/>
      <c r="E331" s="161"/>
      <c r="F331" s="161"/>
      <c r="G331" s="161"/>
      <c r="H331" s="161"/>
      <c r="I331" s="161"/>
      <c r="J331" s="161"/>
      <c r="K331" s="161"/>
      <c r="L331" s="161"/>
      <c r="M331" s="161"/>
      <c r="N331" s="161"/>
      <c r="O331" s="161"/>
      <c r="P331" s="161"/>
      <c r="CY331" s="49"/>
      <c r="CZ331" s="49"/>
      <c r="DA331" s="49"/>
      <c r="DB331" s="49"/>
      <c r="DC331" s="49"/>
      <c r="DD331" s="49"/>
    </row>
    <row r="332" spans="1:108" s="48" customFormat="1" ht="18.75" customHeight="1" hidden="1">
      <c r="A332" s="134" t="s">
        <v>413</v>
      </c>
      <c r="B332" s="64"/>
      <c r="C332" s="64"/>
      <c r="D332" s="161">
        <v>390</v>
      </c>
      <c r="E332" s="161"/>
      <c r="F332" s="161">
        <f>D332</f>
        <v>390</v>
      </c>
      <c r="G332" s="161">
        <f>F332</f>
        <v>390</v>
      </c>
      <c r="H332" s="161"/>
      <c r="I332" s="161"/>
      <c r="J332" s="161">
        <f>G332</f>
        <v>390</v>
      </c>
      <c r="K332" s="161"/>
      <c r="L332" s="161"/>
      <c r="M332" s="161"/>
      <c r="N332" s="161">
        <f>J332</f>
        <v>390</v>
      </c>
      <c r="O332" s="161"/>
      <c r="P332" s="161">
        <f>N332</f>
        <v>390</v>
      </c>
      <c r="CY332" s="49"/>
      <c r="CZ332" s="49"/>
      <c r="DA332" s="49"/>
      <c r="DB332" s="49"/>
      <c r="DC332" s="49"/>
      <c r="DD332" s="49"/>
    </row>
    <row r="333" spans="1:108" s="48" customFormat="1" ht="21" customHeight="1" hidden="1">
      <c r="A333" s="133" t="s">
        <v>372</v>
      </c>
      <c r="B333" s="64"/>
      <c r="C333" s="64"/>
      <c r="D333" s="161"/>
      <c r="E333" s="161"/>
      <c r="F333" s="161"/>
      <c r="G333" s="161"/>
      <c r="H333" s="161"/>
      <c r="I333" s="161"/>
      <c r="J333" s="161"/>
      <c r="K333" s="161"/>
      <c r="L333" s="161"/>
      <c r="M333" s="161"/>
      <c r="N333" s="161"/>
      <c r="O333" s="161"/>
      <c r="P333" s="161"/>
      <c r="CY333" s="49"/>
      <c r="CZ333" s="49"/>
      <c r="DA333" s="49"/>
      <c r="DB333" s="49"/>
      <c r="DC333" s="49"/>
      <c r="DD333" s="49"/>
    </row>
    <row r="334" spans="1:108" s="48" customFormat="1" ht="38.25" customHeight="1" hidden="1">
      <c r="A334" s="134" t="s">
        <v>481</v>
      </c>
      <c r="B334" s="64"/>
      <c r="C334" s="64"/>
      <c r="D334" s="161">
        <f>D330/D332/12</f>
        <v>816.2393162393163</v>
      </c>
      <c r="E334" s="161"/>
      <c r="F334" s="161">
        <f>D334</f>
        <v>816.2393162393163</v>
      </c>
      <c r="G334" s="161">
        <f>G330/G332/12</f>
        <v>1495.7264957264958</v>
      </c>
      <c r="H334" s="161"/>
      <c r="I334" s="161"/>
      <c r="J334" s="161">
        <f>G334</f>
        <v>1495.7264957264958</v>
      </c>
      <c r="K334" s="161"/>
      <c r="L334" s="161"/>
      <c r="M334" s="161"/>
      <c r="N334" s="161">
        <f>N330/N332/12</f>
        <v>1123.076923076923</v>
      </c>
      <c r="O334" s="161"/>
      <c r="P334" s="161">
        <f>N334</f>
        <v>1123.076923076923</v>
      </c>
      <c r="CY334" s="49"/>
      <c r="CZ334" s="49"/>
      <c r="DA334" s="49"/>
      <c r="DB334" s="49"/>
      <c r="DC334" s="49"/>
      <c r="DD334" s="49"/>
    </row>
    <row r="335" spans="1:108" s="48" customFormat="1" ht="18.75" customHeight="1" hidden="1">
      <c r="A335" s="137" t="s">
        <v>33</v>
      </c>
      <c r="B335" s="162"/>
      <c r="C335" s="162"/>
      <c r="D335" s="160">
        <f>D337</f>
        <v>100000</v>
      </c>
      <c r="E335" s="160"/>
      <c r="F335" s="160">
        <f>D335</f>
        <v>100000</v>
      </c>
      <c r="G335" s="160">
        <f>G337</f>
        <v>316000</v>
      </c>
      <c r="H335" s="160"/>
      <c r="I335" s="160"/>
      <c r="J335" s="160">
        <f>G335</f>
        <v>316000</v>
      </c>
      <c r="K335" s="160"/>
      <c r="L335" s="160"/>
      <c r="M335" s="160"/>
      <c r="N335" s="160">
        <f>N337</f>
        <v>331700</v>
      </c>
      <c r="O335" s="160"/>
      <c r="P335" s="160">
        <f>N335</f>
        <v>331700</v>
      </c>
      <c r="CY335" s="49"/>
      <c r="CZ335" s="49"/>
      <c r="DA335" s="49"/>
      <c r="DB335" s="49"/>
      <c r="DC335" s="49"/>
      <c r="DD335" s="49"/>
    </row>
    <row r="336" spans="1:108" s="48" customFormat="1" ht="12.75" hidden="1">
      <c r="A336" s="133" t="s">
        <v>254</v>
      </c>
      <c r="B336" s="64"/>
      <c r="C336" s="64"/>
      <c r="D336" s="161"/>
      <c r="E336" s="161"/>
      <c r="F336" s="161"/>
      <c r="G336" s="161"/>
      <c r="H336" s="161"/>
      <c r="I336" s="161"/>
      <c r="J336" s="161"/>
      <c r="K336" s="161"/>
      <c r="L336" s="161"/>
      <c r="M336" s="161"/>
      <c r="N336" s="161"/>
      <c r="O336" s="161"/>
      <c r="P336" s="161"/>
      <c r="CY336" s="49"/>
      <c r="CZ336" s="49"/>
      <c r="DA336" s="49"/>
      <c r="DB336" s="49"/>
      <c r="DC336" s="49"/>
      <c r="DD336" s="49"/>
    </row>
    <row r="337" spans="1:108" s="48" customFormat="1" ht="21.75" customHeight="1" hidden="1">
      <c r="A337" s="138" t="s">
        <v>482</v>
      </c>
      <c r="B337" s="64"/>
      <c r="C337" s="64"/>
      <c r="D337" s="161">
        <f>300000-200000</f>
        <v>100000</v>
      </c>
      <c r="E337" s="161"/>
      <c r="F337" s="161">
        <f>D337</f>
        <v>100000</v>
      </c>
      <c r="G337" s="161">
        <v>316000</v>
      </c>
      <c r="H337" s="161"/>
      <c r="I337" s="161"/>
      <c r="J337" s="161">
        <f>G337</f>
        <v>316000</v>
      </c>
      <c r="K337" s="161"/>
      <c r="L337" s="161"/>
      <c r="M337" s="161"/>
      <c r="N337" s="161">
        <v>331700</v>
      </c>
      <c r="O337" s="161"/>
      <c r="P337" s="161">
        <f>N337</f>
        <v>331700</v>
      </c>
      <c r="CY337" s="49"/>
      <c r="CZ337" s="49"/>
      <c r="DA337" s="49"/>
      <c r="DB337" s="49"/>
      <c r="DC337" s="49"/>
      <c r="DD337" s="49"/>
    </row>
    <row r="338" spans="1:108" s="48" customFormat="1" ht="18.75" customHeight="1" hidden="1">
      <c r="A338" s="139" t="s">
        <v>410</v>
      </c>
      <c r="B338" s="64"/>
      <c r="C338" s="64"/>
      <c r="D338" s="161"/>
      <c r="E338" s="161"/>
      <c r="F338" s="161"/>
      <c r="G338" s="161"/>
      <c r="H338" s="161"/>
      <c r="I338" s="161"/>
      <c r="J338" s="161"/>
      <c r="K338" s="161"/>
      <c r="L338" s="161"/>
      <c r="M338" s="161"/>
      <c r="N338" s="161"/>
      <c r="O338" s="161"/>
      <c r="P338" s="161"/>
      <c r="CY338" s="49"/>
      <c r="CZ338" s="49"/>
      <c r="DA338" s="49"/>
      <c r="DB338" s="49"/>
      <c r="DC338" s="49"/>
      <c r="DD338" s="49"/>
    </row>
    <row r="339" spans="1:108" s="48" customFormat="1" ht="20.25" customHeight="1" hidden="1">
      <c r="A339" s="138" t="s">
        <v>483</v>
      </c>
      <c r="B339" s="64"/>
      <c r="C339" s="64"/>
      <c r="D339" s="161">
        <v>55</v>
      </c>
      <c r="E339" s="161"/>
      <c r="F339" s="161">
        <f>D339</f>
        <v>55</v>
      </c>
      <c r="G339" s="161">
        <v>140</v>
      </c>
      <c r="H339" s="161"/>
      <c r="I339" s="161"/>
      <c r="J339" s="161">
        <f>G339</f>
        <v>140</v>
      </c>
      <c r="K339" s="161"/>
      <c r="L339" s="161"/>
      <c r="M339" s="161"/>
      <c r="N339" s="161">
        <v>135</v>
      </c>
      <c r="O339" s="161"/>
      <c r="P339" s="161">
        <f>N339</f>
        <v>135</v>
      </c>
      <c r="CY339" s="49"/>
      <c r="CZ339" s="49"/>
      <c r="DA339" s="49"/>
      <c r="DB339" s="49"/>
      <c r="DC339" s="49"/>
      <c r="DD339" s="49"/>
    </row>
    <row r="340" spans="1:108" s="48" customFormat="1" ht="12.75" hidden="1">
      <c r="A340" s="139" t="s">
        <v>372</v>
      </c>
      <c r="B340" s="64"/>
      <c r="C340" s="64"/>
      <c r="D340" s="161"/>
      <c r="E340" s="161"/>
      <c r="F340" s="161"/>
      <c r="G340" s="161"/>
      <c r="H340" s="161"/>
      <c r="I340" s="161"/>
      <c r="J340" s="161"/>
      <c r="K340" s="161"/>
      <c r="L340" s="161"/>
      <c r="M340" s="161"/>
      <c r="N340" s="161"/>
      <c r="O340" s="161"/>
      <c r="P340" s="161"/>
      <c r="CY340" s="49"/>
      <c r="CZ340" s="49"/>
      <c r="DA340" s="49"/>
      <c r="DB340" s="49"/>
      <c r="DC340" s="49"/>
      <c r="DD340" s="49"/>
    </row>
    <row r="341" spans="1:108" s="48" customFormat="1" ht="33" customHeight="1" hidden="1">
      <c r="A341" s="138" t="s">
        <v>484</v>
      </c>
      <c r="B341" s="64"/>
      <c r="C341" s="64"/>
      <c r="D341" s="161">
        <f>D337/D339</f>
        <v>1818.1818181818182</v>
      </c>
      <c r="E341" s="161"/>
      <c r="F341" s="161">
        <f>D341</f>
        <v>1818.1818181818182</v>
      </c>
      <c r="G341" s="161">
        <f>G337/G339</f>
        <v>2257.1428571428573</v>
      </c>
      <c r="H341" s="161"/>
      <c r="I341" s="161"/>
      <c r="J341" s="161">
        <f>G341</f>
        <v>2257.1428571428573</v>
      </c>
      <c r="K341" s="161"/>
      <c r="L341" s="161"/>
      <c r="M341" s="161"/>
      <c r="N341" s="161">
        <f>N337/N339</f>
        <v>2457.037037037037</v>
      </c>
      <c r="O341" s="161"/>
      <c r="P341" s="161">
        <f>N341</f>
        <v>2457.037037037037</v>
      </c>
      <c r="CY341" s="49"/>
      <c r="CZ341" s="49"/>
      <c r="DA341" s="49"/>
      <c r="DB341" s="49"/>
      <c r="DC341" s="49"/>
      <c r="DD341" s="49"/>
    </row>
    <row r="342" spans="1:108" s="36" customFormat="1" ht="45" customHeight="1" hidden="1">
      <c r="A342" s="137" t="s">
        <v>108</v>
      </c>
      <c r="B342" s="162"/>
      <c r="C342" s="162"/>
      <c r="D342" s="160">
        <f>D344</f>
        <v>500000</v>
      </c>
      <c r="E342" s="160"/>
      <c r="F342" s="160">
        <f>D342</f>
        <v>500000</v>
      </c>
      <c r="G342" s="160">
        <f>G344</f>
        <v>516000</v>
      </c>
      <c r="H342" s="160"/>
      <c r="I342" s="160"/>
      <c r="J342" s="160">
        <f>G342</f>
        <v>516000</v>
      </c>
      <c r="K342" s="160"/>
      <c r="L342" s="160"/>
      <c r="M342" s="160"/>
      <c r="N342" s="160">
        <f>N344</f>
        <v>498000</v>
      </c>
      <c r="O342" s="160"/>
      <c r="P342" s="160">
        <f>N342</f>
        <v>498000</v>
      </c>
      <c r="CY342" s="37"/>
      <c r="CZ342" s="37"/>
      <c r="DA342" s="37"/>
      <c r="DB342" s="37"/>
      <c r="DC342" s="37"/>
      <c r="DD342" s="37"/>
    </row>
    <row r="343" spans="1:108" s="48" customFormat="1" ht="21.75" customHeight="1" hidden="1">
      <c r="A343" s="133" t="s">
        <v>254</v>
      </c>
      <c r="B343" s="64"/>
      <c r="C343" s="64"/>
      <c r="D343" s="161"/>
      <c r="E343" s="161"/>
      <c r="F343" s="161"/>
      <c r="G343" s="161"/>
      <c r="H343" s="161"/>
      <c r="I343" s="161"/>
      <c r="J343" s="161"/>
      <c r="K343" s="161"/>
      <c r="L343" s="161"/>
      <c r="M343" s="161"/>
      <c r="N343" s="161"/>
      <c r="O343" s="161"/>
      <c r="P343" s="161"/>
      <c r="CY343" s="49"/>
      <c r="CZ343" s="49"/>
      <c r="DA343" s="49"/>
      <c r="DB343" s="49"/>
      <c r="DC343" s="49"/>
      <c r="DD343" s="49"/>
    </row>
    <row r="344" spans="1:108" s="48" customFormat="1" ht="36" customHeight="1" hidden="1">
      <c r="A344" s="138" t="s">
        <v>485</v>
      </c>
      <c r="B344" s="64"/>
      <c r="C344" s="64"/>
      <c r="D344" s="161">
        <f>450000+50000</f>
        <v>500000</v>
      </c>
      <c r="E344" s="161"/>
      <c r="F344" s="161">
        <f>D344</f>
        <v>500000</v>
      </c>
      <c r="G344" s="161">
        <f>475000+41000</f>
        <v>516000</v>
      </c>
      <c r="H344" s="161"/>
      <c r="I344" s="161"/>
      <c r="J344" s="161">
        <f>G344</f>
        <v>516000</v>
      </c>
      <c r="K344" s="161"/>
      <c r="L344" s="161"/>
      <c r="M344" s="161"/>
      <c r="N344" s="161">
        <v>498000</v>
      </c>
      <c r="O344" s="161"/>
      <c r="P344" s="161">
        <f>N344</f>
        <v>498000</v>
      </c>
      <c r="CY344" s="49"/>
      <c r="CZ344" s="49"/>
      <c r="DA344" s="49"/>
      <c r="DB344" s="49"/>
      <c r="DC344" s="49"/>
      <c r="DD344" s="49"/>
    </row>
    <row r="345" spans="1:108" s="48" customFormat="1" ht="21" customHeight="1" hidden="1">
      <c r="A345" s="139" t="s">
        <v>410</v>
      </c>
      <c r="B345" s="64"/>
      <c r="C345" s="64"/>
      <c r="D345" s="161"/>
      <c r="E345" s="161"/>
      <c r="F345" s="161"/>
      <c r="G345" s="161"/>
      <c r="H345" s="161"/>
      <c r="I345" s="161"/>
      <c r="J345" s="161"/>
      <c r="K345" s="161"/>
      <c r="L345" s="161"/>
      <c r="M345" s="161"/>
      <c r="N345" s="161"/>
      <c r="O345" s="161"/>
      <c r="P345" s="161"/>
      <c r="CY345" s="49"/>
      <c r="CZ345" s="49"/>
      <c r="DA345" s="49"/>
      <c r="DB345" s="49"/>
      <c r="DC345" s="49"/>
      <c r="DD345" s="49"/>
    </row>
    <row r="346" spans="1:108" s="48" customFormat="1" ht="24" customHeight="1" hidden="1">
      <c r="A346" s="138" t="s">
        <v>486</v>
      </c>
      <c r="B346" s="64"/>
      <c r="C346" s="64"/>
      <c r="D346" s="161">
        <v>685</v>
      </c>
      <c r="E346" s="161"/>
      <c r="F346" s="161">
        <f>D346</f>
        <v>685</v>
      </c>
      <c r="G346" s="161">
        <v>802</v>
      </c>
      <c r="H346" s="161"/>
      <c r="I346" s="161"/>
      <c r="J346" s="161">
        <f>G346</f>
        <v>802</v>
      </c>
      <c r="K346" s="161"/>
      <c r="L346" s="161"/>
      <c r="M346" s="161"/>
      <c r="N346" s="161">
        <v>908</v>
      </c>
      <c r="O346" s="161"/>
      <c r="P346" s="161">
        <f>N346</f>
        <v>908</v>
      </c>
      <c r="CY346" s="49"/>
      <c r="CZ346" s="49"/>
      <c r="DA346" s="49"/>
      <c r="DB346" s="49"/>
      <c r="DC346" s="49"/>
      <c r="DD346" s="49"/>
    </row>
    <row r="347" spans="1:108" s="48" customFormat="1" ht="12.75" hidden="1">
      <c r="A347" s="139" t="s">
        <v>372</v>
      </c>
      <c r="B347" s="64"/>
      <c r="C347" s="64"/>
      <c r="D347" s="161"/>
      <c r="E347" s="161"/>
      <c r="F347" s="161"/>
      <c r="G347" s="161"/>
      <c r="H347" s="161"/>
      <c r="I347" s="161"/>
      <c r="J347" s="161"/>
      <c r="K347" s="161"/>
      <c r="L347" s="161"/>
      <c r="M347" s="161"/>
      <c r="N347" s="161"/>
      <c r="O347" s="161"/>
      <c r="P347" s="161"/>
      <c r="CY347" s="49"/>
      <c r="CZ347" s="49"/>
      <c r="DA347" s="49"/>
      <c r="DB347" s="49"/>
      <c r="DC347" s="49"/>
      <c r="DD347" s="49"/>
    </row>
    <row r="348" spans="1:108" s="48" customFormat="1" ht="12.75" hidden="1">
      <c r="A348" s="138" t="s">
        <v>487</v>
      </c>
      <c r="B348" s="64"/>
      <c r="C348" s="64"/>
      <c r="D348" s="161">
        <f>D344/D346</f>
        <v>729.92700729927</v>
      </c>
      <c r="E348" s="161"/>
      <c r="F348" s="161">
        <f>D348</f>
        <v>729.92700729927</v>
      </c>
      <c r="G348" s="161">
        <f>G344/G346</f>
        <v>643.3915211970075</v>
      </c>
      <c r="H348" s="161"/>
      <c r="I348" s="161"/>
      <c r="J348" s="161">
        <f>G348</f>
        <v>643.3915211970075</v>
      </c>
      <c r="K348" s="161"/>
      <c r="L348" s="161"/>
      <c r="M348" s="161"/>
      <c r="N348" s="161">
        <f>N344/N346</f>
        <v>548.4581497797357</v>
      </c>
      <c r="O348" s="161"/>
      <c r="P348" s="161">
        <f>N348</f>
        <v>548.4581497797357</v>
      </c>
      <c r="CY348" s="49"/>
      <c r="CZ348" s="49"/>
      <c r="DA348" s="49"/>
      <c r="DB348" s="49"/>
      <c r="DC348" s="49"/>
      <c r="DD348" s="49"/>
    </row>
    <row r="349" spans="1:108" s="48" customFormat="1" ht="45.75" customHeight="1" hidden="1">
      <c r="A349" s="137" t="s">
        <v>109</v>
      </c>
      <c r="B349" s="64"/>
      <c r="C349" s="64"/>
      <c r="D349" s="160">
        <f>D351</f>
        <v>1290000</v>
      </c>
      <c r="E349" s="160"/>
      <c r="F349" s="160">
        <f>D349</f>
        <v>1290000</v>
      </c>
      <c r="G349" s="160">
        <f>G351</f>
        <v>1580000</v>
      </c>
      <c r="H349" s="160"/>
      <c r="I349" s="160"/>
      <c r="J349" s="160">
        <f>G349</f>
        <v>1580000</v>
      </c>
      <c r="K349" s="160"/>
      <c r="L349" s="160"/>
      <c r="M349" s="160"/>
      <c r="N349" s="160">
        <f>N351</f>
        <v>1660000</v>
      </c>
      <c r="O349" s="160"/>
      <c r="P349" s="160">
        <f>N349</f>
        <v>1660000</v>
      </c>
      <c r="CY349" s="49"/>
      <c r="CZ349" s="49"/>
      <c r="DA349" s="49"/>
      <c r="DB349" s="49"/>
      <c r="DC349" s="49"/>
      <c r="DD349" s="49"/>
    </row>
    <row r="350" spans="1:108" s="48" customFormat="1" ht="12.75" hidden="1">
      <c r="A350" s="133" t="s">
        <v>254</v>
      </c>
      <c r="B350" s="64"/>
      <c r="C350" s="64"/>
      <c r="D350" s="161"/>
      <c r="E350" s="161"/>
      <c r="F350" s="161"/>
      <c r="G350" s="161"/>
      <c r="H350" s="161"/>
      <c r="I350" s="161"/>
      <c r="J350" s="161"/>
      <c r="K350" s="161"/>
      <c r="L350" s="161"/>
      <c r="M350" s="161"/>
      <c r="N350" s="161"/>
      <c r="O350" s="161"/>
      <c r="P350" s="161"/>
      <c r="CY350" s="49"/>
      <c r="CZ350" s="49"/>
      <c r="DA350" s="49"/>
      <c r="DB350" s="49"/>
      <c r="DC350" s="49"/>
      <c r="DD350" s="49"/>
    </row>
    <row r="351" spans="1:108" s="48" customFormat="1" ht="37.5" customHeight="1" hidden="1">
      <c r="A351" s="138" t="s">
        <v>488</v>
      </c>
      <c r="B351" s="64"/>
      <c r="C351" s="64"/>
      <c r="D351" s="161">
        <f>1500000-200000-10000</f>
        <v>1290000</v>
      </c>
      <c r="E351" s="161"/>
      <c r="F351" s="161">
        <f>D351</f>
        <v>1290000</v>
      </c>
      <c r="G351" s="161">
        <v>1580000</v>
      </c>
      <c r="H351" s="161"/>
      <c r="I351" s="161"/>
      <c r="J351" s="161">
        <f>G351</f>
        <v>1580000</v>
      </c>
      <c r="K351" s="161"/>
      <c r="L351" s="161"/>
      <c r="M351" s="161"/>
      <c r="N351" s="161">
        <v>1660000</v>
      </c>
      <c r="O351" s="161"/>
      <c r="P351" s="161">
        <f>N351</f>
        <v>1660000</v>
      </c>
      <c r="CY351" s="49"/>
      <c r="CZ351" s="49"/>
      <c r="DA351" s="49"/>
      <c r="DB351" s="49"/>
      <c r="DC351" s="49"/>
      <c r="DD351" s="49"/>
    </row>
    <row r="352" spans="1:108" s="48" customFormat="1" ht="12.75" hidden="1">
      <c r="A352" s="139" t="s">
        <v>410</v>
      </c>
      <c r="B352" s="64"/>
      <c r="C352" s="64"/>
      <c r="D352" s="161"/>
      <c r="E352" s="161"/>
      <c r="F352" s="161"/>
      <c r="G352" s="161"/>
      <c r="H352" s="161"/>
      <c r="I352" s="161"/>
      <c r="J352" s="161"/>
      <c r="K352" s="161"/>
      <c r="L352" s="161"/>
      <c r="M352" s="161"/>
      <c r="N352" s="161"/>
      <c r="O352" s="161"/>
      <c r="P352" s="161"/>
      <c r="CY352" s="49"/>
      <c r="CZ352" s="49"/>
      <c r="DA352" s="49"/>
      <c r="DB352" s="49"/>
      <c r="DC352" s="49"/>
      <c r="DD352" s="49"/>
    </row>
    <row r="353" spans="1:108" s="48" customFormat="1" ht="21" customHeight="1" hidden="1">
      <c r="A353" s="138" t="s">
        <v>486</v>
      </c>
      <c r="B353" s="64"/>
      <c r="C353" s="64"/>
      <c r="D353" s="161">
        <v>2969</v>
      </c>
      <c r="E353" s="161"/>
      <c r="F353" s="161">
        <f>D353</f>
        <v>2969</v>
      </c>
      <c r="G353" s="161">
        <v>4812.01</v>
      </c>
      <c r="H353" s="161"/>
      <c r="I353" s="161"/>
      <c r="J353" s="161">
        <f>G353</f>
        <v>4812.01</v>
      </c>
      <c r="K353" s="161"/>
      <c r="L353" s="161"/>
      <c r="M353" s="161"/>
      <c r="N353" s="161">
        <v>4539.95</v>
      </c>
      <c r="O353" s="161"/>
      <c r="P353" s="161">
        <f>N353</f>
        <v>4539.95</v>
      </c>
      <c r="CY353" s="49"/>
      <c r="CZ353" s="49"/>
      <c r="DA353" s="49"/>
      <c r="DB353" s="49"/>
      <c r="DC353" s="49"/>
      <c r="DD353" s="49"/>
    </row>
    <row r="354" spans="1:108" s="48" customFormat="1" ht="12.75" hidden="1">
      <c r="A354" s="139" t="s">
        <v>372</v>
      </c>
      <c r="B354" s="64"/>
      <c r="C354" s="64"/>
      <c r="D354" s="161"/>
      <c r="E354" s="161"/>
      <c r="F354" s="161"/>
      <c r="G354" s="161"/>
      <c r="H354" s="161"/>
      <c r="I354" s="161"/>
      <c r="J354" s="161"/>
      <c r="K354" s="161"/>
      <c r="L354" s="161"/>
      <c r="M354" s="161"/>
      <c r="N354" s="161"/>
      <c r="O354" s="161"/>
      <c r="P354" s="161"/>
      <c r="CY354" s="49"/>
      <c r="CZ354" s="49"/>
      <c r="DA354" s="49"/>
      <c r="DB354" s="49"/>
      <c r="DC354" s="49"/>
      <c r="DD354" s="49"/>
    </row>
    <row r="355" spans="1:108" s="48" customFormat="1" ht="22.5" customHeight="1" hidden="1">
      <c r="A355" s="138" t="s">
        <v>487</v>
      </c>
      <c r="B355" s="64"/>
      <c r="C355" s="64"/>
      <c r="D355" s="161">
        <f>D351/D353</f>
        <v>434.48972718086895</v>
      </c>
      <c r="E355" s="161"/>
      <c r="F355" s="161">
        <f>D355</f>
        <v>434.48972718086895</v>
      </c>
      <c r="G355" s="161">
        <f>G351/G353</f>
        <v>328.3451198147967</v>
      </c>
      <c r="H355" s="161"/>
      <c r="I355" s="161"/>
      <c r="J355" s="161">
        <f>G355</f>
        <v>328.3451198147967</v>
      </c>
      <c r="K355" s="161"/>
      <c r="L355" s="161"/>
      <c r="M355" s="161"/>
      <c r="N355" s="161">
        <f>N351/N353</f>
        <v>365.64279342283504</v>
      </c>
      <c r="O355" s="161"/>
      <c r="P355" s="161">
        <f>N355</f>
        <v>365.64279342283504</v>
      </c>
      <c r="CY355" s="49"/>
      <c r="CZ355" s="49"/>
      <c r="DA355" s="49"/>
      <c r="DB355" s="49"/>
      <c r="DC355" s="49"/>
      <c r="DD355" s="49"/>
    </row>
    <row r="356" spans="1:108" s="48" customFormat="1" ht="30.75" customHeight="1" hidden="1">
      <c r="A356" s="137" t="s">
        <v>34</v>
      </c>
      <c r="B356" s="64"/>
      <c r="C356" s="64"/>
      <c r="D356" s="160">
        <f>D358</f>
        <v>540000</v>
      </c>
      <c r="E356" s="160"/>
      <c r="F356" s="160">
        <f>D356</f>
        <v>540000</v>
      </c>
      <c r="G356" s="160">
        <f>G358</f>
        <v>850000</v>
      </c>
      <c r="H356" s="160"/>
      <c r="I356" s="160"/>
      <c r="J356" s="160">
        <f>G356</f>
        <v>850000</v>
      </c>
      <c r="K356" s="160"/>
      <c r="L356" s="160"/>
      <c r="M356" s="160"/>
      <c r="N356" s="160">
        <f>N358</f>
        <v>893000</v>
      </c>
      <c r="O356" s="160"/>
      <c r="P356" s="160">
        <f>N356</f>
        <v>893000</v>
      </c>
      <c r="CY356" s="49"/>
      <c r="CZ356" s="49"/>
      <c r="DA356" s="49"/>
      <c r="DB356" s="49"/>
      <c r="DC356" s="49"/>
      <c r="DD356" s="49"/>
    </row>
    <row r="357" spans="1:108" s="48" customFormat="1" ht="21" customHeight="1" hidden="1">
      <c r="A357" s="133" t="s">
        <v>254</v>
      </c>
      <c r="B357" s="64"/>
      <c r="C357" s="64"/>
      <c r="D357" s="161"/>
      <c r="E357" s="161"/>
      <c r="F357" s="161"/>
      <c r="G357" s="161"/>
      <c r="H357" s="161"/>
      <c r="I357" s="161"/>
      <c r="J357" s="161"/>
      <c r="K357" s="161"/>
      <c r="L357" s="161"/>
      <c r="M357" s="161"/>
      <c r="N357" s="161"/>
      <c r="O357" s="161"/>
      <c r="P357" s="161"/>
      <c r="CY357" s="49"/>
      <c r="CZ357" s="49"/>
      <c r="DA357" s="49"/>
      <c r="DB357" s="49"/>
      <c r="DC357" s="49"/>
      <c r="DD357" s="49"/>
    </row>
    <row r="358" spans="1:108" s="48" customFormat="1" ht="33" customHeight="1" hidden="1">
      <c r="A358" s="138" t="s">
        <v>489</v>
      </c>
      <c r="B358" s="64"/>
      <c r="C358" s="64"/>
      <c r="D358" s="161">
        <f>750000-210000</f>
        <v>540000</v>
      </c>
      <c r="E358" s="161"/>
      <c r="F358" s="161">
        <f>D358</f>
        <v>540000</v>
      </c>
      <c r="G358" s="161">
        <v>850000</v>
      </c>
      <c r="H358" s="161"/>
      <c r="I358" s="161"/>
      <c r="J358" s="161">
        <f>G358</f>
        <v>850000</v>
      </c>
      <c r="K358" s="161"/>
      <c r="L358" s="161"/>
      <c r="M358" s="161"/>
      <c r="N358" s="161">
        <v>893000</v>
      </c>
      <c r="O358" s="161"/>
      <c r="P358" s="161">
        <f>N358</f>
        <v>893000</v>
      </c>
      <c r="CY358" s="49"/>
      <c r="CZ358" s="49"/>
      <c r="DA358" s="49"/>
      <c r="DB358" s="49"/>
      <c r="DC358" s="49"/>
      <c r="DD358" s="49"/>
    </row>
    <row r="359" spans="1:108" s="48" customFormat="1" ht="21" customHeight="1" hidden="1">
      <c r="A359" s="139" t="s">
        <v>410</v>
      </c>
      <c r="B359" s="64"/>
      <c r="C359" s="64"/>
      <c r="D359" s="161"/>
      <c r="E359" s="161"/>
      <c r="F359" s="161"/>
      <c r="G359" s="161"/>
      <c r="H359" s="161"/>
      <c r="I359" s="161"/>
      <c r="J359" s="161"/>
      <c r="K359" s="161"/>
      <c r="L359" s="161"/>
      <c r="M359" s="161"/>
      <c r="N359" s="161"/>
      <c r="O359" s="161"/>
      <c r="P359" s="161"/>
      <c r="CY359" s="49"/>
      <c r="CZ359" s="49"/>
      <c r="DA359" s="49"/>
      <c r="DB359" s="49"/>
      <c r="DC359" s="49"/>
      <c r="DD359" s="49"/>
    </row>
    <row r="360" spans="1:108" s="48" customFormat="1" ht="21.75" customHeight="1" hidden="1">
      <c r="A360" s="138" t="s">
        <v>490</v>
      </c>
      <c r="B360" s="64"/>
      <c r="C360" s="64"/>
      <c r="D360" s="161">
        <v>231.6</v>
      </c>
      <c r="E360" s="161"/>
      <c r="F360" s="161">
        <f>D360</f>
        <v>231.6</v>
      </c>
      <c r="G360" s="161">
        <v>321.6</v>
      </c>
      <c r="H360" s="161"/>
      <c r="I360" s="161"/>
      <c r="J360" s="161">
        <f>G360</f>
        <v>321.6</v>
      </c>
      <c r="K360" s="161"/>
      <c r="L360" s="161"/>
      <c r="M360" s="161"/>
      <c r="N360" s="161">
        <v>321.6</v>
      </c>
      <c r="O360" s="161"/>
      <c r="P360" s="161">
        <f>N360</f>
        <v>321.6</v>
      </c>
      <c r="CY360" s="49"/>
      <c r="CZ360" s="49"/>
      <c r="DA360" s="49"/>
      <c r="DB360" s="49"/>
      <c r="DC360" s="49"/>
      <c r="DD360" s="49"/>
    </row>
    <row r="361" spans="1:108" s="48" customFormat="1" ht="12.75" hidden="1">
      <c r="A361" s="139" t="s">
        <v>372</v>
      </c>
      <c r="B361" s="64"/>
      <c r="C361" s="64"/>
      <c r="D361" s="161"/>
      <c r="E361" s="161"/>
      <c r="F361" s="161"/>
      <c r="G361" s="161"/>
      <c r="H361" s="161"/>
      <c r="I361" s="161"/>
      <c r="J361" s="161"/>
      <c r="K361" s="161"/>
      <c r="L361" s="161"/>
      <c r="M361" s="161"/>
      <c r="N361" s="161"/>
      <c r="O361" s="161"/>
      <c r="P361" s="161"/>
      <c r="CY361" s="49"/>
      <c r="CZ361" s="49"/>
      <c r="DA361" s="49"/>
      <c r="DB361" s="49"/>
      <c r="DC361" s="49"/>
      <c r="DD361" s="49"/>
    </row>
    <row r="362" spans="1:108" s="61" customFormat="1" ht="20.25" customHeight="1" hidden="1">
      <c r="A362" s="138" t="s">
        <v>491</v>
      </c>
      <c r="B362" s="97"/>
      <c r="C362" s="97"/>
      <c r="D362" s="161">
        <f>D358/D360</f>
        <v>2331.6062176165806</v>
      </c>
      <c r="E362" s="161"/>
      <c r="F362" s="161">
        <f>D362</f>
        <v>2331.6062176165806</v>
      </c>
      <c r="G362" s="161">
        <f>G358/G360</f>
        <v>2643.0348258706467</v>
      </c>
      <c r="H362" s="161"/>
      <c r="I362" s="161"/>
      <c r="J362" s="161">
        <f>G362</f>
        <v>2643.0348258706467</v>
      </c>
      <c r="K362" s="161"/>
      <c r="L362" s="161"/>
      <c r="M362" s="161"/>
      <c r="N362" s="161">
        <f>N358/N360</f>
        <v>2776.741293532338</v>
      </c>
      <c r="O362" s="161"/>
      <c r="P362" s="161">
        <f>N362</f>
        <v>2776.741293532338</v>
      </c>
      <c r="CY362" s="62"/>
      <c r="CZ362" s="62"/>
      <c r="DA362" s="62"/>
      <c r="DB362" s="62"/>
      <c r="DC362" s="62"/>
      <c r="DD362" s="62"/>
    </row>
    <row r="363" spans="1:108" s="65" customFormat="1" ht="26.25" customHeight="1" hidden="1">
      <c r="A363" s="68" t="s">
        <v>35</v>
      </c>
      <c r="B363" s="64"/>
      <c r="C363" s="64"/>
      <c r="D363" s="67">
        <f>D364+D371+D378+D385+D394+D403+D412+D421+D430+D439+D448+D455</f>
        <v>10417200</v>
      </c>
      <c r="E363" s="67">
        <f>E364+E371+E378+E385+E394+E403+E412+E421+E430+E439+E448+E455</f>
        <v>0</v>
      </c>
      <c r="F363" s="67">
        <f>F364+F371+F378+F385+F394+F403+F412+F421+F430+F439+F448+F455</f>
        <v>10417200</v>
      </c>
      <c r="G363" s="67">
        <f aca="true" t="shared" si="28" ref="G363:P363">G364+G371+G378+G385+G394+G403+G412+G421+G430+G439+G448+G455</f>
        <v>12167599.9952</v>
      </c>
      <c r="H363" s="67">
        <f t="shared" si="28"/>
        <v>0</v>
      </c>
      <c r="I363" s="67">
        <f t="shared" si="28"/>
        <v>0</v>
      </c>
      <c r="J363" s="67">
        <f t="shared" si="28"/>
        <v>12167599.9952</v>
      </c>
      <c r="K363" s="67" t="e">
        <f t="shared" si="28"/>
        <v>#REF!</v>
      </c>
      <c r="L363" s="67" t="e">
        <f t="shared" si="28"/>
        <v>#REF!</v>
      </c>
      <c r="M363" s="67" t="e">
        <f t="shared" si="28"/>
        <v>#REF!</v>
      </c>
      <c r="N363" s="67">
        <f t="shared" si="28"/>
        <v>12531605.04</v>
      </c>
      <c r="O363" s="67">
        <f t="shared" si="28"/>
        <v>0</v>
      </c>
      <c r="P363" s="67">
        <f t="shared" si="28"/>
        <v>12531605.04</v>
      </c>
      <c r="Q363" s="67" t="e">
        <f>Q364+Q371+Q378+#REF!+Q394+Q403+Q412+Q430+Q439+Q448+Q455+#REF!</f>
        <v>#REF!</v>
      </c>
      <c r="CY363" s="66"/>
      <c r="CZ363" s="66"/>
      <c r="DA363" s="66"/>
      <c r="DB363" s="66"/>
      <c r="DC363" s="66"/>
      <c r="DD363" s="66"/>
    </row>
    <row r="364" spans="1:108" s="61" customFormat="1" ht="32.25" customHeight="1" hidden="1">
      <c r="A364" s="141" t="s">
        <v>70</v>
      </c>
      <c r="B364" s="97"/>
      <c r="C364" s="97"/>
      <c r="D364" s="160">
        <f>D366</f>
        <v>507500</v>
      </c>
      <c r="E364" s="160"/>
      <c r="F364" s="160">
        <f>D364</f>
        <v>507500</v>
      </c>
      <c r="G364" s="160">
        <f>G366</f>
        <v>835000</v>
      </c>
      <c r="H364" s="160"/>
      <c r="I364" s="160"/>
      <c r="J364" s="160">
        <f>G364</f>
        <v>835000</v>
      </c>
      <c r="K364" s="160"/>
      <c r="L364" s="160"/>
      <c r="M364" s="160"/>
      <c r="N364" s="160">
        <f>N366</f>
        <v>877000</v>
      </c>
      <c r="O364" s="160"/>
      <c r="P364" s="160">
        <f>N364</f>
        <v>877000</v>
      </c>
      <c r="CY364" s="62"/>
      <c r="CZ364" s="62"/>
      <c r="DA364" s="62"/>
      <c r="DB364" s="62"/>
      <c r="DC364" s="62"/>
      <c r="DD364" s="62"/>
    </row>
    <row r="365" spans="1:108" s="61" customFormat="1" ht="12.75" hidden="1">
      <c r="A365" s="133" t="s">
        <v>254</v>
      </c>
      <c r="B365" s="97"/>
      <c r="C365" s="97"/>
      <c r="D365" s="161"/>
      <c r="E365" s="161"/>
      <c r="F365" s="161"/>
      <c r="G365" s="161"/>
      <c r="H365" s="161"/>
      <c r="I365" s="161"/>
      <c r="J365" s="161"/>
      <c r="K365" s="161"/>
      <c r="L365" s="161"/>
      <c r="M365" s="161"/>
      <c r="N365" s="161"/>
      <c r="O365" s="161"/>
      <c r="P365" s="161"/>
      <c r="CY365" s="62"/>
      <c r="CZ365" s="62"/>
      <c r="DA365" s="62"/>
      <c r="DB365" s="62"/>
      <c r="DC365" s="62"/>
      <c r="DD365" s="62"/>
    </row>
    <row r="366" spans="1:108" s="61" customFormat="1" ht="33" customHeight="1" hidden="1">
      <c r="A366" s="138" t="s">
        <v>492</v>
      </c>
      <c r="B366" s="97"/>
      <c r="C366" s="97"/>
      <c r="D366" s="161">
        <f>755300-247800</f>
        <v>507500</v>
      </c>
      <c r="E366" s="161"/>
      <c r="F366" s="161">
        <f>D366</f>
        <v>507500</v>
      </c>
      <c r="G366" s="161">
        <v>835000</v>
      </c>
      <c r="H366" s="161"/>
      <c r="I366" s="161"/>
      <c r="J366" s="161">
        <f>G366</f>
        <v>835000</v>
      </c>
      <c r="K366" s="161"/>
      <c r="L366" s="161"/>
      <c r="M366" s="161"/>
      <c r="N366" s="161">
        <v>877000</v>
      </c>
      <c r="O366" s="161"/>
      <c r="P366" s="161">
        <f>N366</f>
        <v>877000</v>
      </c>
      <c r="CY366" s="62"/>
      <c r="CZ366" s="62"/>
      <c r="DA366" s="62"/>
      <c r="DB366" s="62"/>
      <c r="DC366" s="62"/>
      <c r="DD366" s="62"/>
    </row>
    <row r="367" spans="1:108" s="61" customFormat="1" ht="12.75" hidden="1">
      <c r="A367" s="139" t="s">
        <v>410</v>
      </c>
      <c r="B367" s="97"/>
      <c r="C367" s="97"/>
      <c r="D367" s="161"/>
      <c r="E367" s="161"/>
      <c r="F367" s="161"/>
      <c r="G367" s="161"/>
      <c r="H367" s="161"/>
      <c r="I367" s="161"/>
      <c r="J367" s="161"/>
      <c r="K367" s="161"/>
      <c r="L367" s="161"/>
      <c r="M367" s="161"/>
      <c r="N367" s="161"/>
      <c r="O367" s="161"/>
      <c r="P367" s="161"/>
      <c r="CY367" s="62"/>
      <c r="CZ367" s="62"/>
      <c r="DA367" s="62"/>
      <c r="DB367" s="62"/>
      <c r="DC367" s="62"/>
      <c r="DD367" s="62"/>
    </row>
    <row r="368" spans="1:108" s="61" customFormat="1" ht="25.5" hidden="1">
      <c r="A368" s="138" t="s">
        <v>165</v>
      </c>
      <c r="B368" s="97"/>
      <c r="C368" s="97"/>
      <c r="D368" s="161">
        <v>12</v>
      </c>
      <c r="E368" s="161"/>
      <c r="F368" s="161">
        <f>D368</f>
        <v>12</v>
      </c>
      <c r="G368" s="161">
        <v>12</v>
      </c>
      <c r="H368" s="161"/>
      <c r="I368" s="161"/>
      <c r="J368" s="161">
        <f>G368</f>
        <v>12</v>
      </c>
      <c r="K368" s="161"/>
      <c r="L368" s="161"/>
      <c r="M368" s="161"/>
      <c r="N368" s="161">
        <v>12</v>
      </c>
      <c r="O368" s="161"/>
      <c r="P368" s="161">
        <f>N368</f>
        <v>12</v>
      </c>
      <c r="CY368" s="62"/>
      <c r="CZ368" s="62"/>
      <c r="DA368" s="62"/>
      <c r="DB368" s="62"/>
      <c r="DC368" s="62"/>
      <c r="DD368" s="62"/>
    </row>
    <row r="369" spans="1:108" s="61" customFormat="1" ht="12.75" hidden="1">
      <c r="A369" s="139" t="s">
        <v>372</v>
      </c>
      <c r="B369" s="97"/>
      <c r="C369" s="97"/>
      <c r="D369" s="161"/>
      <c r="E369" s="161"/>
      <c r="F369" s="161"/>
      <c r="G369" s="161"/>
      <c r="H369" s="161"/>
      <c r="I369" s="161"/>
      <c r="J369" s="161"/>
      <c r="K369" s="161"/>
      <c r="L369" s="161"/>
      <c r="M369" s="161"/>
      <c r="N369" s="161"/>
      <c r="O369" s="161"/>
      <c r="P369" s="161"/>
      <c r="CY369" s="62"/>
      <c r="CZ369" s="62"/>
      <c r="DA369" s="62"/>
      <c r="DB369" s="62"/>
      <c r="DC369" s="62"/>
      <c r="DD369" s="62"/>
    </row>
    <row r="370" spans="1:108" s="61" customFormat="1" ht="24.75" customHeight="1" hidden="1">
      <c r="A370" s="143" t="s">
        <v>493</v>
      </c>
      <c r="B370" s="97"/>
      <c r="C370" s="97"/>
      <c r="D370" s="161">
        <f>D366/D368</f>
        <v>42291.666666666664</v>
      </c>
      <c r="E370" s="161"/>
      <c r="F370" s="161">
        <f>D370</f>
        <v>42291.666666666664</v>
      </c>
      <c r="G370" s="161">
        <f>G366/G368</f>
        <v>69583.33333333333</v>
      </c>
      <c r="H370" s="161"/>
      <c r="I370" s="161"/>
      <c r="J370" s="161">
        <f>G370</f>
        <v>69583.33333333333</v>
      </c>
      <c r="K370" s="161"/>
      <c r="L370" s="161"/>
      <c r="M370" s="161"/>
      <c r="N370" s="161">
        <f>N366/N368</f>
        <v>73083.33333333333</v>
      </c>
      <c r="O370" s="161"/>
      <c r="P370" s="161">
        <f>N370</f>
        <v>73083.33333333333</v>
      </c>
      <c r="CY370" s="62"/>
      <c r="CZ370" s="62"/>
      <c r="DA370" s="62"/>
      <c r="DB370" s="62"/>
      <c r="DC370" s="62"/>
      <c r="DD370" s="62"/>
    </row>
    <row r="371" spans="1:108" s="61" customFormat="1" ht="42.75" customHeight="1" hidden="1">
      <c r="A371" s="270" t="s">
        <v>36</v>
      </c>
      <c r="B371" s="97"/>
      <c r="C371" s="97"/>
      <c r="D371" s="160">
        <f>D373</f>
        <v>110000</v>
      </c>
      <c r="E371" s="160"/>
      <c r="F371" s="160">
        <f>D371</f>
        <v>110000</v>
      </c>
      <c r="G371" s="160">
        <f>G373</f>
        <v>167700</v>
      </c>
      <c r="H371" s="160"/>
      <c r="I371" s="160"/>
      <c r="J371" s="160">
        <f>G371</f>
        <v>167700</v>
      </c>
      <c r="K371" s="160"/>
      <c r="L371" s="160"/>
      <c r="M371" s="160"/>
      <c r="N371" s="160">
        <f>N373</f>
        <v>176100</v>
      </c>
      <c r="O371" s="160"/>
      <c r="P371" s="160">
        <f>N371</f>
        <v>176100</v>
      </c>
      <c r="CY371" s="62"/>
      <c r="CZ371" s="62"/>
      <c r="DA371" s="62"/>
      <c r="DB371" s="62"/>
      <c r="DC371" s="62"/>
      <c r="DD371" s="62"/>
    </row>
    <row r="372" spans="1:108" s="61" customFormat="1" ht="12.75" hidden="1">
      <c r="A372" s="133" t="s">
        <v>254</v>
      </c>
      <c r="B372" s="97"/>
      <c r="C372" s="97"/>
      <c r="D372" s="161"/>
      <c r="E372" s="161"/>
      <c r="F372" s="161"/>
      <c r="G372" s="161"/>
      <c r="H372" s="161"/>
      <c r="I372" s="161"/>
      <c r="J372" s="161"/>
      <c r="K372" s="161"/>
      <c r="L372" s="161"/>
      <c r="M372" s="161"/>
      <c r="N372" s="161"/>
      <c r="O372" s="161"/>
      <c r="P372" s="161"/>
      <c r="CY372" s="62"/>
      <c r="CZ372" s="62"/>
      <c r="DA372" s="62"/>
      <c r="DB372" s="62"/>
      <c r="DC372" s="62"/>
      <c r="DD372" s="62"/>
    </row>
    <row r="373" spans="1:108" s="61" customFormat="1" ht="45.75" customHeight="1" hidden="1">
      <c r="A373" s="138" t="s">
        <v>494</v>
      </c>
      <c r="B373" s="97"/>
      <c r="C373" s="97"/>
      <c r="D373" s="161">
        <f>159300-49300</f>
        <v>110000</v>
      </c>
      <c r="E373" s="161"/>
      <c r="F373" s="161">
        <f>D373</f>
        <v>110000</v>
      </c>
      <c r="G373" s="161">
        <v>167700</v>
      </c>
      <c r="H373" s="161"/>
      <c r="I373" s="161"/>
      <c r="J373" s="161">
        <f>G373</f>
        <v>167700</v>
      </c>
      <c r="K373" s="161"/>
      <c r="L373" s="161"/>
      <c r="M373" s="161"/>
      <c r="N373" s="161">
        <v>176100</v>
      </c>
      <c r="O373" s="161"/>
      <c r="P373" s="161">
        <f>N373</f>
        <v>176100</v>
      </c>
      <c r="CY373" s="62"/>
      <c r="CZ373" s="62"/>
      <c r="DA373" s="62"/>
      <c r="DB373" s="62"/>
      <c r="DC373" s="62"/>
      <c r="DD373" s="62"/>
    </row>
    <row r="374" spans="1:108" s="61" customFormat="1" ht="12.75" hidden="1">
      <c r="A374" s="139" t="s">
        <v>410</v>
      </c>
      <c r="B374" s="97"/>
      <c r="C374" s="97"/>
      <c r="D374" s="161"/>
      <c r="E374" s="161"/>
      <c r="F374" s="161"/>
      <c r="G374" s="161"/>
      <c r="H374" s="161"/>
      <c r="I374" s="161"/>
      <c r="J374" s="161"/>
      <c r="K374" s="161"/>
      <c r="L374" s="161"/>
      <c r="M374" s="161"/>
      <c r="N374" s="161"/>
      <c r="O374" s="161"/>
      <c r="P374" s="161"/>
      <c r="CY374" s="62"/>
      <c r="CZ374" s="62"/>
      <c r="DA374" s="62"/>
      <c r="DB374" s="62"/>
      <c r="DC374" s="62"/>
      <c r="DD374" s="62"/>
    </row>
    <row r="375" spans="1:108" s="61" customFormat="1" ht="38.25" customHeight="1" hidden="1">
      <c r="A375" s="138" t="s">
        <v>146</v>
      </c>
      <c r="B375" s="97"/>
      <c r="C375" s="97"/>
      <c r="D375" s="161">
        <v>12</v>
      </c>
      <c r="E375" s="161"/>
      <c r="F375" s="161">
        <f>D375</f>
        <v>12</v>
      </c>
      <c r="G375" s="161">
        <v>12</v>
      </c>
      <c r="H375" s="161"/>
      <c r="I375" s="161"/>
      <c r="J375" s="161">
        <f>G375</f>
        <v>12</v>
      </c>
      <c r="K375" s="161"/>
      <c r="L375" s="161"/>
      <c r="M375" s="161"/>
      <c r="N375" s="161">
        <v>12</v>
      </c>
      <c r="O375" s="161"/>
      <c r="P375" s="161">
        <f>N375</f>
        <v>12</v>
      </c>
      <c r="CY375" s="62"/>
      <c r="CZ375" s="62"/>
      <c r="DA375" s="62"/>
      <c r="DB375" s="62"/>
      <c r="DC375" s="62"/>
      <c r="DD375" s="62"/>
    </row>
    <row r="376" spans="1:108" s="61" customFormat="1" ht="12.75" hidden="1">
      <c r="A376" s="139" t="s">
        <v>372</v>
      </c>
      <c r="B376" s="97"/>
      <c r="C376" s="97"/>
      <c r="D376" s="161"/>
      <c r="E376" s="161"/>
      <c r="F376" s="161"/>
      <c r="G376" s="161"/>
      <c r="H376" s="161"/>
      <c r="I376" s="161"/>
      <c r="J376" s="161"/>
      <c r="K376" s="161"/>
      <c r="L376" s="161"/>
      <c r="M376" s="161"/>
      <c r="N376" s="161"/>
      <c r="O376" s="161"/>
      <c r="P376" s="161"/>
      <c r="CY376" s="62"/>
      <c r="CZ376" s="62"/>
      <c r="DA376" s="62"/>
      <c r="DB376" s="62"/>
      <c r="DC376" s="62"/>
      <c r="DD376" s="62"/>
    </row>
    <row r="377" spans="1:108" s="61" customFormat="1" ht="39.75" customHeight="1" hidden="1">
      <c r="A377" s="143" t="s">
        <v>495</v>
      </c>
      <c r="B377" s="97"/>
      <c r="C377" s="97"/>
      <c r="D377" s="161">
        <f>D373/D375</f>
        <v>9166.666666666666</v>
      </c>
      <c r="E377" s="161"/>
      <c r="F377" s="161">
        <f>D377</f>
        <v>9166.666666666666</v>
      </c>
      <c r="G377" s="161">
        <f>G373/G375</f>
        <v>13975</v>
      </c>
      <c r="H377" s="161"/>
      <c r="I377" s="161"/>
      <c r="J377" s="161">
        <f>G377</f>
        <v>13975</v>
      </c>
      <c r="K377" s="161"/>
      <c r="L377" s="161"/>
      <c r="M377" s="161"/>
      <c r="N377" s="161">
        <f>N373/N375</f>
        <v>14675</v>
      </c>
      <c r="O377" s="161"/>
      <c r="P377" s="161">
        <f>N377</f>
        <v>14675</v>
      </c>
      <c r="CY377" s="62"/>
      <c r="CZ377" s="62"/>
      <c r="DA377" s="62"/>
      <c r="DB377" s="62"/>
      <c r="DC377" s="62"/>
      <c r="DD377" s="62"/>
    </row>
    <row r="378" spans="1:108" s="61" customFormat="1" ht="27" hidden="1">
      <c r="A378" s="137" t="s">
        <v>71</v>
      </c>
      <c r="B378" s="97"/>
      <c r="C378" s="97"/>
      <c r="D378" s="160">
        <f>D380</f>
        <v>0</v>
      </c>
      <c r="E378" s="160"/>
      <c r="F378" s="160">
        <f>D378</f>
        <v>0</v>
      </c>
      <c r="G378" s="160">
        <f>G380</f>
        <v>84200</v>
      </c>
      <c r="H378" s="160"/>
      <c r="I378" s="160"/>
      <c r="J378" s="160">
        <f>G378</f>
        <v>84200</v>
      </c>
      <c r="K378" s="160"/>
      <c r="L378" s="160"/>
      <c r="M378" s="160"/>
      <c r="N378" s="160">
        <f>N380</f>
        <v>88400</v>
      </c>
      <c r="O378" s="160"/>
      <c r="P378" s="160">
        <f>N378</f>
        <v>88400</v>
      </c>
      <c r="CY378" s="62"/>
      <c r="CZ378" s="62"/>
      <c r="DA378" s="62"/>
      <c r="DB378" s="62"/>
      <c r="DC378" s="62"/>
      <c r="DD378" s="62"/>
    </row>
    <row r="379" spans="1:108" s="61" customFormat="1" ht="18" customHeight="1" hidden="1">
      <c r="A379" s="133" t="s">
        <v>254</v>
      </c>
      <c r="B379" s="97"/>
      <c r="C379" s="97"/>
      <c r="D379" s="161"/>
      <c r="E379" s="161"/>
      <c r="F379" s="161"/>
      <c r="G379" s="161"/>
      <c r="H379" s="161"/>
      <c r="I379" s="161"/>
      <c r="J379" s="161"/>
      <c r="K379" s="161"/>
      <c r="L379" s="161"/>
      <c r="M379" s="161"/>
      <c r="N379" s="161"/>
      <c r="O379" s="161"/>
      <c r="P379" s="161"/>
      <c r="CY379" s="62"/>
      <c r="CZ379" s="62"/>
      <c r="DA379" s="62"/>
      <c r="DB379" s="62"/>
      <c r="DC379" s="62"/>
      <c r="DD379" s="62"/>
    </row>
    <row r="380" spans="1:108" s="61" customFormat="1" ht="26.25" customHeight="1" hidden="1">
      <c r="A380" s="138" t="s">
        <v>58</v>
      </c>
      <c r="B380" s="97"/>
      <c r="C380" s="97"/>
      <c r="D380" s="161">
        <f>79400-79400</f>
        <v>0</v>
      </c>
      <c r="E380" s="161"/>
      <c r="F380" s="161">
        <f>D380</f>
        <v>0</v>
      </c>
      <c r="G380" s="161">
        <v>84200</v>
      </c>
      <c r="H380" s="161"/>
      <c r="I380" s="161"/>
      <c r="J380" s="161">
        <f>G380</f>
        <v>84200</v>
      </c>
      <c r="K380" s="161"/>
      <c r="L380" s="161"/>
      <c r="M380" s="161"/>
      <c r="N380" s="161">
        <v>88400</v>
      </c>
      <c r="O380" s="161"/>
      <c r="P380" s="161">
        <f>N380</f>
        <v>88400</v>
      </c>
      <c r="CY380" s="62"/>
      <c r="CZ380" s="62"/>
      <c r="DA380" s="62"/>
      <c r="DB380" s="62"/>
      <c r="DC380" s="62"/>
      <c r="DD380" s="62"/>
    </row>
    <row r="381" spans="1:108" s="61" customFormat="1" ht="15.75" customHeight="1" hidden="1">
      <c r="A381" s="139" t="s">
        <v>410</v>
      </c>
      <c r="B381" s="97"/>
      <c r="C381" s="97"/>
      <c r="D381" s="161"/>
      <c r="E381" s="161"/>
      <c r="F381" s="161"/>
      <c r="G381" s="161"/>
      <c r="H381" s="161"/>
      <c r="I381" s="161"/>
      <c r="J381" s="161"/>
      <c r="K381" s="161"/>
      <c r="L381" s="161"/>
      <c r="M381" s="161"/>
      <c r="N381" s="161"/>
      <c r="O381" s="161"/>
      <c r="P381" s="161"/>
      <c r="CY381" s="62"/>
      <c r="CZ381" s="62"/>
      <c r="DA381" s="62"/>
      <c r="DB381" s="62"/>
      <c r="DC381" s="62"/>
      <c r="DD381" s="62"/>
    </row>
    <row r="382" spans="1:108" s="61" customFormat="1" ht="32.25" customHeight="1" hidden="1">
      <c r="A382" s="138" t="s">
        <v>147</v>
      </c>
      <c r="B382" s="97"/>
      <c r="C382" s="97"/>
      <c r="D382" s="169" t="e">
        <f>D380/D384</f>
        <v>#DIV/0!</v>
      </c>
      <c r="E382" s="161"/>
      <c r="F382" s="169" t="e">
        <f>D382</f>
        <v>#DIV/0!</v>
      </c>
      <c r="G382" s="169">
        <f>G380/G384</f>
        <v>24405.797101449272</v>
      </c>
      <c r="H382" s="169"/>
      <c r="I382" s="169"/>
      <c r="J382" s="169">
        <f>G382</f>
        <v>24405.797101449272</v>
      </c>
      <c r="K382" s="169"/>
      <c r="L382" s="169"/>
      <c r="M382" s="169"/>
      <c r="N382" s="169">
        <f>N380/N384</f>
        <v>24219.178082191782</v>
      </c>
      <c r="O382" s="169"/>
      <c r="P382" s="169">
        <f>N382</f>
        <v>24219.178082191782</v>
      </c>
      <c r="CY382" s="62"/>
      <c r="CZ382" s="62"/>
      <c r="DA382" s="62"/>
      <c r="DB382" s="62"/>
      <c r="DC382" s="62"/>
      <c r="DD382" s="62"/>
    </row>
    <row r="383" spans="1:108" s="61" customFormat="1" ht="16.5" customHeight="1" hidden="1">
      <c r="A383" s="139" t="s">
        <v>372</v>
      </c>
      <c r="B383" s="97"/>
      <c r="C383" s="97"/>
      <c r="D383" s="161"/>
      <c r="E383" s="161"/>
      <c r="F383" s="161"/>
      <c r="G383" s="161"/>
      <c r="H383" s="161"/>
      <c r="I383" s="161"/>
      <c r="J383" s="161"/>
      <c r="K383" s="161"/>
      <c r="L383" s="161"/>
      <c r="M383" s="161"/>
      <c r="N383" s="161"/>
      <c r="O383" s="161"/>
      <c r="P383" s="161"/>
      <c r="CY383" s="62"/>
      <c r="CZ383" s="62"/>
      <c r="DA383" s="62"/>
      <c r="DB383" s="62"/>
      <c r="DC383" s="62"/>
      <c r="DD383" s="62"/>
    </row>
    <row r="384" spans="1:108" s="61" customFormat="1" ht="27.75" customHeight="1" hidden="1">
      <c r="A384" s="138" t="s">
        <v>59</v>
      </c>
      <c r="B384" s="97"/>
      <c r="C384" s="97"/>
      <c r="D384" s="161">
        <v>0</v>
      </c>
      <c r="E384" s="161"/>
      <c r="F384" s="161">
        <f>D384</f>
        <v>0</v>
      </c>
      <c r="G384" s="161">
        <v>3.45</v>
      </c>
      <c r="H384" s="161"/>
      <c r="I384" s="161"/>
      <c r="J384" s="161">
        <f>G384</f>
        <v>3.45</v>
      </c>
      <c r="K384" s="161"/>
      <c r="L384" s="161"/>
      <c r="M384" s="161"/>
      <c r="N384" s="161">
        <v>3.65</v>
      </c>
      <c r="O384" s="161"/>
      <c r="P384" s="161">
        <f>N384</f>
        <v>3.65</v>
      </c>
      <c r="CY384" s="62"/>
      <c r="CZ384" s="62"/>
      <c r="DA384" s="62"/>
      <c r="DB384" s="62"/>
      <c r="DC384" s="62"/>
      <c r="DD384" s="62"/>
    </row>
    <row r="385" spans="1:108" s="52" customFormat="1" ht="13.5" hidden="1">
      <c r="A385" s="137" t="s">
        <v>60</v>
      </c>
      <c r="B385" s="159"/>
      <c r="C385" s="159"/>
      <c r="D385" s="160">
        <f>D386*D389+D387*D390-0.04</f>
        <v>2199200</v>
      </c>
      <c r="E385" s="160">
        <f>E386*E389+E387*E390</f>
        <v>0</v>
      </c>
      <c r="F385" s="160">
        <f>D385</f>
        <v>2199200</v>
      </c>
      <c r="G385" s="160">
        <f>G386*G389+G387*G390</f>
        <v>4072099.9952</v>
      </c>
      <c r="H385" s="160">
        <f>H386*H389+H387*H390</f>
        <v>0</v>
      </c>
      <c r="I385" s="160">
        <v>0</v>
      </c>
      <c r="J385" s="160">
        <f>G385+H385</f>
        <v>4072099.9952</v>
      </c>
      <c r="K385" s="160" t="e">
        <f>(K386*K389)+(K387*K390)+(#REF!*#REF!)</f>
        <v>#REF!</v>
      </c>
      <c r="L385" s="160" t="e">
        <f>(L386*L389)+(L387*L390)+(#REF!*#REF!)</f>
        <v>#REF!</v>
      </c>
      <c r="M385" s="160" t="e">
        <f>(M386*M389)+(M387*M390)+(#REF!*#REF!)</f>
        <v>#REF!</v>
      </c>
      <c r="N385" s="160">
        <f>N386*N389+N387*N390</f>
        <v>4275705.04</v>
      </c>
      <c r="O385" s="160">
        <f>O386*O389+O387*O390</f>
        <v>0</v>
      </c>
      <c r="P385" s="160">
        <f>N385+O385</f>
        <v>4275705.04</v>
      </c>
      <c r="Q385" s="41" t="e">
        <f>(Q386*Q389)+(Q387*Q390)+(#REF!*#REF!)</f>
        <v>#REF!</v>
      </c>
      <c r="CY385" s="43"/>
      <c r="CZ385" s="43"/>
      <c r="DA385" s="43"/>
      <c r="DB385" s="43"/>
      <c r="DC385" s="43"/>
      <c r="DD385" s="43"/>
    </row>
    <row r="386" spans="1:108" s="61" customFormat="1" ht="12.75" hidden="1">
      <c r="A386" s="138" t="s">
        <v>235</v>
      </c>
      <c r="B386" s="162"/>
      <c r="C386" s="162"/>
      <c r="D386" s="161">
        <v>8</v>
      </c>
      <c r="E386" s="161"/>
      <c r="F386" s="161">
        <f>D386+E386</f>
        <v>8</v>
      </c>
      <c r="G386" s="161">
        <v>8</v>
      </c>
      <c r="H386" s="161"/>
      <c r="I386" s="161"/>
      <c r="J386" s="161">
        <f>G386+H386</f>
        <v>8</v>
      </c>
      <c r="K386" s="161"/>
      <c r="L386" s="161"/>
      <c r="M386" s="161"/>
      <c r="N386" s="161">
        <v>8</v>
      </c>
      <c r="O386" s="161"/>
      <c r="P386" s="161">
        <f>N386+O386</f>
        <v>8</v>
      </c>
      <c r="CY386" s="62"/>
      <c r="CZ386" s="62"/>
      <c r="DA386" s="62"/>
      <c r="DB386" s="62"/>
      <c r="DC386" s="62"/>
      <c r="DD386" s="62"/>
    </row>
    <row r="387" spans="1:108" s="61" customFormat="1" ht="22.5" customHeight="1" hidden="1">
      <c r="A387" s="138" t="s">
        <v>236</v>
      </c>
      <c r="B387" s="162"/>
      <c r="C387" s="162"/>
      <c r="D387" s="161">
        <v>5</v>
      </c>
      <c r="E387" s="161"/>
      <c r="F387" s="161">
        <f>D387+E387</f>
        <v>5</v>
      </c>
      <c r="G387" s="161">
        <f>D387</f>
        <v>5</v>
      </c>
      <c r="H387" s="161"/>
      <c r="I387" s="161"/>
      <c r="J387" s="161">
        <f>G387+H387</f>
        <v>5</v>
      </c>
      <c r="K387" s="161"/>
      <c r="L387" s="161"/>
      <c r="M387" s="161"/>
      <c r="N387" s="161">
        <v>5</v>
      </c>
      <c r="O387" s="161"/>
      <c r="P387" s="161">
        <f>N387+O387</f>
        <v>5</v>
      </c>
      <c r="CY387" s="62"/>
      <c r="CZ387" s="62"/>
      <c r="DA387" s="62"/>
      <c r="DB387" s="62"/>
      <c r="DC387" s="62"/>
      <c r="DD387" s="62"/>
    </row>
    <row r="388" spans="1:108" s="61" customFormat="1" ht="12" customHeight="1" hidden="1">
      <c r="A388" s="139" t="s">
        <v>186</v>
      </c>
      <c r="B388" s="158"/>
      <c r="C388" s="158"/>
      <c r="D388" s="168"/>
      <c r="E388" s="168"/>
      <c r="F388" s="161"/>
      <c r="G388" s="168"/>
      <c r="H388" s="168"/>
      <c r="I388" s="161"/>
      <c r="J388" s="161"/>
      <c r="K388" s="161"/>
      <c r="L388" s="161"/>
      <c r="M388" s="161"/>
      <c r="N388" s="168"/>
      <c r="O388" s="168"/>
      <c r="P388" s="161"/>
      <c r="CY388" s="62"/>
      <c r="CZ388" s="62"/>
      <c r="DA388" s="62"/>
      <c r="DB388" s="62"/>
      <c r="DC388" s="62"/>
      <c r="DD388" s="62"/>
    </row>
    <row r="389" spans="1:108" s="61" customFormat="1" ht="22.5" customHeight="1" hidden="1">
      <c r="A389" s="138" t="s">
        <v>496</v>
      </c>
      <c r="B389" s="162"/>
      <c r="C389" s="162"/>
      <c r="D389" s="161">
        <v>162290.63</v>
      </c>
      <c r="E389" s="161"/>
      <c r="F389" s="161">
        <f>D389+E389</f>
        <v>162290.63</v>
      </c>
      <c r="G389" s="161">
        <v>321687.3119</v>
      </c>
      <c r="H389" s="161"/>
      <c r="I389" s="161"/>
      <c r="J389" s="161">
        <f>G389+H389</f>
        <v>321687.3119</v>
      </c>
      <c r="K389" s="161"/>
      <c r="L389" s="161"/>
      <c r="M389" s="161"/>
      <c r="N389" s="161">
        <v>337771.68</v>
      </c>
      <c r="O389" s="161"/>
      <c r="P389" s="161">
        <f>N389+O389</f>
        <v>337771.68</v>
      </c>
      <c r="CY389" s="62"/>
      <c r="CZ389" s="62"/>
      <c r="DA389" s="62"/>
      <c r="DB389" s="62"/>
      <c r="DC389" s="62"/>
      <c r="DD389" s="62"/>
    </row>
    <row r="390" spans="1:108" s="61" customFormat="1" ht="22.5" customHeight="1" hidden="1">
      <c r="A390" s="138" t="s">
        <v>497</v>
      </c>
      <c r="B390" s="162"/>
      <c r="C390" s="162"/>
      <c r="D390" s="161">
        <v>180175</v>
      </c>
      <c r="E390" s="161"/>
      <c r="F390" s="161">
        <f>D390+E390</f>
        <v>180175</v>
      </c>
      <c r="G390" s="161">
        <v>299720.3</v>
      </c>
      <c r="H390" s="161"/>
      <c r="I390" s="161"/>
      <c r="J390" s="161">
        <f>G390+H390</f>
        <v>299720.3</v>
      </c>
      <c r="K390" s="161"/>
      <c r="L390" s="161"/>
      <c r="M390" s="161"/>
      <c r="N390" s="161">
        <v>314706.32</v>
      </c>
      <c r="O390" s="161"/>
      <c r="P390" s="161">
        <f>N390+O390</f>
        <v>314706.32</v>
      </c>
      <c r="CY390" s="62"/>
      <c r="CZ390" s="62"/>
      <c r="DA390" s="62"/>
      <c r="DB390" s="62"/>
      <c r="DC390" s="62"/>
      <c r="DD390" s="62"/>
    </row>
    <row r="391" spans="1:108" s="61" customFormat="1" ht="12.75" hidden="1">
      <c r="A391" s="139" t="s">
        <v>185</v>
      </c>
      <c r="B391" s="162"/>
      <c r="C391" s="162"/>
      <c r="D391" s="161"/>
      <c r="E391" s="161"/>
      <c r="F391" s="161"/>
      <c r="G391" s="161"/>
      <c r="H391" s="161"/>
      <c r="I391" s="161"/>
      <c r="J391" s="161"/>
      <c r="K391" s="161"/>
      <c r="L391" s="161"/>
      <c r="M391" s="161"/>
      <c r="N391" s="161"/>
      <c r="O391" s="161"/>
      <c r="P391" s="161"/>
      <c r="CY391" s="62"/>
      <c r="CZ391" s="62"/>
      <c r="DA391" s="62"/>
      <c r="DB391" s="62"/>
      <c r="DC391" s="62"/>
      <c r="DD391" s="62"/>
    </row>
    <row r="392" spans="1:108" s="61" customFormat="1" ht="28.5" customHeight="1" hidden="1">
      <c r="A392" s="138" t="s">
        <v>237</v>
      </c>
      <c r="B392" s="162"/>
      <c r="C392" s="162"/>
      <c r="D392" s="161"/>
      <c r="E392" s="161"/>
      <c r="F392" s="161">
        <f>D392+E392</f>
        <v>0</v>
      </c>
      <c r="G392" s="161">
        <f>G389/F389*100</f>
        <v>198.2168113464098</v>
      </c>
      <c r="H392" s="161"/>
      <c r="I392" s="161"/>
      <c r="J392" s="161">
        <f>G392+H392</f>
        <v>198.2168113464098</v>
      </c>
      <c r="K392" s="161"/>
      <c r="L392" s="161"/>
      <c r="M392" s="161"/>
      <c r="N392" s="161">
        <f>N389/J389*100</f>
        <v>105.00000077870651</v>
      </c>
      <c r="O392" s="161"/>
      <c r="P392" s="161">
        <f>N392+O392</f>
        <v>105.00000077870651</v>
      </c>
      <c r="CY392" s="62"/>
      <c r="CZ392" s="62"/>
      <c r="DA392" s="62"/>
      <c r="DB392" s="62"/>
      <c r="DC392" s="62"/>
      <c r="DD392" s="62"/>
    </row>
    <row r="393" spans="1:108" s="61" customFormat="1" ht="30" customHeight="1" hidden="1">
      <c r="A393" s="138" t="s">
        <v>238</v>
      </c>
      <c r="B393" s="162"/>
      <c r="C393" s="162"/>
      <c r="D393" s="161"/>
      <c r="E393" s="161"/>
      <c r="F393" s="161">
        <f>D393+E393</f>
        <v>0</v>
      </c>
      <c r="G393" s="161">
        <f>G390/D390*100</f>
        <v>166.34954904953517</v>
      </c>
      <c r="H393" s="161"/>
      <c r="I393" s="161"/>
      <c r="J393" s="161">
        <f>G393+H393</f>
        <v>166.34954904953517</v>
      </c>
      <c r="K393" s="161"/>
      <c r="L393" s="161"/>
      <c r="M393" s="161"/>
      <c r="N393" s="161">
        <f>N390/G390*100</f>
        <v>105.00000166822201</v>
      </c>
      <c r="O393" s="161"/>
      <c r="P393" s="161">
        <f>N393+O393</f>
        <v>105.00000166822201</v>
      </c>
      <c r="CY393" s="62"/>
      <c r="CZ393" s="62"/>
      <c r="DA393" s="62"/>
      <c r="DB393" s="62"/>
      <c r="DC393" s="62"/>
      <c r="DD393" s="62"/>
    </row>
    <row r="394" spans="1:108" s="36" customFormat="1" ht="13.5" hidden="1">
      <c r="A394" s="137" t="s">
        <v>37</v>
      </c>
      <c r="B394" s="162"/>
      <c r="C394" s="162"/>
      <c r="D394" s="160">
        <f>D396</f>
        <v>1636600</v>
      </c>
      <c r="E394" s="160"/>
      <c r="F394" s="160">
        <f>D394</f>
        <v>1636600</v>
      </c>
      <c r="G394" s="160">
        <f>G396</f>
        <v>2289700</v>
      </c>
      <c r="H394" s="160"/>
      <c r="I394" s="160"/>
      <c r="J394" s="160">
        <f>G394</f>
        <v>2289700</v>
      </c>
      <c r="K394" s="160"/>
      <c r="L394" s="160"/>
      <c r="M394" s="160"/>
      <c r="N394" s="160">
        <f>N396</f>
        <v>2404200</v>
      </c>
      <c r="O394" s="160"/>
      <c r="P394" s="160">
        <f>N394</f>
        <v>2404200</v>
      </c>
      <c r="CY394" s="37"/>
      <c r="CZ394" s="37"/>
      <c r="DA394" s="37"/>
      <c r="DB394" s="37"/>
      <c r="DC394" s="37"/>
      <c r="DD394" s="37"/>
    </row>
    <row r="395" spans="1:108" s="61" customFormat="1" ht="19.5" customHeight="1" hidden="1">
      <c r="A395" s="133" t="s">
        <v>254</v>
      </c>
      <c r="B395" s="97"/>
      <c r="C395" s="97"/>
      <c r="D395" s="161"/>
      <c r="E395" s="161"/>
      <c r="F395" s="161"/>
      <c r="G395" s="161"/>
      <c r="H395" s="161"/>
      <c r="I395" s="161"/>
      <c r="J395" s="161"/>
      <c r="K395" s="161"/>
      <c r="L395" s="161"/>
      <c r="M395" s="161"/>
      <c r="N395" s="161"/>
      <c r="O395" s="161"/>
      <c r="P395" s="161"/>
      <c r="CY395" s="62"/>
      <c r="CZ395" s="62"/>
      <c r="DA395" s="62"/>
      <c r="DB395" s="62"/>
      <c r="DC395" s="62"/>
      <c r="DD395" s="62"/>
    </row>
    <row r="396" spans="1:108" s="61" customFormat="1" ht="29.25" customHeight="1" hidden="1">
      <c r="A396" s="138" t="s">
        <v>500</v>
      </c>
      <c r="B396" s="97"/>
      <c r="C396" s="97"/>
      <c r="D396" s="161">
        <f>2216400-579800</f>
        <v>1636600</v>
      </c>
      <c r="E396" s="161"/>
      <c r="F396" s="161">
        <f>D396</f>
        <v>1636600</v>
      </c>
      <c r="G396" s="161">
        <v>2289700</v>
      </c>
      <c r="H396" s="161"/>
      <c r="I396" s="161"/>
      <c r="J396" s="161">
        <f>G396</f>
        <v>2289700</v>
      </c>
      <c r="K396" s="161"/>
      <c r="L396" s="161"/>
      <c r="M396" s="161"/>
      <c r="N396" s="161">
        <v>2404200</v>
      </c>
      <c r="O396" s="161"/>
      <c r="P396" s="161">
        <f>N396</f>
        <v>2404200</v>
      </c>
      <c r="CY396" s="62"/>
      <c r="CZ396" s="62"/>
      <c r="DA396" s="62"/>
      <c r="DB396" s="62"/>
      <c r="DC396" s="62"/>
      <c r="DD396" s="62"/>
    </row>
    <row r="397" spans="1:108" s="61" customFormat="1" ht="12.75" hidden="1">
      <c r="A397" s="139" t="s">
        <v>410</v>
      </c>
      <c r="B397" s="97"/>
      <c r="C397" s="97"/>
      <c r="D397" s="161"/>
      <c r="E397" s="161"/>
      <c r="F397" s="161"/>
      <c r="G397" s="161"/>
      <c r="H397" s="161"/>
      <c r="I397" s="161"/>
      <c r="J397" s="161"/>
      <c r="K397" s="161"/>
      <c r="L397" s="161"/>
      <c r="M397" s="161"/>
      <c r="N397" s="161"/>
      <c r="O397" s="161"/>
      <c r="P397" s="161"/>
      <c r="CY397" s="62"/>
      <c r="CZ397" s="62"/>
      <c r="DA397" s="62"/>
      <c r="DB397" s="62"/>
      <c r="DC397" s="62"/>
      <c r="DD397" s="62"/>
    </row>
    <row r="398" spans="1:108" s="61" customFormat="1" ht="12.75" hidden="1">
      <c r="A398" s="138" t="s">
        <v>0</v>
      </c>
      <c r="B398" s="97"/>
      <c r="C398" s="97"/>
      <c r="D398" s="161">
        <v>7</v>
      </c>
      <c r="E398" s="161"/>
      <c r="F398" s="161">
        <f>D398</f>
        <v>7</v>
      </c>
      <c r="G398" s="161">
        <v>7</v>
      </c>
      <c r="H398" s="161"/>
      <c r="I398" s="161"/>
      <c r="J398" s="161">
        <f>G398</f>
        <v>7</v>
      </c>
      <c r="K398" s="161"/>
      <c r="L398" s="161"/>
      <c r="M398" s="161"/>
      <c r="N398" s="161">
        <v>7</v>
      </c>
      <c r="O398" s="161"/>
      <c r="P398" s="161">
        <f>N398</f>
        <v>7</v>
      </c>
      <c r="CY398" s="62"/>
      <c r="CZ398" s="62"/>
      <c r="DA398" s="62"/>
      <c r="DB398" s="62"/>
      <c r="DC398" s="62"/>
      <c r="DD398" s="62"/>
    </row>
    <row r="399" spans="1:108" s="61" customFormat="1" ht="20.25" customHeight="1" hidden="1">
      <c r="A399" s="139" t="s">
        <v>372</v>
      </c>
      <c r="B399" s="97"/>
      <c r="C399" s="97"/>
      <c r="D399" s="161"/>
      <c r="E399" s="161"/>
      <c r="F399" s="161"/>
      <c r="G399" s="161"/>
      <c r="H399" s="161"/>
      <c r="I399" s="161"/>
      <c r="J399" s="161"/>
      <c r="K399" s="161"/>
      <c r="L399" s="161"/>
      <c r="M399" s="161"/>
      <c r="N399" s="161"/>
      <c r="O399" s="161"/>
      <c r="P399" s="161"/>
      <c r="CY399" s="62"/>
      <c r="CZ399" s="62"/>
      <c r="DA399" s="62"/>
      <c r="DB399" s="62"/>
      <c r="DC399" s="62"/>
      <c r="DD399" s="62"/>
    </row>
    <row r="400" spans="1:108" s="61" customFormat="1" ht="26.25" customHeight="1" hidden="1">
      <c r="A400" s="138" t="s">
        <v>501</v>
      </c>
      <c r="B400" s="97"/>
      <c r="C400" s="97"/>
      <c r="D400" s="161">
        <f>D396/D398</f>
        <v>233800</v>
      </c>
      <c r="E400" s="161"/>
      <c r="F400" s="161">
        <f>D400</f>
        <v>233800</v>
      </c>
      <c r="G400" s="161">
        <f>G396/G398</f>
        <v>327100</v>
      </c>
      <c r="H400" s="161"/>
      <c r="I400" s="161"/>
      <c r="J400" s="161">
        <f>G400</f>
        <v>327100</v>
      </c>
      <c r="K400" s="161"/>
      <c r="L400" s="161"/>
      <c r="M400" s="161"/>
      <c r="N400" s="161">
        <f>N396/N398</f>
        <v>343457.14285714284</v>
      </c>
      <c r="O400" s="161"/>
      <c r="P400" s="161">
        <f>N400</f>
        <v>343457.14285714284</v>
      </c>
      <c r="CY400" s="62"/>
      <c r="CZ400" s="62"/>
      <c r="DA400" s="62"/>
      <c r="DB400" s="62"/>
      <c r="DC400" s="62"/>
      <c r="DD400" s="62"/>
    </row>
    <row r="401" spans="1:108" s="61" customFormat="1" ht="16.5" customHeight="1" hidden="1">
      <c r="A401" s="139" t="s">
        <v>499</v>
      </c>
      <c r="B401" s="97"/>
      <c r="C401" s="97"/>
      <c r="D401" s="161"/>
      <c r="E401" s="161"/>
      <c r="F401" s="161"/>
      <c r="G401" s="161"/>
      <c r="H401" s="161"/>
      <c r="I401" s="161"/>
      <c r="J401" s="161"/>
      <c r="K401" s="161"/>
      <c r="L401" s="161"/>
      <c r="M401" s="161"/>
      <c r="N401" s="161"/>
      <c r="O401" s="161"/>
      <c r="P401" s="161"/>
      <c r="CY401" s="62"/>
      <c r="CZ401" s="62"/>
      <c r="DA401" s="62"/>
      <c r="DB401" s="62"/>
      <c r="DC401" s="62"/>
      <c r="DD401" s="62"/>
    </row>
    <row r="402" spans="1:108" s="61" customFormat="1" ht="33" customHeight="1" hidden="1">
      <c r="A402" s="138" t="s">
        <v>502</v>
      </c>
      <c r="B402" s="97"/>
      <c r="C402" s="97"/>
      <c r="D402" s="161"/>
      <c r="E402" s="161"/>
      <c r="F402" s="161"/>
      <c r="G402" s="161">
        <f>G400/D400*100</f>
        <v>139.9059024807528</v>
      </c>
      <c r="H402" s="161"/>
      <c r="I402" s="161"/>
      <c r="J402" s="161">
        <f>G402</f>
        <v>139.9059024807528</v>
      </c>
      <c r="K402" s="161"/>
      <c r="L402" s="161"/>
      <c r="M402" s="161"/>
      <c r="N402" s="161">
        <f>N400/G400*100</f>
        <v>105.00065510765602</v>
      </c>
      <c r="O402" s="161"/>
      <c r="P402" s="161">
        <f>N402</f>
        <v>105.00065510765602</v>
      </c>
      <c r="CY402" s="62"/>
      <c r="CZ402" s="62"/>
      <c r="DA402" s="62"/>
      <c r="DB402" s="62"/>
      <c r="DC402" s="62"/>
      <c r="DD402" s="62"/>
    </row>
    <row r="403" spans="1:108" s="61" customFormat="1" ht="21" customHeight="1" hidden="1">
      <c r="A403" s="137" t="s">
        <v>38</v>
      </c>
      <c r="B403" s="97"/>
      <c r="C403" s="97"/>
      <c r="D403" s="160">
        <f>D405</f>
        <v>510000</v>
      </c>
      <c r="E403" s="160"/>
      <c r="F403" s="160">
        <f>D403</f>
        <v>510000</v>
      </c>
      <c r="G403" s="160">
        <f>G405</f>
        <v>600000</v>
      </c>
      <c r="H403" s="160"/>
      <c r="I403" s="160"/>
      <c r="J403" s="160">
        <f>G403</f>
        <v>600000</v>
      </c>
      <c r="K403" s="160"/>
      <c r="L403" s="160"/>
      <c r="M403" s="160"/>
      <c r="N403" s="160">
        <f>N405</f>
        <v>630000</v>
      </c>
      <c r="O403" s="160"/>
      <c r="P403" s="160">
        <f>N403</f>
        <v>630000</v>
      </c>
      <c r="CY403" s="62"/>
      <c r="CZ403" s="62"/>
      <c r="DA403" s="62"/>
      <c r="DB403" s="62"/>
      <c r="DC403" s="62"/>
      <c r="DD403" s="62"/>
    </row>
    <row r="404" spans="1:108" s="61" customFormat="1" ht="16.5" customHeight="1" hidden="1">
      <c r="A404" s="133" t="s">
        <v>254</v>
      </c>
      <c r="B404" s="97"/>
      <c r="C404" s="97"/>
      <c r="D404" s="161"/>
      <c r="E404" s="161"/>
      <c r="F404" s="161"/>
      <c r="G404" s="161"/>
      <c r="H404" s="161"/>
      <c r="I404" s="161"/>
      <c r="J404" s="161"/>
      <c r="K404" s="161"/>
      <c r="L404" s="161"/>
      <c r="M404" s="161"/>
      <c r="N404" s="161"/>
      <c r="O404" s="161"/>
      <c r="P404" s="161"/>
      <c r="CY404" s="62"/>
      <c r="CZ404" s="62"/>
      <c r="DA404" s="62"/>
      <c r="DB404" s="62"/>
      <c r="DC404" s="62"/>
      <c r="DD404" s="62"/>
    </row>
    <row r="405" spans="1:108" s="61" customFormat="1" ht="17.25" customHeight="1" hidden="1">
      <c r="A405" s="138" t="s">
        <v>1</v>
      </c>
      <c r="B405" s="97"/>
      <c r="C405" s="97"/>
      <c r="D405" s="161">
        <f>550000-40000</f>
        <v>510000</v>
      </c>
      <c r="E405" s="161"/>
      <c r="F405" s="161">
        <f>D405</f>
        <v>510000</v>
      </c>
      <c r="G405" s="161">
        <v>600000</v>
      </c>
      <c r="H405" s="161"/>
      <c r="I405" s="161"/>
      <c r="J405" s="161">
        <f>G405</f>
        <v>600000</v>
      </c>
      <c r="K405" s="161"/>
      <c r="L405" s="161"/>
      <c r="M405" s="161"/>
      <c r="N405" s="161">
        <v>630000</v>
      </c>
      <c r="O405" s="161"/>
      <c r="P405" s="161">
        <f>N405</f>
        <v>630000</v>
      </c>
      <c r="CY405" s="62"/>
      <c r="CZ405" s="62"/>
      <c r="DA405" s="62"/>
      <c r="DB405" s="62"/>
      <c r="DC405" s="62"/>
      <c r="DD405" s="62"/>
    </row>
    <row r="406" spans="1:108" s="61" customFormat="1" ht="18.75" customHeight="1" hidden="1">
      <c r="A406" s="139" t="s">
        <v>410</v>
      </c>
      <c r="B406" s="97"/>
      <c r="C406" s="97"/>
      <c r="D406" s="161"/>
      <c r="E406" s="161"/>
      <c r="F406" s="161"/>
      <c r="G406" s="161"/>
      <c r="H406" s="161"/>
      <c r="I406" s="161"/>
      <c r="J406" s="161"/>
      <c r="K406" s="161"/>
      <c r="L406" s="161"/>
      <c r="M406" s="161"/>
      <c r="N406" s="161"/>
      <c r="O406" s="161"/>
      <c r="P406" s="161"/>
      <c r="CY406" s="62"/>
      <c r="CZ406" s="62"/>
      <c r="DA406" s="62"/>
      <c r="DB406" s="62"/>
      <c r="DC406" s="62"/>
      <c r="DD406" s="62"/>
    </row>
    <row r="407" spans="1:108" s="61" customFormat="1" ht="16.5" customHeight="1" hidden="1">
      <c r="A407" s="138" t="s">
        <v>4</v>
      </c>
      <c r="B407" s="97"/>
      <c r="C407" s="97"/>
      <c r="D407" s="161">
        <f>D405/D409</f>
        <v>36690.647482014385</v>
      </c>
      <c r="E407" s="161"/>
      <c r="F407" s="161">
        <f>D407</f>
        <v>36690.647482014385</v>
      </c>
      <c r="G407" s="161">
        <v>35971.22</v>
      </c>
      <c r="H407" s="161"/>
      <c r="I407" s="161"/>
      <c r="J407" s="161">
        <f>G407</f>
        <v>35971.22</v>
      </c>
      <c r="K407" s="161"/>
      <c r="L407" s="161"/>
      <c r="M407" s="161"/>
      <c r="N407" s="161">
        <v>35971.22</v>
      </c>
      <c r="O407" s="161"/>
      <c r="P407" s="161">
        <f>N407</f>
        <v>35971.22</v>
      </c>
      <c r="CY407" s="62"/>
      <c r="CZ407" s="62"/>
      <c r="DA407" s="62"/>
      <c r="DB407" s="62"/>
      <c r="DC407" s="62"/>
      <c r="DD407" s="62"/>
    </row>
    <row r="408" spans="1:108" s="61" customFormat="1" ht="21" customHeight="1" hidden="1">
      <c r="A408" s="139" t="s">
        <v>372</v>
      </c>
      <c r="B408" s="97"/>
      <c r="C408" s="97"/>
      <c r="D408" s="161"/>
      <c r="E408" s="161"/>
      <c r="F408" s="161"/>
      <c r="G408" s="161"/>
      <c r="H408" s="161"/>
      <c r="I408" s="161"/>
      <c r="J408" s="161"/>
      <c r="K408" s="161"/>
      <c r="L408" s="161"/>
      <c r="M408" s="161"/>
      <c r="N408" s="161"/>
      <c r="O408" s="161"/>
      <c r="P408" s="161"/>
      <c r="CY408" s="62"/>
      <c r="CZ408" s="62"/>
      <c r="DA408" s="62"/>
      <c r="DB408" s="62"/>
      <c r="DC408" s="62"/>
      <c r="DD408" s="62"/>
    </row>
    <row r="409" spans="1:108" s="61" customFormat="1" ht="12.75" hidden="1">
      <c r="A409" s="138" t="s">
        <v>2</v>
      </c>
      <c r="B409" s="97"/>
      <c r="C409" s="97"/>
      <c r="D409" s="161">
        <v>13.9</v>
      </c>
      <c r="E409" s="161"/>
      <c r="F409" s="161">
        <f>D409</f>
        <v>13.9</v>
      </c>
      <c r="G409" s="161">
        <f>G405/G407</f>
        <v>16.680001401120116</v>
      </c>
      <c r="H409" s="161"/>
      <c r="I409" s="161"/>
      <c r="J409" s="161">
        <f>G409</f>
        <v>16.680001401120116</v>
      </c>
      <c r="K409" s="161"/>
      <c r="L409" s="161"/>
      <c r="M409" s="161"/>
      <c r="N409" s="161">
        <f>N405/N407</f>
        <v>17.514001471176122</v>
      </c>
      <c r="O409" s="161"/>
      <c r="P409" s="161">
        <f>N409</f>
        <v>17.514001471176122</v>
      </c>
      <c r="CY409" s="62"/>
      <c r="CZ409" s="62"/>
      <c r="DA409" s="62"/>
      <c r="DB409" s="62"/>
      <c r="DC409" s="62"/>
      <c r="DD409" s="62"/>
    </row>
    <row r="410" spans="1:108" s="61" customFormat="1" ht="12.75" hidden="1">
      <c r="A410" s="139" t="s">
        <v>499</v>
      </c>
      <c r="B410" s="97"/>
      <c r="C410" s="97"/>
      <c r="D410" s="161"/>
      <c r="E410" s="161"/>
      <c r="F410" s="161"/>
      <c r="G410" s="161"/>
      <c r="H410" s="161"/>
      <c r="I410" s="161"/>
      <c r="J410" s="161"/>
      <c r="K410" s="161"/>
      <c r="L410" s="161"/>
      <c r="M410" s="161"/>
      <c r="N410" s="161"/>
      <c r="O410" s="161"/>
      <c r="P410" s="161"/>
      <c r="CY410" s="62"/>
      <c r="CZ410" s="62"/>
      <c r="DA410" s="62"/>
      <c r="DB410" s="62"/>
      <c r="DC410" s="62"/>
      <c r="DD410" s="62"/>
    </row>
    <row r="411" spans="1:108" s="61" customFormat="1" ht="29.25" customHeight="1" hidden="1">
      <c r="A411" s="138" t="s">
        <v>3</v>
      </c>
      <c r="B411" s="97"/>
      <c r="C411" s="97"/>
      <c r="D411" s="161"/>
      <c r="E411" s="161"/>
      <c r="F411" s="161"/>
      <c r="G411" s="161">
        <f>G409/D409*100</f>
        <v>120.00001008000083</v>
      </c>
      <c r="H411" s="161"/>
      <c r="I411" s="161"/>
      <c r="J411" s="161">
        <f>G411</f>
        <v>120.00001008000083</v>
      </c>
      <c r="K411" s="161"/>
      <c r="L411" s="161"/>
      <c r="M411" s="161"/>
      <c r="N411" s="161">
        <f>N409/G409*100</f>
        <v>105</v>
      </c>
      <c r="O411" s="161"/>
      <c r="P411" s="161">
        <f>N411</f>
        <v>105</v>
      </c>
      <c r="CY411" s="62"/>
      <c r="CZ411" s="62"/>
      <c r="DA411" s="62"/>
      <c r="DB411" s="62"/>
      <c r="DC411" s="62"/>
      <c r="DD411" s="62"/>
    </row>
    <row r="412" spans="1:108" s="36" customFormat="1" ht="29.25" customHeight="1" hidden="1">
      <c r="A412" s="137" t="s">
        <v>39</v>
      </c>
      <c r="B412" s="162"/>
      <c r="C412" s="162"/>
      <c r="D412" s="160">
        <f>D414</f>
        <v>4569000</v>
      </c>
      <c r="E412" s="160"/>
      <c r="F412" s="160">
        <f>D412</f>
        <v>4569000</v>
      </c>
      <c r="G412" s="160">
        <f>G414</f>
        <v>2568600</v>
      </c>
      <c r="H412" s="160"/>
      <c r="I412" s="160"/>
      <c r="J412" s="160">
        <f>G412</f>
        <v>2568600</v>
      </c>
      <c r="K412" s="160"/>
      <c r="L412" s="160"/>
      <c r="M412" s="160"/>
      <c r="N412" s="160">
        <f>N414</f>
        <v>2697000</v>
      </c>
      <c r="O412" s="160"/>
      <c r="P412" s="160">
        <f>N412</f>
        <v>2697000</v>
      </c>
      <c r="CY412" s="37"/>
      <c r="CZ412" s="37"/>
      <c r="DA412" s="37"/>
      <c r="DB412" s="37"/>
      <c r="DC412" s="37"/>
      <c r="DD412" s="37"/>
    </row>
    <row r="413" spans="1:108" s="61" customFormat="1" ht="12.75" hidden="1">
      <c r="A413" s="133" t="s">
        <v>254</v>
      </c>
      <c r="B413" s="97"/>
      <c r="C413" s="97"/>
      <c r="D413" s="161"/>
      <c r="E413" s="161"/>
      <c r="F413" s="161"/>
      <c r="G413" s="161"/>
      <c r="H413" s="161"/>
      <c r="I413" s="161"/>
      <c r="J413" s="161"/>
      <c r="K413" s="161"/>
      <c r="L413" s="161"/>
      <c r="M413" s="161"/>
      <c r="N413" s="161"/>
      <c r="O413" s="161"/>
      <c r="P413" s="161"/>
      <c r="CY413" s="62"/>
      <c r="CZ413" s="62"/>
      <c r="DA413" s="62"/>
      <c r="DB413" s="62"/>
      <c r="DC413" s="62"/>
      <c r="DD413" s="62"/>
    </row>
    <row r="414" spans="1:108" s="61" customFormat="1" ht="29.25" customHeight="1" hidden="1">
      <c r="A414" s="138" t="s">
        <v>5</v>
      </c>
      <c r="B414" s="97"/>
      <c r="C414" s="97"/>
      <c r="D414" s="161">
        <f>2423200+2100000+45800</f>
        <v>4569000</v>
      </c>
      <c r="E414" s="161"/>
      <c r="F414" s="161">
        <f>D414</f>
        <v>4569000</v>
      </c>
      <c r="G414" s="161">
        <v>2568600</v>
      </c>
      <c r="H414" s="161"/>
      <c r="I414" s="161"/>
      <c r="J414" s="161">
        <f>G414</f>
        <v>2568600</v>
      </c>
      <c r="K414" s="161"/>
      <c r="L414" s="161"/>
      <c r="M414" s="161"/>
      <c r="N414" s="161">
        <v>2697000</v>
      </c>
      <c r="O414" s="161"/>
      <c r="P414" s="161">
        <f>N414</f>
        <v>2697000</v>
      </c>
      <c r="CY414" s="62"/>
      <c r="CZ414" s="62"/>
      <c r="DA414" s="62"/>
      <c r="DB414" s="62"/>
      <c r="DC414" s="62"/>
      <c r="DD414" s="62"/>
    </row>
    <row r="415" spans="1:108" s="61" customFormat="1" ht="12.75" hidden="1">
      <c r="A415" s="139" t="s">
        <v>410</v>
      </c>
      <c r="B415" s="97"/>
      <c r="C415" s="97"/>
      <c r="D415" s="161"/>
      <c r="E415" s="161"/>
      <c r="F415" s="161"/>
      <c r="G415" s="161"/>
      <c r="H415" s="161"/>
      <c r="I415" s="161"/>
      <c r="J415" s="161"/>
      <c r="K415" s="161"/>
      <c r="L415" s="161"/>
      <c r="M415" s="161"/>
      <c r="N415" s="161"/>
      <c r="O415" s="161"/>
      <c r="P415" s="161"/>
      <c r="CY415" s="62"/>
      <c r="CZ415" s="62"/>
      <c r="DA415" s="62"/>
      <c r="DB415" s="62"/>
      <c r="DC415" s="62"/>
      <c r="DD415" s="62"/>
    </row>
    <row r="416" spans="1:108" s="61" customFormat="1" ht="29.25" customHeight="1" hidden="1">
      <c r="A416" s="138" t="s">
        <v>6</v>
      </c>
      <c r="B416" s="97"/>
      <c r="C416" s="97"/>
      <c r="D416" s="161">
        <v>250</v>
      </c>
      <c r="E416" s="161"/>
      <c r="F416" s="161">
        <f>D416</f>
        <v>250</v>
      </c>
      <c r="G416" s="161">
        <v>186</v>
      </c>
      <c r="H416" s="161"/>
      <c r="I416" s="161"/>
      <c r="J416" s="161">
        <f>G416</f>
        <v>186</v>
      </c>
      <c r="K416" s="161"/>
      <c r="L416" s="161"/>
      <c r="M416" s="161"/>
      <c r="N416" s="161">
        <v>186</v>
      </c>
      <c r="O416" s="161"/>
      <c r="P416" s="161">
        <f>N416</f>
        <v>186</v>
      </c>
      <c r="CY416" s="62"/>
      <c r="CZ416" s="62"/>
      <c r="DA416" s="62"/>
      <c r="DB416" s="62"/>
      <c r="DC416" s="62"/>
      <c r="DD416" s="62"/>
    </row>
    <row r="417" spans="1:108" s="61" customFormat="1" ht="12.75" hidden="1">
      <c r="A417" s="139" t="s">
        <v>372</v>
      </c>
      <c r="B417" s="97"/>
      <c r="C417" s="97"/>
      <c r="D417" s="161"/>
      <c r="E417" s="161"/>
      <c r="F417" s="161"/>
      <c r="G417" s="161"/>
      <c r="H417" s="161"/>
      <c r="I417" s="161"/>
      <c r="J417" s="161"/>
      <c r="K417" s="161"/>
      <c r="L417" s="161"/>
      <c r="M417" s="161"/>
      <c r="N417" s="161"/>
      <c r="O417" s="161"/>
      <c r="P417" s="161"/>
      <c r="CY417" s="62"/>
      <c r="CZ417" s="62"/>
      <c r="DA417" s="62"/>
      <c r="DB417" s="62"/>
      <c r="DC417" s="62"/>
      <c r="DD417" s="62"/>
    </row>
    <row r="418" spans="1:108" s="61" customFormat="1" ht="29.25" customHeight="1" hidden="1">
      <c r="A418" s="138" t="s">
        <v>7</v>
      </c>
      <c r="B418" s="97"/>
      <c r="C418" s="97"/>
      <c r="D418" s="161">
        <f>D414/D416</f>
        <v>18276</v>
      </c>
      <c r="E418" s="161"/>
      <c r="F418" s="161">
        <f>D418</f>
        <v>18276</v>
      </c>
      <c r="G418" s="161">
        <f>G414/G416</f>
        <v>13809.677419354839</v>
      </c>
      <c r="H418" s="161"/>
      <c r="I418" s="161"/>
      <c r="J418" s="161">
        <f>G418</f>
        <v>13809.677419354839</v>
      </c>
      <c r="K418" s="161"/>
      <c r="L418" s="161"/>
      <c r="M418" s="161"/>
      <c r="N418" s="161">
        <f>N414/N416</f>
        <v>14500</v>
      </c>
      <c r="O418" s="161"/>
      <c r="P418" s="161">
        <f>N418</f>
        <v>14500</v>
      </c>
      <c r="CY418" s="62"/>
      <c r="CZ418" s="62"/>
      <c r="DA418" s="62"/>
      <c r="DB418" s="62"/>
      <c r="DC418" s="62"/>
      <c r="DD418" s="62"/>
    </row>
    <row r="419" spans="1:108" s="61" customFormat="1" ht="12.75" hidden="1">
      <c r="A419" s="139" t="s">
        <v>499</v>
      </c>
      <c r="B419" s="97"/>
      <c r="C419" s="97"/>
      <c r="D419" s="161"/>
      <c r="E419" s="161"/>
      <c r="F419" s="161"/>
      <c r="G419" s="161"/>
      <c r="H419" s="161"/>
      <c r="I419" s="161"/>
      <c r="J419" s="161"/>
      <c r="K419" s="161"/>
      <c r="L419" s="161"/>
      <c r="M419" s="161"/>
      <c r="N419" s="161"/>
      <c r="O419" s="161"/>
      <c r="P419" s="161"/>
      <c r="CY419" s="62"/>
      <c r="CZ419" s="62"/>
      <c r="DA419" s="62"/>
      <c r="DB419" s="62"/>
      <c r="DC419" s="62"/>
      <c r="DD419" s="62"/>
    </row>
    <row r="420" spans="1:108" s="61" customFormat="1" ht="42" customHeight="1" hidden="1">
      <c r="A420" s="138" t="s">
        <v>8</v>
      </c>
      <c r="B420" s="97"/>
      <c r="C420" s="97"/>
      <c r="D420" s="161"/>
      <c r="E420" s="161"/>
      <c r="F420" s="161"/>
      <c r="G420" s="161">
        <f>G418/D418*100</f>
        <v>75.56181560163515</v>
      </c>
      <c r="H420" s="161"/>
      <c r="I420" s="161"/>
      <c r="J420" s="161">
        <f>G420</f>
        <v>75.56181560163515</v>
      </c>
      <c r="K420" s="161"/>
      <c r="L420" s="161"/>
      <c r="M420" s="161"/>
      <c r="N420" s="161">
        <f>N418/G418*100</f>
        <v>104.99883204858678</v>
      </c>
      <c r="O420" s="161"/>
      <c r="P420" s="161">
        <f>N420</f>
        <v>104.99883204858678</v>
      </c>
      <c r="CY420" s="62"/>
      <c r="CZ420" s="62"/>
      <c r="DA420" s="62"/>
      <c r="DB420" s="62"/>
      <c r="DC420" s="62"/>
      <c r="DD420" s="62"/>
    </row>
    <row r="421" spans="1:108" s="61" customFormat="1" ht="13.5" hidden="1">
      <c r="A421" s="137" t="s">
        <v>61</v>
      </c>
      <c r="B421" s="97"/>
      <c r="C421" s="97"/>
      <c r="D421" s="160">
        <f>D423</f>
        <v>423000</v>
      </c>
      <c r="E421" s="160"/>
      <c r="F421" s="160">
        <f>D421</f>
        <v>423000</v>
      </c>
      <c r="G421" s="160">
        <f>G423</f>
        <v>400000</v>
      </c>
      <c r="H421" s="160"/>
      <c r="I421" s="160"/>
      <c r="J421" s="160">
        <f>G421</f>
        <v>400000</v>
      </c>
      <c r="K421" s="160"/>
      <c r="L421" s="160"/>
      <c r="M421" s="160"/>
      <c r="N421" s="160">
        <f>N423</f>
        <v>390000</v>
      </c>
      <c r="O421" s="160"/>
      <c r="P421" s="160">
        <f>N421</f>
        <v>390000</v>
      </c>
      <c r="Q421" s="36"/>
      <c r="CY421" s="62"/>
      <c r="CZ421" s="62"/>
      <c r="DA421" s="62"/>
      <c r="DB421" s="62"/>
      <c r="DC421" s="62"/>
      <c r="DD421" s="62"/>
    </row>
    <row r="422" spans="1:108" s="61" customFormat="1" ht="12.75" hidden="1">
      <c r="A422" s="133" t="s">
        <v>254</v>
      </c>
      <c r="B422" s="97"/>
      <c r="C422" s="97"/>
      <c r="D422" s="161"/>
      <c r="E422" s="161"/>
      <c r="F422" s="161"/>
      <c r="G422" s="161"/>
      <c r="H422" s="161"/>
      <c r="I422" s="161"/>
      <c r="J422" s="161"/>
      <c r="K422" s="161"/>
      <c r="L422" s="161"/>
      <c r="M422" s="161"/>
      <c r="N422" s="161"/>
      <c r="O422" s="161"/>
      <c r="P422" s="161"/>
      <c r="CY422" s="62"/>
      <c r="CZ422" s="62"/>
      <c r="DA422" s="62"/>
      <c r="DB422" s="62"/>
      <c r="DC422" s="62"/>
      <c r="DD422" s="62"/>
    </row>
    <row r="423" spans="1:108" s="61" customFormat="1" ht="21" customHeight="1" hidden="1">
      <c r="A423" s="138" t="s">
        <v>498</v>
      </c>
      <c r="B423" s="97"/>
      <c r="C423" s="97"/>
      <c r="D423" s="161">
        <f>350000+73000</f>
        <v>423000</v>
      </c>
      <c r="E423" s="161"/>
      <c r="F423" s="161">
        <f>D423</f>
        <v>423000</v>
      </c>
      <c r="G423" s="161">
        <f>370000+30000</f>
        <v>400000</v>
      </c>
      <c r="H423" s="161"/>
      <c r="I423" s="161"/>
      <c r="J423" s="161">
        <f>G423</f>
        <v>400000</v>
      </c>
      <c r="K423" s="161"/>
      <c r="L423" s="161"/>
      <c r="M423" s="161"/>
      <c r="N423" s="161">
        <v>390000</v>
      </c>
      <c r="O423" s="161"/>
      <c r="P423" s="161">
        <f>N423</f>
        <v>390000</v>
      </c>
      <c r="CY423" s="62"/>
      <c r="CZ423" s="62"/>
      <c r="DA423" s="62"/>
      <c r="DB423" s="62"/>
      <c r="DC423" s="62"/>
      <c r="DD423" s="62"/>
    </row>
    <row r="424" spans="1:108" s="61" customFormat="1" ht="12.75" hidden="1">
      <c r="A424" s="139" t="s">
        <v>410</v>
      </c>
      <c r="B424" s="97"/>
      <c r="C424" s="97"/>
      <c r="D424" s="161"/>
      <c r="E424" s="161"/>
      <c r="F424" s="161"/>
      <c r="G424" s="161"/>
      <c r="H424" s="161"/>
      <c r="I424" s="161"/>
      <c r="J424" s="161"/>
      <c r="K424" s="161"/>
      <c r="L424" s="161"/>
      <c r="M424" s="161"/>
      <c r="N424" s="161"/>
      <c r="O424" s="161"/>
      <c r="P424" s="161"/>
      <c r="CY424" s="62"/>
      <c r="CZ424" s="62"/>
      <c r="DA424" s="62"/>
      <c r="DB424" s="62"/>
      <c r="DC424" s="62"/>
      <c r="DD424" s="62"/>
    </row>
    <row r="425" spans="1:108" s="61" customFormat="1" ht="23.25" customHeight="1" hidden="1">
      <c r="A425" s="138" t="s">
        <v>257</v>
      </c>
      <c r="B425" s="97"/>
      <c r="C425" s="97"/>
      <c r="D425" s="161">
        <v>117</v>
      </c>
      <c r="E425" s="161"/>
      <c r="F425" s="161">
        <f>D425</f>
        <v>117</v>
      </c>
      <c r="G425" s="161">
        <v>90</v>
      </c>
      <c r="H425" s="161"/>
      <c r="I425" s="161"/>
      <c r="J425" s="161">
        <f>G425</f>
        <v>90</v>
      </c>
      <c r="K425" s="161"/>
      <c r="L425" s="161"/>
      <c r="M425" s="161"/>
      <c r="N425" s="161">
        <v>85</v>
      </c>
      <c r="O425" s="161"/>
      <c r="P425" s="161">
        <f>N425</f>
        <v>85</v>
      </c>
      <c r="CY425" s="62"/>
      <c r="CZ425" s="62"/>
      <c r="DA425" s="62"/>
      <c r="DB425" s="62"/>
      <c r="DC425" s="62"/>
      <c r="DD425" s="62"/>
    </row>
    <row r="426" spans="1:108" s="61" customFormat="1" ht="15.75" customHeight="1" hidden="1">
      <c r="A426" s="139" t="s">
        <v>372</v>
      </c>
      <c r="B426" s="97"/>
      <c r="C426" s="97"/>
      <c r="D426" s="161"/>
      <c r="E426" s="161"/>
      <c r="F426" s="161"/>
      <c r="G426" s="161"/>
      <c r="H426" s="161"/>
      <c r="I426" s="161"/>
      <c r="J426" s="161"/>
      <c r="K426" s="161"/>
      <c r="L426" s="161"/>
      <c r="M426" s="161"/>
      <c r="N426" s="161"/>
      <c r="O426" s="161"/>
      <c r="P426" s="161"/>
      <c r="CY426" s="62"/>
      <c r="CZ426" s="62"/>
      <c r="DA426" s="62"/>
      <c r="DB426" s="62"/>
      <c r="DC426" s="62"/>
      <c r="DD426" s="62"/>
    </row>
    <row r="427" spans="1:108" s="61" customFormat="1" ht="29.25" customHeight="1" hidden="1">
      <c r="A427" s="138" t="s">
        <v>275</v>
      </c>
      <c r="B427" s="97"/>
      <c r="C427" s="97"/>
      <c r="D427" s="161">
        <f>D423/D425</f>
        <v>3615.3846153846152</v>
      </c>
      <c r="E427" s="161"/>
      <c r="F427" s="161">
        <f>D427</f>
        <v>3615.3846153846152</v>
      </c>
      <c r="G427" s="161">
        <f>G423/G425</f>
        <v>4444.444444444444</v>
      </c>
      <c r="H427" s="161"/>
      <c r="I427" s="161"/>
      <c r="J427" s="161">
        <f>G427</f>
        <v>4444.444444444444</v>
      </c>
      <c r="K427" s="161"/>
      <c r="L427" s="161"/>
      <c r="M427" s="161"/>
      <c r="N427" s="161">
        <f>N423/N425</f>
        <v>4588.235294117647</v>
      </c>
      <c r="O427" s="161"/>
      <c r="P427" s="161">
        <f>N427</f>
        <v>4588.235294117647</v>
      </c>
      <c r="CY427" s="62"/>
      <c r="CZ427" s="62"/>
      <c r="DA427" s="62"/>
      <c r="DB427" s="62"/>
      <c r="DC427" s="62"/>
      <c r="DD427" s="62"/>
    </row>
    <row r="428" spans="1:108" s="61" customFormat="1" ht="15.75" customHeight="1" hidden="1">
      <c r="A428" s="139" t="s">
        <v>499</v>
      </c>
      <c r="B428" s="97"/>
      <c r="C428" s="97"/>
      <c r="D428" s="161"/>
      <c r="E428" s="161"/>
      <c r="F428" s="161"/>
      <c r="G428" s="161"/>
      <c r="H428" s="161"/>
      <c r="I428" s="161"/>
      <c r="J428" s="161"/>
      <c r="K428" s="161"/>
      <c r="L428" s="161"/>
      <c r="M428" s="161"/>
      <c r="N428" s="161"/>
      <c r="O428" s="161"/>
      <c r="P428" s="161"/>
      <c r="CY428" s="62"/>
      <c r="CZ428" s="62"/>
      <c r="DA428" s="62"/>
      <c r="DB428" s="62"/>
      <c r="DC428" s="62"/>
      <c r="DD428" s="62"/>
    </row>
    <row r="429" spans="1:108" s="61" customFormat="1" ht="29.25" customHeight="1" hidden="1">
      <c r="A429" s="138" t="s">
        <v>289</v>
      </c>
      <c r="B429" s="97"/>
      <c r="C429" s="97"/>
      <c r="D429" s="161"/>
      <c r="E429" s="161"/>
      <c r="F429" s="161"/>
      <c r="G429" s="161">
        <f>G427/D427*100</f>
        <v>122.93144208037825</v>
      </c>
      <c r="H429" s="161"/>
      <c r="I429" s="161"/>
      <c r="J429" s="161">
        <f>G429</f>
        <v>122.93144208037825</v>
      </c>
      <c r="K429" s="161"/>
      <c r="L429" s="161"/>
      <c r="M429" s="161"/>
      <c r="N429" s="161">
        <f>N427/G427*100</f>
        <v>103.23529411764704</v>
      </c>
      <c r="O429" s="161"/>
      <c r="P429" s="161">
        <f>N429</f>
        <v>103.23529411764704</v>
      </c>
      <c r="CY429" s="62"/>
      <c r="CZ429" s="62"/>
      <c r="DA429" s="62"/>
      <c r="DB429" s="62"/>
      <c r="DC429" s="62"/>
      <c r="DD429" s="62"/>
    </row>
    <row r="430" spans="1:108" s="36" customFormat="1" ht="33" customHeight="1" hidden="1">
      <c r="A430" s="137"/>
      <c r="B430" s="162"/>
      <c r="C430" s="162"/>
      <c r="D430" s="168"/>
      <c r="E430" s="168"/>
      <c r="F430" s="168"/>
      <c r="G430" s="168"/>
      <c r="H430" s="168"/>
      <c r="I430" s="168"/>
      <c r="J430" s="168"/>
      <c r="K430" s="168"/>
      <c r="L430" s="168"/>
      <c r="M430" s="168"/>
      <c r="N430" s="168"/>
      <c r="O430" s="168"/>
      <c r="P430" s="168"/>
      <c r="CY430" s="37"/>
      <c r="CZ430" s="37"/>
      <c r="DA430" s="37"/>
      <c r="DB430" s="37"/>
      <c r="DC430" s="37"/>
      <c r="DD430" s="37"/>
    </row>
    <row r="431" spans="1:108" s="61" customFormat="1" ht="23.25" customHeight="1" hidden="1">
      <c r="A431" s="133"/>
      <c r="B431" s="97"/>
      <c r="C431" s="97"/>
      <c r="D431" s="161"/>
      <c r="E431" s="161"/>
      <c r="F431" s="161"/>
      <c r="G431" s="161"/>
      <c r="H431" s="161"/>
      <c r="I431" s="161"/>
      <c r="J431" s="161"/>
      <c r="K431" s="161"/>
      <c r="L431" s="161"/>
      <c r="M431" s="161"/>
      <c r="N431" s="161"/>
      <c r="O431" s="161"/>
      <c r="P431" s="161"/>
      <c r="CY431" s="62"/>
      <c r="CZ431" s="62"/>
      <c r="DA431" s="62"/>
      <c r="DB431" s="62"/>
      <c r="DC431" s="62"/>
      <c r="DD431" s="62"/>
    </row>
    <row r="432" spans="1:108" s="61" customFormat="1" ht="37.5" customHeight="1" hidden="1">
      <c r="A432" s="138"/>
      <c r="B432" s="97"/>
      <c r="C432" s="97"/>
      <c r="D432" s="161"/>
      <c r="E432" s="161"/>
      <c r="F432" s="161"/>
      <c r="G432" s="161"/>
      <c r="H432" s="161"/>
      <c r="I432" s="161"/>
      <c r="J432" s="161"/>
      <c r="K432" s="161"/>
      <c r="L432" s="161"/>
      <c r="M432" s="161"/>
      <c r="N432" s="161"/>
      <c r="O432" s="161"/>
      <c r="P432" s="161"/>
      <c r="CY432" s="62"/>
      <c r="CZ432" s="62"/>
      <c r="DA432" s="62"/>
      <c r="DB432" s="62"/>
      <c r="DC432" s="62"/>
      <c r="DD432" s="62"/>
    </row>
    <row r="433" spans="1:108" s="61" customFormat="1" ht="21" customHeight="1" hidden="1">
      <c r="A433" s="139"/>
      <c r="B433" s="97"/>
      <c r="C433" s="97"/>
      <c r="D433" s="161"/>
      <c r="E433" s="161"/>
      <c r="F433" s="161"/>
      <c r="G433" s="161"/>
      <c r="H433" s="161"/>
      <c r="I433" s="161"/>
      <c r="J433" s="161"/>
      <c r="K433" s="161"/>
      <c r="L433" s="161"/>
      <c r="M433" s="161"/>
      <c r="N433" s="161"/>
      <c r="O433" s="161"/>
      <c r="P433" s="161"/>
      <c r="CY433" s="62"/>
      <c r="CZ433" s="62"/>
      <c r="DA433" s="62"/>
      <c r="DB433" s="62"/>
      <c r="DC433" s="62"/>
      <c r="DD433" s="62"/>
    </row>
    <row r="434" spans="1:108" s="61" customFormat="1" ht="32.25" customHeight="1" hidden="1">
      <c r="A434" s="138"/>
      <c r="B434" s="97"/>
      <c r="C434" s="97"/>
      <c r="D434" s="161"/>
      <c r="E434" s="161"/>
      <c r="F434" s="161"/>
      <c r="G434" s="161"/>
      <c r="H434" s="161"/>
      <c r="I434" s="161"/>
      <c r="J434" s="161"/>
      <c r="K434" s="161"/>
      <c r="L434" s="161"/>
      <c r="M434" s="161"/>
      <c r="N434" s="161"/>
      <c r="O434" s="161"/>
      <c r="P434" s="161"/>
      <c r="CY434" s="62"/>
      <c r="CZ434" s="62"/>
      <c r="DA434" s="62"/>
      <c r="DB434" s="62"/>
      <c r="DC434" s="62"/>
      <c r="DD434" s="62"/>
    </row>
    <row r="435" spans="1:108" s="61" customFormat="1" ht="19.5" customHeight="1" hidden="1">
      <c r="A435" s="139"/>
      <c r="B435" s="97"/>
      <c r="C435" s="97"/>
      <c r="D435" s="161"/>
      <c r="E435" s="161"/>
      <c r="F435" s="161"/>
      <c r="G435" s="161"/>
      <c r="H435" s="161"/>
      <c r="I435" s="161"/>
      <c r="J435" s="161"/>
      <c r="K435" s="161"/>
      <c r="L435" s="161"/>
      <c r="M435" s="161"/>
      <c r="N435" s="161"/>
      <c r="O435" s="161"/>
      <c r="P435" s="161"/>
      <c r="CY435" s="62"/>
      <c r="CZ435" s="62"/>
      <c r="DA435" s="62"/>
      <c r="DB435" s="62"/>
      <c r="DC435" s="62"/>
      <c r="DD435" s="62"/>
    </row>
    <row r="436" spans="1:108" s="61" customFormat="1" ht="32.25" customHeight="1" hidden="1">
      <c r="A436" s="138"/>
      <c r="B436" s="97"/>
      <c r="C436" s="97"/>
      <c r="D436" s="161"/>
      <c r="E436" s="161"/>
      <c r="F436" s="161"/>
      <c r="G436" s="161"/>
      <c r="H436" s="161"/>
      <c r="I436" s="161"/>
      <c r="J436" s="161"/>
      <c r="K436" s="161"/>
      <c r="L436" s="161"/>
      <c r="M436" s="161"/>
      <c r="N436" s="161"/>
      <c r="O436" s="161"/>
      <c r="P436" s="161"/>
      <c r="CY436" s="62"/>
      <c r="CZ436" s="62"/>
      <c r="DA436" s="62"/>
      <c r="DB436" s="62"/>
      <c r="DC436" s="62"/>
      <c r="DD436" s="62"/>
    </row>
    <row r="437" spans="1:108" s="61" customFormat="1" ht="21" customHeight="1" hidden="1">
      <c r="A437" s="139"/>
      <c r="B437" s="97"/>
      <c r="C437" s="97"/>
      <c r="D437" s="161"/>
      <c r="E437" s="161"/>
      <c r="F437" s="161"/>
      <c r="G437" s="161"/>
      <c r="H437" s="161"/>
      <c r="I437" s="161"/>
      <c r="J437" s="161"/>
      <c r="K437" s="161"/>
      <c r="L437" s="161"/>
      <c r="M437" s="161"/>
      <c r="N437" s="161"/>
      <c r="O437" s="161"/>
      <c r="P437" s="161"/>
      <c r="CY437" s="62"/>
      <c r="CZ437" s="62"/>
      <c r="DA437" s="62"/>
      <c r="DB437" s="62"/>
      <c r="DC437" s="62"/>
      <c r="DD437" s="62"/>
    </row>
    <row r="438" spans="1:108" s="61" customFormat="1" ht="45.75" customHeight="1" hidden="1">
      <c r="A438" s="138"/>
      <c r="B438" s="97"/>
      <c r="C438" s="97"/>
      <c r="D438" s="161"/>
      <c r="E438" s="161"/>
      <c r="F438" s="161"/>
      <c r="G438" s="161"/>
      <c r="H438" s="161"/>
      <c r="I438" s="161"/>
      <c r="J438" s="161"/>
      <c r="K438" s="161"/>
      <c r="L438" s="161"/>
      <c r="M438" s="161"/>
      <c r="N438" s="161"/>
      <c r="O438" s="161"/>
      <c r="P438" s="161"/>
      <c r="CY438" s="62"/>
      <c r="CZ438" s="62"/>
      <c r="DA438" s="62"/>
      <c r="DB438" s="62"/>
      <c r="DC438" s="62"/>
      <c r="DD438" s="62"/>
    </row>
    <row r="439" spans="1:108" s="36" customFormat="1" ht="13.5" hidden="1">
      <c r="A439" s="137" t="s">
        <v>95</v>
      </c>
      <c r="B439" s="162"/>
      <c r="C439" s="162"/>
      <c r="D439" s="160">
        <f>D441</f>
        <v>121900</v>
      </c>
      <c r="E439" s="160"/>
      <c r="F439" s="160">
        <f>D439</f>
        <v>121900</v>
      </c>
      <c r="G439" s="160">
        <f>G441</f>
        <v>564300</v>
      </c>
      <c r="H439" s="160"/>
      <c r="I439" s="160"/>
      <c r="J439" s="160">
        <f>G439</f>
        <v>564300</v>
      </c>
      <c r="K439" s="160"/>
      <c r="L439" s="160"/>
      <c r="M439" s="160"/>
      <c r="N439" s="160">
        <f>N441</f>
        <v>592000</v>
      </c>
      <c r="O439" s="160"/>
      <c r="P439" s="160">
        <f>N439</f>
        <v>592000</v>
      </c>
      <c r="CY439" s="37"/>
      <c r="CZ439" s="37"/>
      <c r="DA439" s="37"/>
      <c r="DB439" s="37"/>
      <c r="DC439" s="37"/>
      <c r="DD439" s="37"/>
    </row>
    <row r="440" spans="1:108" s="61" customFormat="1" ht="12.75" hidden="1">
      <c r="A440" s="133" t="s">
        <v>254</v>
      </c>
      <c r="B440" s="97"/>
      <c r="C440" s="97"/>
      <c r="D440" s="161"/>
      <c r="E440" s="161"/>
      <c r="F440" s="161"/>
      <c r="G440" s="161"/>
      <c r="H440" s="161"/>
      <c r="I440" s="161"/>
      <c r="J440" s="161"/>
      <c r="K440" s="161"/>
      <c r="L440" s="161"/>
      <c r="M440" s="161"/>
      <c r="N440" s="161"/>
      <c r="O440" s="161"/>
      <c r="P440" s="161"/>
      <c r="CY440" s="62"/>
      <c r="CZ440" s="62"/>
      <c r="DA440" s="62"/>
      <c r="DB440" s="62"/>
      <c r="DC440" s="62"/>
      <c r="DD440" s="62"/>
    </row>
    <row r="441" spans="1:108" s="61" customFormat="1" ht="12.75" hidden="1">
      <c r="A441" s="138" t="s">
        <v>12</v>
      </c>
      <c r="B441" s="97"/>
      <c r="C441" s="97"/>
      <c r="D441" s="161">
        <f>504700-73000-309800</f>
        <v>121900</v>
      </c>
      <c r="E441" s="161"/>
      <c r="F441" s="161">
        <f>D441</f>
        <v>121900</v>
      </c>
      <c r="G441" s="161">
        <v>564300</v>
      </c>
      <c r="H441" s="161"/>
      <c r="I441" s="161"/>
      <c r="J441" s="161">
        <f>G441</f>
        <v>564300</v>
      </c>
      <c r="K441" s="161"/>
      <c r="L441" s="161"/>
      <c r="M441" s="161"/>
      <c r="N441" s="161">
        <v>592000</v>
      </c>
      <c r="O441" s="161"/>
      <c r="P441" s="161">
        <f>N441</f>
        <v>592000</v>
      </c>
      <c r="CY441" s="62"/>
      <c r="CZ441" s="62"/>
      <c r="DA441" s="62"/>
      <c r="DB441" s="62"/>
      <c r="DC441" s="62"/>
      <c r="DD441" s="62"/>
    </row>
    <row r="442" spans="1:108" s="61" customFormat="1" ht="12.75" hidden="1">
      <c r="A442" s="139" t="s">
        <v>410</v>
      </c>
      <c r="B442" s="97"/>
      <c r="C442" s="97"/>
      <c r="D442" s="161"/>
      <c r="E442" s="161"/>
      <c r="F442" s="161"/>
      <c r="G442" s="161"/>
      <c r="H442" s="161"/>
      <c r="I442" s="161"/>
      <c r="J442" s="161"/>
      <c r="K442" s="161"/>
      <c r="L442" s="161"/>
      <c r="M442" s="161"/>
      <c r="N442" s="161"/>
      <c r="O442" s="161"/>
      <c r="P442" s="161"/>
      <c r="CY442" s="62"/>
      <c r="CZ442" s="62"/>
      <c r="DA442" s="62"/>
      <c r="DB442" s="62"/>
      <c r="DC442" s="62"/>
      <c r="DD442" s="62"/>
    </row>
    <row r="443" spans="1:108" s="61" customFormat="1" ht="17.25" customHeight="1" hidden="1">
      <c r="A443" s="134" t="s">
        <v>13</v>
      </c>
      <c r="B443" s="97"/>
      <c r="C443" s="97"/>
      <c r="D443" s="161">
        <v>1</v>
      </c>
      <c r="E443" s="161"/>
      <c r="F443" s="161">
        <f>D443</f>
        <v>1</v>
      </c>
      <c r="G443" s="161">
        <v>1</v>
      </c>
      <c r="H443" s="161"/>
      <c r="I443" s="161"/>
      <c r="J443" s="161">
        <f>G443</f>
        <v>1</v>
      </c>
      <c r="K443" s="161"/>
      <c r="L443" s="161"/>
      <c r="M443" s="161"/>
      <c r="N443" s="161">
        <v>1</v>
      </c>
      <c r="O443" s="161"/>
      <c r="P443" s="161">
        <f>N443</f>
        <v>1</v>
      </c>
      <c r="CY443" s="62"/>
      <c r="CZ443" s="62"/>
      <c r="DA443" s="62"/>
      <c r="DB443" s="62"/>
      <c r="DC443" s="62"/>
      <c r="DD443" s="62"/>
    </row>
    <row r="444" spans="1:108" s="61" customFormat="1" ht="12.75" hidden="1">
      <c r="A444" s="139" t="s">
        <v>372</v>
      </c>
      <c r="B444" s="97"/>
      <c r="C444" s="97"/>
      <c r="D444" s="161"/>
      <c r="E444" s="161"/>
      <c r="F444" s="161"/>
      <c r="G444" s="161"/>
      <c r="H444" s="161"/>
      <c r="I444" s="161"/>
      <c r="J444" s="161"/>
      <c r="K444" s="161"/>
      <c r="L444" s="161"/>
      <c r="M444" s="161"/>
      <c r="N444" s="161"/>
      <c r="O444" s="161"/>
      <c r="P444" s="161"/>
      <c r="CY444" s="62"/>
      <c r="CZ444" s="62"/>
      <c r="DA444" s="62"/>
      <c r="DB444" s="62"/>
      <c r="DC444" s="62"/>
      <c r="DD444" s="62"/>
    </row>
    <row r="445" spans="1:108" s="61" customFormat="1" ht="18.75" customHeight="1" hidden="1">
      <c r="A445" s="138" t="s">
        <v>526</v>
      </c>
      <c r="B445" s="97"/>
      <c r="C445" s="97"/>
      <c r="D445" s="161">
        <f>D441/D443/12</f>
        <v>10158.333333333334</v>
      </c>
      <c r="E445" s="161"/>
      <c r="F445" s="161">
        <f>D445</f>
        <v>10158.333333333334</v>
      </c>
      <c r="G445" s="161">
        <f>G441/G443/12</f>
        <v>47025</v>
      </c>
      <c r="H445" s="161"/>
      <c r="I445" s="161"/>
      <c r="J445" s="161">
        <f>G445</f>
        <v>47025</v>
      </c>
      <c r="K445" s="161"/>
      <c r="L445" s="161"/>
      <c r="M445" s="161"/>
      <c r="N445" s="161">
        <f>N441/N443/12</f>
        <v>49333.333333333336</v>
      </c>
      <c r="O445" s="161"/>
      <c r="P445" s="161">
        <f>N445</f>
        <v>49333.333333333336</v>
      </c>
      <c r="CY445" s="62"/>
      <c r="CZ445" s="62"/>
      <c r="DA445" s="62"/>
      <c r="DB445" s="62"/>
      <c r="DC445" s="62"/>
      <c r="DD445" s="62"/>
    </row>
    <row r="446" spans="1:108" s="61" customFormat="1" ht="12.75" hidden="1">
      <c r="A446" s="139" t="s">
        <v>499</v>
      </c>
      <c r="B446" s="97"/>
      <c r="C446" s="97"/>
      <c r="D446" s="161"/>
      <c r="E446" s="161"/>
      <c r="F446" s="161"/>
      <c r="G446" s="161"/>
      <c r="H446" s="161"/>
      <c r="I446" s="161"/>
      <c r="J446" s="161"/>
      <c r="K446" s="161"/>
      <c r="L446" s="161"/>
      <c r="M446" s="161"/>
      <c r="N446" s="161"/>
      <c r="O446" s="161"/>
      <c r="P446" s="161"/>
      <c r="CY446" s="62"/>
      <c r="CZ446" s="62"/>
      <c r="DA446" s="62"/>
      <c r="DB446" s="62"/>
      <c r="DC446" s="62"/>
      <c r="DD446" s="62"/>
    </row>
    <row r="447" spans="1:108" s="61" customFormat="1" ht="34.5" customHeight="1" hidden="1">
      <c r="A447" s="138" t="s">
        <v>14</v>
      </c>
      <c r="B447" s="97"/>
      <c r="C447" s="97"/>
      <c r="D447" s="161"/>
      <c r="E447" s="161"/>
      <c r="F447" s="161"/>
      <c r="G447" s="161">
        <f>G445/D445*100</f>
        <v>462.9204265791632</v>
      </c>
      <c r="H447" s="161"/>
      <c r="I447" s="161"/>
      <c r="J447" s="161">
        <f>G447</f>
        <v>462.9204265791632</v>
      </c>
      <c r="K447" s="161"/>
      <c r="L447" s="161"/>
      <c r="M447" s="161"/>
      <c r="N447" s="161">
        <f>N445/G445*100</f>
        <v>104.90873648768387</v>
      </c>
      <c r="O447" s="161"/>
      <c r="P447" s="161">
        <f>N447</f>
        <v>104.90873648768387</v>
      </c>
      <c r="CY447" s="62"/>
      <c r="CZ447" s="62"/>
      <c r="DA447" s="62"/>
      <c r="DB447" s="62"/>
      <c r="DC447" s="62"/>
      <c r="DD447" s="62"/>
    </row>
    <row r="448" spans="1:108" s="36" customFormat="1" ht="34.5" customHeight="1" hidden="1">
      <c r="A448" s="137" t="s">
        <v>96</v>
      </c>
      <c r="B448" s="162"/>
      <c r="C448" s="162"/>
      <c r="D448" s="160">
        <f>D450</f>
        <v>340000</v>
      </c>
      <c r="E448" s="160"/>
      <c r="F448" s="160">
        <f>D448</f>
        <v>340000</v>
      </c>
      <c r="G448" s="160">
        <f>G450</f>
        <v>586000</v>
      </c>
      <c r="H448" s="160"/>
      <c r="I448" s="160"/>
      <c r="J448" s="160">
        <f>G448+H448</f>
        <v>586000</v>
      </c>
      <c r="K448" s="160"/>
      <c r="L448" s="160"/>
      <c r="M448" s="160"/>
      <c r="N448" s="160">
        <f>N450</f>
        <v>401200</v>
      </c>
      <c r="O448" s="160"/>
      <c r="P448" s="160">
        <f>N448+O448</f>
        <v>401200</v>
      </c>
      <c r="CY448" s="37"/>
      <c r="CZ448" s="37"/>
      <c r="DA448" s="37"/>
      <c r="DB448" s="37"/>
      <c r="DC448" s="37"/>
      <c r="DD448" s="37"/>
    </row>
    <row r="449" spans="1:108" s="61" customFormat="1" ht="12.75" hidden="1">
      <c r="A449" s="133" t="s">
        <v>254</v>
      </c>
      <c r="B449" s="97"/>
      <c r="C449" s="97"/>
      <c r="D449" s="161"/>
      <c r="E449" s="161"/>
      <c r="F449" s="161"/>
      <c r="G449" s="161"/>
      <c r="H449" s="161"/>
      <c r="I449" s="161"/>
      <c r="J449" s="181">
        <f aca="true" t="shared" si="29" ref="J449:J454">G449+H449</f>
        <v>0</v>
      </c>
      <c r="K449" s="161"/>
      <c r="L449" s="161"/>
      <c r="M449" s="161"/>
      <c r="N449" s="161"/>
      <c r="O449" s="161"/>
      <c r="P449" s="181">
        <f aca="true" t="shared" si="30" ref="P449:P454">N449+O449</f>
        <v>0</v>
      </c>
      <c r="CY449" s="62"/>
      <c r="CZ449" s="62"/>
      <c r="DA449" s="62"/>
      <c r="DB449" s="62"/>
      <c r="DC449" s="62"/>
      <c r="DD449" s="62"/>
    </row>
    <row r="450" spans="1:108" s="61" customFormat="1" ht="34.5" customHeight="1" hidden="1">
      <c r="A450" s="138" t="s">
        <v>15</v>
      </c>
      <c r="B450" s="97"/>
      <c r="C450" s="97"/>
      <c r="D450" s="161">
        <f>363000-23000</f>
        <v>340000</v>
      </c>
      <c r="E450" s="161"/>
      <c r="F450" s="161">
        <f>D450</f>
        <v>340000</v>
      </c>
      <c r="G450" s="161">
        <f>382100+3900+100000+100000</f>
        <v>586000</v>
      </c>
      <c r="H450" s="161"/>
      <c r="I450" s="161"/>
      <c r="J450" s="181">
        <f t="shared" si="29"/>
        <v>586000</v>
      </c>
      <c r="K450" s="161"/>
      <c r="L450" s="161"/>
      <c r="M450" s="161"/>
      <c r="N450" s="161">
        <v>401200</v>
      </c>
      <c r="O450" s="161"/>
      <c r="P450" s="181">
        <f t="shared" si="30"/>
        <v>401200</v>
      </c>
      <c r="CY450" s="62"/>
      <c r="CZ450" s="62"/>
      <c r="DA450" s="62"/>
      <c r="DB450" s="62"/>
      <c r="DC450" s="62"/>
      <c r="DD450" s="62"/>
    </row>
    <row r="451" spans="1:108" s="61" customFormat="1" ht="12.75" hidden="1">
      <c r="A451" s="139" t="s">
        <v>410</v>
      </c>
      <c r="B451" s="97"/>
      <c r="C451" s="97"/>
      <c r="D451" s="161"/>
      <c r="E451" s="161"/>
      <c r="F451" s="161"/>
      <c r="G451" s="161"/>
      <c r="H451" s="161"/>
      <c r="I451" s="161"/>
      <c r="J451" s="181">
        <f t="shared" si="29"/>
        <v>0</v>
      </c>
      <c r="K451" s="161"/>
      <c r="L451" s="161"/>
      <c r="M451" s="161"/>
      <c r="N451" s="161"/>
      <c r="O451" s="161"/>
      <c r="P451" s="181">
        <f t="shared" si="30"/>
        <v>0</v>
      </c>
      <c r="CY451" s="62"/>
      <c r="CZ451" s="62"/>
      <c r="DA451" s="62"/>
      <c r="DB451" s="62"/>
      <c r="DC451" s="62"/>
      <c r="DD451" s="62"/>
    </row>
    <row r="452" spans="1:108" s="61" customFormat="1" ht="18.75" customHeight="1" hidden="1">
      <c r="A452" s="134" t="s">
        <v>16</v>
      </c>
      <c r="B452" s="97"/>
      <c r="C452" s="97"/>
      <c r="D452" s="161">
        <v>7</v>
      </c>
      <c r="E452" s="161"/>
      <c r="F452" s="161"/>
      <c r="G452" s="161">
        <v>10</v>
      </c>
      <c r="H452" s="161"/>
      <c r="I452" s="161"/>
      <c r="J452" s="181">
        <f t="shared" si="29"/>
        <v>10</v>
      </c>
      <c r="K452" s="161"/>
      <c r="L452" s="161"/>
      <c r="M452" s="161"/>
      <c r="N452" s="161">
        <v>7</v>
      </c>
      <c r="O452" s="161"/>
      <c r="P452" s="181">
        <f t="shared" si="30"/>
        <v>7</v>
      </c>
      <c r="CY452" s="62"/>
      <c r="CZ452" s="62"/>
      <c r="DA452" s="62"/>
      <c r="DB452" s="62"/>
      <c r="DC452" s="62"/>
      <c r="DD452" s="62"/>
    </row>
    <row r="453" spans="1:108" s="61" customFormat="1" ht="12.75" hidden="1">
      <c r="A453" s="139" t="s">
        <v>372</v>
      </c>
      <c r="B453" s="97"/>
      <c r="C453" s="97"/>
      <c r="D453" s="161"/>
      <c r="E453" s="161"/>
      <c r="F453" s="161"/>
      <c r="G453" s="161"/>
      <c r="H453" s="161"/>
      <c r="I453" s="161"/>
      <c r="J453" s="181">
        <f t="shared" si="29"/>
        <v>0</v>
      </c>
      <c r="K453" s="161"/>
      <c r="L453" s="161"/>
      <c r="M453" s="161"/>
      <c r="N453" s="161"/>
      <c r="O453" s="161"/>
      <c r="P453" s="181">
        <f t="shared" si="30"/>
        <v>0</v>
      </c>
      <c r="CY453" s="62"/>
      <c r="CZ453" s="62"/>
      <c r="DA453" s="62"/>
      <c r="DB453" s="62"/>
      <c r="DC453" s="62"/>
      <c r="DD453" s="62"/>
    </row>
    <row r="454" spans="1:108" s="61" customFormat="1" ht="24" customHeight="1" hidden="1">
      <c r="A454" s="138" t="s">
        <v>17</v>
      </c>
      <c r="B454" s="97"/>
      <c r="C454" s="97"/>
      <c r="D454" s="131">
        <f>D450/D452</f>
        <v>48571.42857142857</v>
      </c>
      <c r="E454" s="131"/>
      <c r="F454" s="131">
        <f>D454</f>
        <v>48571.42857142857</v>
      </c>
      <c r="G454" s="131">
        <f>G450/G452</f>
        <v>58600</v>
      </c>
      <c r="H454" s="131"/>
      <c r="I454" s="131"/>
      <c r="J454" s="181">
        <f t="shared" si="29"/>
        <v>58600</v>
      </c>
      <c r="K454" s="131"/>
      <c r="L454" s="131"/>
      <c r="M454" s="131"/>
      <c r="N454" s="131">
        <f>N450/N452</f>
        <v>57314.28571428572</v>
      </c>
      <c r="O454" s="131"/>
      <c r="P454" s="181">
        <f t="shared" si="30"/>
        <v>57314.28571428572</v>
      </c>
      <c r="CY454" s="62"/>
      <c r="CZ454" s="62"/>
      <c r="DA454" s="62"/>
      <c r="DB454" s="62"/>
      <c r="DC454" s="62"/>
      <c r="DD454" s="62"/>
    </row>
    <row r="455" spans="1:108" s="61" customFormat="1" ht="21.75" customHeight="1" hidden="1">
      <c r="A455" s="137" t="s">
        <v>97</v>
      </c>
      <c r="B455" s="97"/>
      <c r="C455" s="97"/>
      <c r="D455" s="168">
        <f>D457</f>
        <v>0</v>
      </c>
      <c r="E455" s="168"/>
      <c r="F455" s="168">
        <f>D455</f>
        <v>0</v>
      </c>
      <c r="G455" s="161"/>
      <c r="H455" s="161"/>
      <c r="I455" s="161"/>
      <c r="J455" s="161"/>
      <c r="K455" s="161"/>
      <c r="L455" s="161"/>
      <c r="M455" s="161"/>
      <c r="N455" s="161"/>
      <c r="O455" s="161"/>
      <c r="P455" s="161"/>
      <c r="CY455" s="62"/>
      <c r="CZ455" s="62"/>
      <c r="DA455" s="62"/>
      <c r="DB455" s="62"/>
      <c r="DC455" s="62"/>
      <c r="DD455" s="62"/>
    </row>
    <row r="456" spans="1:108" s="61" customFormat="1" ht="12.75" hidden="1">
      <c r="A456" s="133" t="s">
        <v>254</v>
      </c>
      <c r="B456" s="97"/>
      <c r="C456" s="97"/>
      <c r="D456" s="161"/>
      <c r="E456" s="161"/>
      <c r="F456" s="161"/>
      <c r="G456" s="161"/>
      <c r="H456" s="161"/>
      <c r="I456" s="161"/>
      <c r="J456" s="161"/>
      <c r="K456" s="161"/>
      <c r="L456" s="161"/>
      <c r="M456" s="161"/>
      <c r="N456" s="161"/>
      <c r="O456" s="161"/>
      <c r="P456" s="161"/>
      <c r="CY456" s="62"/>
      <c r="CZ456" s="62"/>
      <c r="DA456" s="62"/>
      <c r="DB456" s="62"/>
      <c r="DC456" s="62"/>
      <c r="DD456" s="62"/>
    </row>
    <row r="457" spans="1:108" s="61" customFormat="1" ht="21" customHeight="1" hidden="1">
      <c r="A457" s="138" t="s">
        <v>18</v>
      </c>
      <c r="B457" s="97"/>
      <c r="C457" s="97"/>
      <c r="D457" s="161">
        <f>1000000-1000000</f>
        <v>0</v>
      </c>
      <c r="E457" s="161"/>
      <c r="F457" s="161">
        <f>D457</f>
        <v>0</v>
      </c>
      <c r="G457" s="161"/>
      <c r="H457" s="161"/>
      <c r="I457" s="161"/>
      <c r="J457" s="161"/>
      <c r="K457" s="161"/>
      <c r="L457" s="161"/>
      <c r="M457" s="161"/>
      <c r="N457" s="161"/>
      <c r="O457" s="161"/>
      <c r="P457" s="161"/>
      <c r="CY457" s="62"/>
      <c r="CZ457" s="62"/>
      <c r="DA457" s="62"/>
      <c r="DB457" s="62"/>
      <c r="DC457" s="62"/>
      <c r="DD457" s="62"/>
    </row>
    <row r="458" spans="1:108" s="61" customFormat="1" ht="12.75" hidden="1">
      <c r="A458" s="139" t="s">
        <v>410</v>
      </c>
      <c r="B458" s="97"/>
      <c r="C458" s="97"/>
      <c r="D458" s="161"/>
      <c r="E458" s="161"/>
      <c r="F458" s="161"/>
      <c r="G458" s="161"/>
      <c r="H458" s="161"/>
      <c r="I458" s="161"/>
      <c r="J458" s="161"/>
      <c r="K458" s="161"/>
      <c r="L458" s="161"/>
      <c r="M458" s="161"/>
      <c r="N458" s="161"/>
      <c r="O458" s="161"/>
      <c r="P458" s="161"/>
      <c r="CY458" s="62"/>
      <c r="CZ458" s="62"/>
      <c r="DA458" s="62"/>
      <c r="DB458" s="62"/>
      <c r="DC458" s="62"/>
      <c r="DD458" s="62"/>
    </row>
    <row r="459" spans="1:108" s="61" customFormat="1" ht="21" customHeight="1" hidden="1">
      <c r="A459" s="134" t="s">
        <v>19</v>
      </c>
      <c r="B459" s="97"/>
      <c r="C459" s="97"/>
      <c r="D459" s="161">
        <v>0</v>
      </c>
      <c r="E459" s="161"/>
      <c r="F459" s="161">
        <f>D459</f>
        <v>0</v>
      </c>
      <c r="G459" s="161"/>
      <c r="H459" s="161"/>
      <c r="I459" s="161"/>
      <c r="J459" s="161"/>
      <c r="K459" s="161"/>
      <c r="L459" s="161"/>
      <c r="M459" s="161"/>
      <c r="N459" s="161"/>
      <c r="O459" s="161"/>
      <c r="P459" s="161"/>
      <c r="CY459" s="62"/>
      <c r="CZ459" s="62"/>
      <c r="DA459" s="62"/>
      <c r="DB459" s="62"/>
      <c r="DC459" s="62"/>
      <c r="DD459" s="62"/>
    </row>
    <row r="460" spans="1:108" s="61" customFormat="1" ht="12.75" hidden="1">
      <c r="A460" s="139" t="s">
        <v>372</v>
      </c>
      <c r="B460" s="97"/>
      <c r="C460" s="97"/>
      <c r="D460" s="161"/>
      <c r="E460" s="161"/>
      <c r="F460" s="161"/>
      <c r="G460" s="161"/>
      <c r="H460" s="161"/>
      <c r="I460" s="161"/>
      <c r="J460" s="161"/>
      <c r="K460" s="161"/>
      <c r="L460" s="161"/>
      <c r="M460" s="161"/>
      <c r="N460" s="161"/>
      <c r="O460" s="161"/>
      <c r="P460" s="161"/>
      <c r="CY460" s="62"/>
      <c r="CZ460" s="62"/>
      <c r="DA460" s="62"/>
      <c r="DB460" s="62"/>
      <c r="DC460" s="62"/>
      <c r="DD460" s="62"/>
    </row>
    <row r="461" spans="1:108" s="61" customFormat="1" ht="12.75" hidden="1">
      <c r="A461" s="138" t="s">
        <v>20</v>
      </c>
      <c r="B461" s="97"/>
      <c r="C461" s="97"/>
      <c r="D461" s="161" t="e">
        <f>D457/D459</f>
        <v>#DIV/0!</v>
      </c>
      <c r="E461" s="161"/>
      <c r="F461" s="161" t="e">
        <f>D461</f>
        <v>#DIV/0!</v>
      </c>
      <c r="G461" s="161"/>
      <c r="H461" s="161"/>
      <c r="I461" s="161"/>
      <c r="J461" s="161"/>
      <c r="K461" s="161"/>
      <c r="L461" s="161"/>
      <c r="M461" s="161"/>
      <c r="N461" s="161"/>
      <c r="O461" s="161"/>
      <c r="P461" s="161"/>
      <c r="CY461" s="62"/>
      <c r="CZ461" s="62"/>
      <c r="DA461" s="62"/>
      <c r="DB461" s="62"/>
      <c r="DC461" s="62"/>
      <c r="DD461" s="62"/>
    </row>
    <row r="462" spans="1:108" s="50" customFormat="1" ht="22.5" customHeight="1" hidden="1">
      <c r="A462" s="68" t="s">
        <v>40</v>
      </c>
      <c r="B462" s="182"/>
      <c r="C462" s="182"/>
      <c r="D462" s="67">
        <f>1894300-400000-326100</f>
        <v>1168200</v>
      </c>
      <c r="E462" s="67"/>
      <c r="F462" s="67">
        <f>D462</f>
        <v>1168200</v>
      </c>
      <c r="G462" s="67">
        <f>2007900-400000</f>
        <v>1607900</v>
      </c>
      <c r="H462" s="67"/>
      <c r="I462" s="67"/>
      <c r="J462" s="67">
        <f>G462</f>
        <v>1607900</v>
      </c>
      <c r="K462" s="67">
        <f>(K464*K466)</f>
        <v>0</v>
      </c>
      <c r="L462" s="67">
        <f>(L464*L466)</f>
        <v>0</v>
      </c>
      <c r="M462" s="67">
        <f>(M464*M466)</f>
        <v>0</v>
      </c>
      <c r="N462" s="67">
        <f>2108300-400000</f>
        <v>1708300</v>
      </c>
      <c r="O462" s="67"/>
      <c r="P462" s="67">
        <f>N462</f>
        <v>1708300</v>
      </c>
      <c r="CY462" s="51"/>
      <c r="CZ462" s="51"/>
      <c r="DA462" s="51"/>
      <c r="DB462" s="51"/>
      <c r="DC462" s="51"/>
      <c r="DD462" s="51"/>
    </row>
    <row r="463" spans="1:108" s="4" customFormat="1" ht="12.75" hidden="1">
      <c r="A463" s="133" t="s">
        <v>184</v>
      </c>
      <c r="B463" s="164"/>
      <c r="C463" s="164"/>
      <c r="D463" s="131"/>
      <c r="E463" s="131"/>
      <c r="F463" s="131"/>
      <c r="G463" s="131"/>
      <c r="H463" s="131"/>
      <c r="I463" s="131"/>
      <c r="J463" s="131"/>
      <c r="K463" s="131"/>
      <c r="L463" s="131"/>
      <c r="M463" s="131"/>
      <c r="N463" s="131"/>
      <c r="O463" s="131"/>
      <c r="P463" s="131"/>
      <c r="CY463" s="13"/>
      <c r="CZ463" s="13"/>
      <c r="DA463" s="13"/>
      <c r="DB463" s="13"/>
      <c r="DC463" s="13"/>
      <c r="DD463" s="13"/>
    </row>
    <row r="464" spans="1:108" s="4" customFormat="1" ht="29.25" customHeight="1" hidden="1">
      <c r="A464" s="134" t="s">
        <v>294</v>
      </c>
      <c r="B464" s="164"/>
      <c r="C464" s="164"/>
      <c r="D464" s="131">
        <v>750</v>
      </c>
      <c r="E464" s="131"/>
      <c r="F464" s="131">
        <f>D464</f>
        <v>750</v>
      </c>
      <c r="G464" s="131">
        <v>700</v>
      </c>
      <c r="H464" s="131"/>
      <c r="I464" s="131"/>
      <c r="J464" s="131">
        <f>G464</f>
        <v>700</v>
      </c>
      <c r="K464" s="131"/>
      <c r="L464" s="131"/>
      <c r="M464" s="131"/>
      <c r="N464" s="131">
        <v>650</v>
      </c>
      <c r="O464" s="131"/>
      <c r="P464" s="131">
        <f>N464</f>
        <v>650</v>
      </c>
      <c r="CY464" s="13"/>
      <c r="CZ464" s="13"/>
      <c r="DA464" s="13"/>
      <c r="DB464" s="13"/>
      <c r="DC464" s="13"/>
      <c r="DD464" s="13"/>
    </row>
    <row r="465" spans="1:108" s="4" customFormat="1" ht="12.75" hidden="1">
      <c r="A465" s="133" t="s">
        <v>186</v>
      </c>
      <c r="B465" s="164"/>
      <c r="C465" s="164"/>
      <c r="D465" s="131"/>
      <c r="E465" s="131"/>
      <c r="F465" s="131"/>
      <c r="G465" s="131"/>
      <c r="H465" s="131"/>
      <c r="I465" s="131"/>
      <c r="J465" s="131"/>
      <c r="K465" s="131"/>
      <c r="L465" s="131"/>
      <c r="M465" s="131"/>
      <c r="N465" s="131"/>
      <c r="O465" s="131"/>
      <c r="P465" s="131"/>
      <c r="CY465" s="13"/>
      <c r="CZ465" s="13"/>
      <c r="DA465" s="13"/>
      <c r="DB465" s="13"/>
      <c r="DC465" s="13"/>
      <c r="DD465" s="13"/>
    </row>
    <row r="466" spans="1:108" s="4" customFormat="1" ht="22.5" customHeight="1" hidden="1">
      <c r="A466" s="134" t="s">
        <v>295</v>
      </c>
      <c r="B466" s="164"/>
      <c r="C466" s="164"/>
      <c r="D466" s="131">
        <f>D462/D464</f>
        <v>1557.6</v>
      </c>
      <c r="E466" s="131"/>
      <c r="F466" s="131">
        <f>D466</f>
        <v>1557.6</v>
      </c>
      <c r="G466" s="131">
        <f>G462/G464</f>
        <v>2297</v>
      </c>
      <c r="H466" s="131"/>
      <c r="I466" s="131"/>
      <c r="J466" s="131">
        <f>G466</f>
        <v>2297</v>
      </c>
      <c r="K466" s="131"/>
      <c r="L466" s="131"/>
      <c r="M466" s="131"/>
      <c r="N466" s="131">
        <f>N462/N464</f>
        <v>2628.153846153846</v>
      </c>
      <c r="O466" s="131"/>
      <c r="P466" s="131">
        <f>N466</f>
        <v>2628.153846153846</v>
      </c>
      <c r="CY466" s="13"/>
      <c r="CZ466" s="13"/>
      <c r="DA466" s="13"/>
      <c r="DB466" s="13"/>
      <c r="DC466" s="13"/>
      <c r="DD466" s="13"/>
    </row>
    <row r="467" spans="1:108" s="4" customFormat="1" ht="12.75" hidden="1">
      <c r="A467" s="133" t="s">
        <v>185</v>
      </c>
      <c r="B467" s="164"/>
      <c r="C467" s="164"/>
      <c r="D467" s="131"/>
      <c r="E467" s="131"/>
      <c r="F467" s="131"/>
      <c r="G467" s="131"/>
      <c r="H467" s="131"/>
      <c r="I467" s="131"/>
      <c r="J467" s="131"/>
      <c r="K467" s="131"/>
      <c r="L467" s="131"/>
      <c r="M467" s="131"/>
      <c r="N467" s="131"/>
      <c r="O467" s="131"/>
      <c r="P467" s="131"/>
      <c r="CY467" s="13"/>
      <c r="CZ467" s="13"/>
      <c r="DA467" s="13"/>
      <c r="DB467" s="13"/>
      <c r="DC467" s="13"/>
      <c r="DD467" s="13"/>
    </row>
    <row r="468" spans="1:108" s="4" customFormat="1" ht="24" customHeight="1" hidden="1">
      <c r="A468" s="134" t="s">
        <v>270</v>
      </c>
      <c r="B468" s="164"/>
      <c r="C468" s="164"/>
      <c r="D468" s="131"/>
      <c r="E468" s="131"/>
      <c r="F468" s="131"/>
      <c r="G468" s="131">
        <f>G464/D464*100</f>
        <v>93.33333333333333</v>
      </c>
      <c r="H468" s="131"/>
      <c r="I468" s="131"/>
      <c r="J468" s="131">
        <f>G468</f>
        <v>93.33333333333333</v>
      </c>
      <c r="K468" s="131"/>
      <c r="L468" s="131"/>
      <c r="M468" s="131"/>
      <c r="N468" s="131">
        <f>N464/G464*100</f>
        <v>92.85714285714286</v>
      </c>
      <c r="O468" s="131"/>
      <c r="P468" s="131">
        <f>N468</f>
        <v>92.85714285714286</v>
      </c>
      <c r="CY468" s="13"/>
      <c r="CZ468" s="13"/>
      <c r="DA468" s="13"/>
      <c r="DB468" s="13"/>
      <c r="DC468" s="13"/>
      <c r="DD468" s="13"/>
    </row>
    <row r="469" spans="1:108" s="4" customFormat="1" ht="31.5" customHeight="1" hidden="1">
      <c r="A469" s="134" t="s">
        <v>271</v>
      </c>
      <c r="B469" s="164"/>
      <c r="C469" s="164"/>
      <c r="D469" s="131"/>
      <c r="E469" s="131"/>
      <c r="F469" s="131"/>
      <c r="G469" s="131">
        <f>G466/D466*100</f>
        <v>147.47046738572163</v>
      </c>
      <c r="H469" s="131"/>
      <c r="I469" s="131"/>
      <c r="J469" s="131">
        <f>G469</f>
        <v>147.47046738572163</v>
      </c>
      <c r="K469" s="131"/>
      <c r="L469" s="131"/>
      <c r="M469" s="131"/>
      <c r="N469" s="131">
        <f>N466/G466*100</f>
        <v>114.41679782994541</v>
      </c>
      <c r="O469" s="131"/>
      <c r="P469" s="131">
        <f>N469</f>
        <v>114.41679782994541</v>
      </c>
      <c r="CY469" s="13"/>
      <c r="CZ469" s="13"/>
      <c r="DA469" s="13"/>
      <c r="DB469" s="13"/>
      <c r="DC469" s="13"/>
      <c r="DD469" s="13"/>
    </row>
    <row r="470" spans="1:108" s="70" customFormat="1" ht="36" customHeight="1" hidden="1">
      <c r="A470" s="68" t="s">
        <v>41</v>
      </c>
      <c r="B470" s="69"/>
      <c r="C470" s="69"/>
      <c r="D470" s="67"/>
      <c r="E470" s="67">
        <f>21112400-6000000-6000000-8012400</f>
        <v>1100000</v>
      </c>
      <c r="F470" s="67">
        <f>E470</f>
        <v>1100000</v>
      </c>
      <c r="G470" s="67">
        <f>G472*G474</f>
        <v>0</v>
      </c>
      <c r="H470" s="67">
        <f>22379100-6000000</f>
        <v>16379100</v>
      </c>
      <c r="I470" s="67">
        <f>I472*I474</f>
        <v>0</v>
      </c>
      <c r="J470" s="67">
        <f>G470+H470</f>
        <v>16379100</v>
      </c>
      <c r="K470" s="67">
        <f>K472*K474</f>
        <v>0</v>
      </c>
      <c r="L470" s="67">
        <f>L472*L474</f>
        <v>0</v>
      </c>
      <c r="M470" s="67">
        <f>M472*M474</f>
        <v>0</v>
      </c>
      <c r="N470" s="67">
        <f>N472*N474</f>
        <v>0</v>
      </c>
      <c r="O470" s="67">
        <f>23498000-6000000</f>
        <v>17498000</v>
      </c>
      <c r="P470" s="67">
        <f>N470+O470</f>
        <v>17498000</v>
      </c>
      <c r="CY470" s="71"/>
      <c r="CZ470" s="71"/>
      <c r="DA470" s="71"/>
      <c r="DB470" s="71"/>
      <c r="DC470" s="71"/>
      <c r="DD470" s="71"/>
    </row>
    <row r="471" spans="1:108" s="4" customFormat="1" ht="12.75" hidden="1">
      <c r="A471" s="133" t="s">
        <v>184</v>
      </c>
      <c r="B471" s="8"/>
      <c r="C471" s="8"/>
      <c r="D471" s="9"/>
      <c r="E471" s="9"/>
      <c r="F471" s="131"/>
      <c r="G471" s="9"/>
      <c r="H471" s="9"/>
      <c r="I471" s="9"/>
      <c r="J471" s="131"/>
      <c r="K471" s="131"/>
      <c r="L471" s="131"/>
      <c r="M471" s="131"/>
      <c r="N471" s="9"/>
      <c r="O471" s="9"/>
      <c r="P471" s="131"/>
      <c r="CY471" s="13"/>
      <c r="CZ471" s="13"/>
      <c r="DA471" s="13"/>
      <c r="DB471" s="13"/>
      <c r="DC471" s="13"/>
      <c r="DD471" s="13"/>
    </row>
    <row r="472" spans="1:108" s="4" customFormat="1" ht="21.75" customHeight="1" hidden="1">
      <c r="A472" s="134" t="s">
        <v>239</v>
      </c>
      <c r="B472" s="164"/>
      <c r="C472" s="164"/>
      <c r="D472" s="131"/>
      <c r="E472" s="131">
        <v>5</v>
      </c>
      <c r="F472" s="131">
        <f>E472</f>
        <v>5</v>
      </c>
      <c r="G472" s="131"/>
      <c r="H472" s="131">
        <v>16</v>
      </c>
      <c r="I472" s="131"/>
      <c r="J472" s="131">
        <f>G472+H472</f>
        <v>16</v>
      </c>
      <c r="K472" s="131"/>
      <c r="L472" s="131"/>
      <c r="M472" s="131"/>
      <c r="N472" s="131"/>
      <c r="O472" s="131">
        <v>15</v>
      </c>
      <c r="P472" s="131">
        <f>O472</f>
        <v>15</v>
      </c>
      <c r="CY472" s="13"/>
      <c r="CZ472" s="13"/>
      <c r="DA472" s="13"/>
      <c r="DB472" s="13"/>
      <c r="DC472" s="13"/>
      <c r="DD472" s="13"/>
    </row>
    <row r="473" spans="1:108" s="4" customFormat="1" ht="12.75" hidden="1">
      <c r="A473" s="133" t="s">
        <v>186</v>
      </c>
      <c r="B473" s="8"/>
      <c r="C473" s="8"/>
      <c r="D473" s="9"/>
      <c r="E473" s="9"/>
      <c r="F473" s="131"/>
      <c r="G473" s="9"/>
      <c r="H473" s="9"/>
      <c r="I473" s="9"/>
      <c r="J473" s="131"/>
      <c r="K473" s="131"/>
      <c r="L473" s="131"/>
      <c r="M473" s="131"/>
      <c r="N473" s="9"/>
      <c r="O473" s="9"/>
      <c r="P473" s="131"/>
      <c r="CY473" s="13"/>
      <c r="CZ473" s="13"/>
      <c r="DA473" s="13"/>
      <c r="DB473" s="13"/>
      <c r="DC473" s="13"/>
      <c r="DD473" s="13"/>
    </row>
    <row r="474" spans="1:108" s="4" customFormat="1" ht="23.25" customHeight="1" hidden="1">
      <c r="A474" s="134" t="s">
        <v>240</v>
      </c>
      <c r="B474" s="164"/>
      <c r="C474" s="164"/>
      <c r="D474" s="131"/>
      <c r="E474" s="131">
        <f>E470/E472</f>
        <v>220000</v>
      </c>
      <c r="F474" s="131">
        <f>E474</f>
        <v>220000</v>
      </c>
      <c r="G474" s="131"/>
      <c r="H474" s="131">
        <f>H470/H472</f>
        <v>1023693.75</v>
      </c>
      <c r="I474" s="131"/>
      <c r="J474" s="131">
        <f>G474+H474</f>
        <v>1023693.75</v>
      </c>
      <c r="K474" s="131"/>
      <c r="L474" s="131"/>
      <c r="M474" s="131"/>
      <c r="N474" s="131"/>
      <c r="O474" s="131">
        <f>O470/O472</f>
        <v>1166533.3333333333</v>
      </c>
      <c r="P474" s="131">
        <f>O474</f>
        <v>1166533.3333333333</v>
      </c>
      <c r="CY474" s="13"/>
      <c r="CZ474" s="13"/>
      <c r="DA474" s="13"/>
      <c r="DB474" s="13"/>
      <c r="DC474" s="13"/>
      <c r="DD474" s="13"/>
    </row>
    <row r="475" spans="1:108" s="4" customFormat="1" ht="12.75" hidden="1">
      <c r="A475" s="133" t="s">
        <v>185</v>
      </c>
      <c r="B475" s="164"/>
      <c r="C475" s="164"/>
      <c r="D475" s="131"/>
      <c r="E475" s="131"/>
      <c r="F475" s="131"/>
      <c r="G475" s="131"/>
      <c r="H475" s="131"/>
      <c r="I475" s="131"/>
      <c r="J475" s="131"/>
      <c r="K475" s="131"/>
      <c r="L475" s="131"/>
      <c r="M475" s="131"/>
      <c r="N475" s="131"/>
      <c r="O475" s="131"/>
      <c r="P475" s="131"/>
      <c r="CY475" s="13"/>
      <c r="CZ475" s="13"/>
      <c r="DA475" s="13"/>
      <c r="DB475" s="13"/>
      <c r="DC475" s="13"/>
      <c r="DD475" s="13"/>
    </row>
    <row r="476" spans="1:108" s="4" customFormat="1" ht="35.25" customHeight="1" hidden="1">
      <c r="A476" s="134" t="s">
        <v>241</v>
      </c>
      <c r="B476" s="164"/>
      <c r="C476" s="164"/>
      <c r="D476" s="131"/>
      <c r="E476" s="131">
        <v>0</v>
      </c>
      <c r="F476" s="131">
        <v>0</v>
      </c>
      <c r="G476" s="131"/>
      <c r="H476" s="131">
        <f>H474/E474*100</f>
        <v>465.31534090909093</v>
      </c>
      <c r="I476" s="131"/>
      <c r="J476" s="131">
        <f>G476+H476</f>
        <v>465.31534090909093</v>
      </c>
      <c r="K476" s="131"/>
      <c r="L476" s="131"/>
      <c r="M476" s="131"/>
      <c r="N476" s="131"/>
      <c r="O476" s="131">
        <f>O474/H474*100</f>
        <v>113.95335112022842</v>
      </c>
      <c r="P476" s="131">
        <f>O476</f>
        <v>113.95335112022842</v>
      </c>
      <c r="CY476" s="13"/>
      <c r="CZ476" s="13"/>
      <c r="DA476" s="13"/>
      <c r="DB476" s="13"/>
      <c r="DC476" s="13"/>
      <c r="DD476" s="13"/>
    </row>
    <row r="477" spans="1:102" s="76" customFormat="1" ht="30" customHeight="1" hidden="1">
      <c r="A477" s="73" t="s">
        <v>388</v>
      </c>
      <c r="B477" s="73"/>
      <c r="C477" s="73"/>
      <c r="D477" s="74">
        <f>D479</f>
        <v>0</v>
      </c>
      <c r="E477" s="74">
        <f aca="true" t="shared" si="31" ref="E477:P477">E479</f>
        <v>2060000</v>
      </c>
      <c r="F477" s="74">
        <f t="shared" si="31"/>
        <v>2060000</v>
      </c>
      <c r="G477" s="74">
        <f t="shared" si="31"/>
        <v>0</v>
      </c>
      <c r="H477" s="74">
        <f t="shared" si="31"/>
        <v>20850600</v>
      </c>
      <c r="I477" s="74">
        <f t="shared" si="31"/>
        <v>0</v>
      </c>
      <c r="J477" s="74">
        <f t="shared" si="31"/>
        <v>20850600</v>
      </c>
      <c r="K477" s="74">
        <f t="shared" si="31"/>
        <v>75446.60846035449</v>
      </c>
      <c r="L477" s="74">
        <f t="shared" si="31"/>
        <v>1</v>
      </c>
      <c r="M477" s="74">
        <f t="shared" si="31"/>
        <v>1</v>
      </c>
      <c r="N477" s="74">
        <f t="shared" si="31"/>
        <v>0</v>
      </c>
      <c r="O477" s="74">
        <f t="shared" si="31"/>
        <v>21893300</v>
      </c>
      <c r="P477" s="74">
        <f t="shared" si="31"/>
        <v>21893300</v>
      </c>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c r="AY477" s="75"/>
      <c r="AZ477" s="75"/>
      <c r="BA477" s="75"/>
      <c r="BB477" s="75"/>
      <c r="BC477" s="75"/>
      <c r="BD477" s="75"/>
      <c r="BE477" s="75"/>
      <c r="BF477" s="75"/>
      <c r="BG477" s="75"/>
      <c r="BH477" s="75"/>
      <c r="BI477" s="75"/>
      <c r="BJ477" s="75"/>
      <c r="BK477" s="75"/>
      <c r="BL477" s="75"/>
      <c r="BM477" s="75"/>
      <c r="BN477" s="75"/>
      <c r="BO477" s="75"/>
      <c r="BP477" s="75"/>
      <c r="BQ477" s="75"/>
      <c r="BR477" s="75"/>
      <c r="BS477" s="75"/>
      <c r="BT477" s="75"/>
      <c r="BU477" s="75"/>
      <c r="BV477" s="75"/>
      <c r="BW477" s="75"/>
      <c r="BX477" s="75"/>
      <c r="BY477" s="75"/>
      <c r="BZ477" s="75"/>
      <c r="CA477" s="75"/>
      <c r="CB477" s="75"/>
      <c r="CC477" s="75"/>
      <c r="CD477" s="75"/>
      <c r="CE477" s="75"/>
      <c r="CF477" s="75"/>
      <c r="CG477" s="75"/>
      <c r="CH477" s="75"/>
      <c r="CI477" s="75"/>
      <c r="CJ477" s="75"/>
      <c r="CK477" s="75"/>
      <c r="CL477" s="75"/>
      <c r="CM477" s="75"/>
      <c r="CN477" s="75"/>
      <c r="CO477" s="75"/>
      <c r="CP477" s="75"/>
      <c r="CQ477" s="75"/>
      <c r="CR477" s="75"/>
      <c r="CS477" s="75"/>
      <c r="CT477" s="75"/>
      <c r="CU477" s="75"/>
      <c r="CV477" s="75"/>
      <c r="CW477" s="75"/>
      <c r="CX477" s="75"/>
    </row>
    <row r="478" spans="1:16" ht="42.75" customHeight="1" hidden="1">
      <c r="A478" s="132" t="s">
        <v>389</v>
      </c>
      <c r="B478" s="164"/>
      <c r="C478" s="164"/>
      <c r="D478" s="131"/>
      <c r="E478" s="163"/>
      <c r="F478" s="163"/>
      <c r="G478" s="131"/>
      <c r="H478" s="163"/>
      <c r="I478" s="163"/>
      <c r="J478" s="163"/>
      <c r="K478" s="131" t="e">
        <f>H478/E478*100</f>
        <v>#DIV/0!</v>
      </c>
      <c r="L478" s="163"/>
      <c r="M478" s="163"/>
      <c r="N478" s="131"/>
      <c r="O478" s="163"/>
      <c r="P478" s="163"/>
    </row>
    <row r="479" spans="1:16" ht="23.25" customHeight="1" hidden="1">
      <c r="A479" s="68" t="s">
        <v>62</v>
      </c>
      <c r="B479" s="164"/>
      <c r="C479" s="164"/>
      <c r="D479" s="67">
        <f>D480+D489</f>
        <v>0</v>
      </c>
      <c r="E479" s="67">
        <f aca="true" t="shared" si="32" ref="E479:O479">E480+E489</f>
        <v>2060000</v>
      </c>
      <c r="F479" s="67">
        <f>D479+E479</f>
        <v>2060000</v>
      </c>
      <c r="G479" s="67">
        <f t="shared" si="32"/>
        <v>0</v>
      </c>
      <c r="H479" s="67">
        <f>H480+H489</f>
        <v>20850600</v>
      </c>
      <c r="I479" s="67">
        <f t="shared" si="32"/>
        <v>0</v>
      </c>
      <c r="J479" s="67">
        <f>G479+H479</f>
        <v>20850600</v>
      </c>
      <c r="K479" s="67">
        <f t="shared" si="32"/>
        <v>75446.60846035449</v>
      </c>
      <c r="L479" s="67">
        <f t="shared" si="32"/>
        <v>1</v>
      </c>
      <c r="M479" s="67">
        <f t="shared" si="32"/>
        <v>1</v>
      </c>
      <c r="N479" s="67">
        <f t="shared" si="32"/>
        <v>0</v>
      </c>
      <c r="O479" s="67">
        <f t="shared" si="32"/>
        <v>21893300</v>
      </c>
      <c r="P479" s="67">
        <f>N479+O479</f>
        <v>21893300</v>
      </c>
    </row>
    <row r="480" spans="1:102" s="43" customFormat="1" ht="18" customHeight="1" hidden="1">
      <c r="A480" s="137" t="s">
        <v>42</v>
      </c>
      <c r="B480" s="159"/>
      <c r="C480" s="159"/>
      <c r="D480" s="160"/>
      <c r="E480" s="160">
        <f>14335400-14321300+1400000+600000</f>
        <v>2014100</v>
      </c>
      <c r="F480" s="160">
        <f>E480</f>
        <v>2014100</v>
      </c>
      <c r="G480" s="160"/>
      <c r="H480" s="160">
        <v>15195500</v>
      </c>
      <c r="I480" s="160"/>
      <c r="J480" s="160">
        <f>H480</f>
        <v>15195500</v>
      </c>
      <c r="K480" s="160">
        <f>K484*K486</f>
        <v>75445.60846035449</v>
      </c>
      <c r="L480" s="160">
        <f>L484*L486</f>
        <v>0</v>
      </c>
      <c r="M480" s="160">
        <f>M484*M486</f>
        <v>0</v>
      </c>
      <c r="N480" s="160"/>
      <c r="O480" s="160">
        <v>15955300</v>
      </c>
      <c r="P480" s="160">
        <f>N480+O480</f>
        <v>15955300</v>
      </c>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52"/>
      <c r="CD480" s="52"/>
      <c r="CE480" s="52"/>
      <c r="CF480" s="52"/>
      <c r="CG480" s="52"/>
      <c r="CH480" s="52"/>
      <c r="CI480" s="52"/>
      <c r="CJ480" s="52"/>
      <c r="CK480" s="52"/>
      <c r="CL480" s="52"/>
      <c r="CM480" s="52"/>
      <c r="CN480" s="52"/>
      <c r="CO480" s="52"/>
      <c r="CP480" s="52"/>
      <c r="CQ480" s="52"/>
      <c r="CR480" s="52"/>
      <c r="CS480" s="52"/>
      <c r="CT480" s="52"/>
      <c r="CU480" s="52"/>
      <c r="CV480" s="52"/>
      <c r="CW480" s="52"/>
      <c r="CX480" s="52"/>
    </row>
    <row r="481" spans="1:16" ht="13.5" hidden="1">
      <c r="A481" s="133" t="s">
        <v>183</v>
      </c>
      <c r="B481" s="8"/>
      <c r="C481" s="8"/>
      <c r="D481" s="131"/>
      <c r="E481" s="163"/>
      <c r="F481" s="163"/>
      <c r="G481" s="131"/>
      <c r="H481" s="163"/>
      <c r="I481" s="163"/>
      <c r="J481" s="163"/>
      <c r="K481" s="131"/>
      <c r="L481" s="163"/>
      <c r="M481" s="163"/>
      <c r="N481" s="131"/>
      <c r="O481" s="163"/>
      <c r="P481" s="163"/>
    </row>
    <row r="482" spans="1:16" ht="20.25" customHeight="1" hidden="1">
      <c r="A482" s="134" t="s">
        <v>149</v>
      </c>
      <c r="B482" s="164"/>
      <c r="C482" s="164"/>
      <c r="D482" s="131"/>
      <c r="E482" s="161">
        <v>1012</v>
      </c>
      <c r="F482" s="161">
        <f>E482</f>
        <v>1012</v>
      </c>
      <c r="G482" s="161"/>
      <c r="H482" s="161">
        <v>992</v>
      </c>
      <c r="I482" s="161"/>
      <c r="J482" s="161">
        <f>H482</f>
        <v>992</v>
      </c>
      <c r="K482" s="104"/>
      <c r="L482" s="183"/>
      <c r="M482" s="183"/>
      <c r="N482" s="161"/>
      <c r="O482" s="161">
        <v>972</v>
      </c>
      <c r="P482" s="161">
        <f>O482</f>
        <v>972</v>
      </c>
    </row>
    <row r="483" spans="1:16" ht="12.75" hidden="1">
      <c r="A483" s="133" t="s">
        <v>184</v>
      </c>
      <c r="B483" s="8"/>
      <c r="C483" s="8"/>
      <c r="D483" s="131"/>
      <c r="E483" s="9"/>
      <c r="F483" s="9"/>
      <c r="G483" s="131"/>
      <c r="H483" s="9"/>
      <c r="I483" s="9"/>
      <c r="J483" s="9"/>
      <c r="K483" s="131" t="e">
        <f>H483/E483*100</f>
        <v>#DIV/0!</v>
      </c>
      <c r="L483" s="9"/>
      <c r="M483" s="9"/>
      <c r="N483" s="131"/>
      <c r="O483" s="9"/>
      <c r="P483" s="9"/>
    </row>
    <row r="484" spans="1:16" ht="25.5" hidden="1">
      <c r="A484" s="134" t="s">
        <v>148</v>
      </c>
      <c r="B484" s="164"/>
      <c r="C484" s="164"/>
      <c r="D484" s="131"/>
      <c r="E484" s="131">
        <v>2</v>
      </c>
      <c r="F484" s="131">
        <f>E484</f>
        <v>2</v>
      </c>
      <c r="G484" s="131"/>
      <c r="H484" s="131">
        <v>20</v>
      </c>
      <c r="I484" s="131"/>
      <c r="J484" s="131">
        <f>H484</f>
        <v>20</v>
      </c>
      <c r="K484" s="131">
        <f>H484/E484*100</f>
        <v>1000</v>
      </c>
      <c r="L484" s="131"/>
      <c r="M484" s="131"/>
      <c r="N484" s="131"/>
      <c r="O484" s="131">
        <v>20</v>
      </c>
      <c r="P484" s="131">
        <f>O484</f>
        <v>20</v>
      </c>
    </row>
    <row r="485" spans="1:16" ht="12.75" hidden="1">
      <c r="A485" s="133" t="s">
        <v>186</v>
      </c>
      <c r="B485" s="8"/>
      <c r="C485" s="8"/>
      <c r="D485" s="131"/>
      <c r="E485" s="9"/>
      <c r="F485" s="9"/>
      <c r="G485" s="131"/>
      <c r="H485" s="9"/>
      <c r="I485" s="9"/>
      <c r="J485" s="9"/>
      <c r="K485" s="131" t="e">
        <f>H485/E485*100</f>
        <v>#DIV/0!</v>
      </c>
      <c r="L485" s="9"/>
      <c r="M485" s="9"/>
      <c r="N485" s="131"/>
      <c r="O485" s="9"/>
      <c r="P485" s="9"/>
    </row>
    <row r="486" spans="1:16" ht="24" customHeight="1" hidden="1">
      <c r="A486" s="134" t="s">
        <v>243</v>
      </c>
      <c r="B486" s="164"/>
      <c r="C486" s="164"/>
      <c r="D486" s="131"/>
      <c r="E486" s="131">
        <f>E480/E484</f>
        <v>1007050</v>
      </c>
      <c r="F486" s="131">
        <f>E486</f>
        <v>1007050</v>
      </c>
      <c r="G486" s="131"/>
      <c r="H486" s="131">
        <f>H480/H484</f>
        <v>759775</v>
      </c>
      <c r="I486" s="131"/>
      <c r="J486" s="131">
        <f>H486</f>
        <v>759775</v>
      </c>
      <c r="K486" s="131">
        <f>H486/E486*100</f>
        <v>75.44560846035449</v>
      </c>
      <c r="L486" s="131"/>
      <c r="M486" s="131"/>
      <c r="N486" s="131"/>
      <c r="O486" s="131">
        <f>O480/O484</f>
        <v>797765</v>
      </c>
      <c r="P486" s="131">
        <f>O486</f>
        <v>797765</v>
      </c>
    </row>
    <row r="487" spans="1:16" ht="12.75" hidden="1">
      <c r="A487" s="133" t="s">
        <v>185</v>
      </c>
      <c r="B487" s="8"/>
      <c r="C487" s="8"/>
      <c r="D487" s="131"/>
      <c r="E487" s="131"/>
      <c r="F487" s="131"/>
      <c r="G487" s="131"/>
      <c r="H487" s="131"/>
      <c r="I487" s="131"/>
      <c r="J487" s="131"/>
      <c r="K487" s="131"/>
      <c r="L487" s="131"/>
      <c r="M487" s="131"/>
      <c r="N487" s="131"/>
      <c r="O487" s="131"/>
      <c r="P487" s="131"/>
    </row>
    <row r="488" spans="1:16" ht="36" customHeight="1" hidden="1">
      <c r="A488" s="134" t="s">
        <v>244</v>
      </c>
      <c r="B488" s="164"/>
      <c r="C488" s="164"/>
      <c r="D488" s="131"/>
      <c r="E488" s="131">
        <f>E484/E482*100</f>
        <v>0.1976284584980237</v>
      </c>
      <c r="F488" s="131">
        <f>D488+E488</f>
        <v>0.1976284584980237</v>
      </c>
      <c r="G488" s="131"/>
      <c r="H488" s="131">
        <f>H484/H482*100</f>
        <v>2.0161290322580645</v>
      </c>
      <c r="I488" s="131"/>
      <c r="J488" s="131">
        <f>J484/J482*100</f>
        <v>2.0161290322580645</v>
      </c>
      <c r="K488" s="131" t="e">
        <f>K484/K482*100</f>
        <v>#DIV/0!</v>
      </c>
      <c r="L488" s="131" t="e">
        <f>L484/L482*100</f>
        <v>#DIV/0!</v>
      </c>
      <c r="M488" s="131" t="e">
        <f>M484/M482*100</f>
        <v>#DIV/0!</v>
      </c>
      <c r="N488" s="131"/>
      <c r="O488" s="131">
        <f>O484/O482*100</f>
        <v>2.05761316872428</v>
      </c>
      <c r="P488" s="131">
        <f>P484/P482*100</f>
        <v>2.05761316872428</v>
      </c>
    </row>
    <row r="489" spans="1:102" s="43" customFormat="1" ht="19.5" customHeight="1" hidden="1">
      <c r="A489" s="137" t="s">
        <v>43</v>
      </c>
      <c r="B489" s="159"/>
      <c r="C489" s="159"/>
      <c r="D489" s="160"/>
      <c r="E489" s="160">
        <f>E493*E495</f>
        <v>45900</v>
      </c>
      <c r="F489" s="160">
        <f>F493*F495</f>
        <v>45900</v>
      </c>
      <c r="G489" s="160"/>
      <c r="H489" s="160">
        <f>H493*H495</f>
        <v>5655100</v>
      </c>
      <c r="I489" s="160"/>
      <c r="J489" s="160">
        <f>H489</f>
        <v>5655100</v>
      </c>
      <c r="K489" s="160">
        <f>K493*K495+1</f>
        <v>1</v>
      </c>
      <c r="L489" s="160">
        <f>L493*L495+1</f>
        <v>1</v>
      </c>
      <c r="M489" s="160">
        <f>M493*M495+1</f>
        <v>1</v>
      </c>
      <c r="N489" s="160"/>
      <c r="O489" s="160">
        <f>O491</f>
        <v>5938000</v>
      </c>
      <c r="P489" s="160">
        <f>O489</f>
        <v>5938000</v>
      </c>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52"/>
      <c r="CD489" s="52"/>
      <c r="CE489" s="52"/>
      <c r="CF489" s="52"/>
      <c r="CG489" s="52"/>
      <c r="CH489" s="52"/>
      <c r="CI489" s="52"/>
      <c r="CJ489" s="52"/>
      <c r="CK489" s="52"/>
      <c r="CL489" s="52"/>
      <c r="CM489" s="52"/>
      <c r="CN489" s="52"/>
      <c r="CO489" s="52"/>
      <c r="CP489" s="52"/>
      <c r="CQ489" s="52"/>
      <c r="CR489" s="52"/>
      <c r="CS489" s="52"/>
      <c r="CT489" s="52"/>
      <c r="CU489" s="52"/>
      <c r="CV489" s="52"/>
      <c r="CW489" s="52"/>
      <c r="CX489" s="52"/>
    </row>
    <row r="490" spans="1:102" s="37" customFormat="1" ht="12.75" hidden="1">
      <c r="A490" s="139" t="s">
        <v>183</v>
      </c>
      <c r="B490" s="162"/>
      <c r="C490" s="162"/>
      <c r="D490" s="161"/>
      <c r="E490" s="161"/>
      <c r="F490" s="161"/>
      <c r="G490" s="161"/>
      <c r="H490" s="161"/>
      <c r="I490" s="161"/>
      <c r="J490" s="161"/>
      <c r="K490" s="161"/>
      <c r="L490" s="161"/>
      <c r="M490" s="161"/>
      <c r="N490" s="161"/>
      <c r="O490" s="161"/>
      <c r="P490" s="161"/>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row>
    <row r="491" spans="1:102" s="37" customFormat="1" ht="15.75" customHeight="1" hidden="1">
      <c r="A491" s="138" t="s">
        <v>390</v>
      </c>
      <c r="B491" s="162"/>
      <c r="C491" s="162"/>
      <c r="D491" s="161"/>
      <c r="E491" s="161">
        <f>5335000-5289100</f>
        <v>45900</v>
      </c>
      <c r="F491" s="161">
        <f>E491</f>
        <v>45900</v>
      </c>
      <c r="G491" s="161"/>
      <c r="H491" s="161">
        <v>5655100</v>
      </c>
      <c r="I491" s="161"/>
      <c r="J491" s="161">
        <f>H491</f>
        <v>5655100</v>
      </c>
      <c r="K491" s="161"/>
      <c r="L491" s="161"/>
      <c r="M491" s="161"/>
      <c r="N491" s="161"/>
      <c r="O491" s="161">
        <v>5938000</v>
      </c>
      <c r="P491" s="161">
        <f>O491</f>
        <v>5938000</v>
      </c>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row>
    <row r="492" spans="1:102" s="37" customFormat="1" ht="12.75" hidden="1">
      <c r="A492" s="139" t="s">
        <v>184</v>
      </c>
      <c r="B492" s="162"/>
      <c r="C492" s="162"/>
      <c r="D492" s="161"/>
      <c r="E492" s="161"/>
      <c r="F492" s="161"/>
      <c r="G492" s="161"/>
      <c r="H492" s="161"/>
      <c r="I492" s="161"/>
      <c r="J492" s="161"/>
      <c r="K492" s="161"/>
      <c r="L492" s="161"/>
      <c r="M492" s="161"/>
      <c r="N492" s="161"/>
      <c r="O492" s="161"/>
      <c r="P492" s="161"/>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row>
    <row r="493" spans="1:102" s="37" customFormat="1" ht="25.5" hidden="1">
      <c r="A493" s="138" t="s">
        <v>280</v>
      </c>
      <c r="B493" s="162"/>
      <c r="C493" s="162"/>
      <c r="D493" s="161"/>
      <c r="E493" s="161">
        <v>1</v>
      </c>
      <c r="F493" s="161">
        <f>E493</f>
        <v>1</v>
      </c>
      <c r="G493" s="161"/>
      <c r="H493" s="161">
        <f>H491/H495</f>
        <v>20</v>
      </c>
      <c r="I493" s="161"/>
      <c r="J493" s="161">
        <f>H493</f>
        <v>20</v>
      </c>
      <c r="K493" s="161"/>
      <c r="L493" s="161"/>
      <c r="M493" s="161"/>
      <c r="N493" s="161"/>
      <c r="O493" s="161">
        <f>O491/O495</f>
        <v>20</v>
      </c>
      <c r="P493" s="161">
        <f>O493</f>
        <v>20</v>
      </c>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c r="BV493" s="36"/>
      <c r="BW493" s="36"/>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row>
    <row r="494" spans="1:102" s="37" customFormat="1" ht="12.75" hidden="1">
      <c r="A494" s="139" t="s">
        <v>186</v>
      </c>
      <c r="B494" s="162"/>
      <c r="C494" s="162"/>
      <c r="D494" s="161"/>
      <c r="E494" s="161"/>
      <c r="F494" s="161"/>
      <c r="G494" s="161"/>
      <c r="H494" s="161"/>
      <c r="I494" s="161"/>
      <c r="J494" s="161"/>
      <c r="K494" s="161"/>
      <c r="L494" s="161"/>
      <c r="M494" s="161"/>
      <c r="N494" s="161"/>
      <c r="O494" s="161"/>
      <c r="P494" s="161"/>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V494" s="36"/>
      <c r="BW494" s="36"/>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row>
    <row r="495" spans="1:102" s="37" customFormat="1" ht="32.25" customHeight="1" hidden="1">
      <c r="A495" s="138" t="s">
        <v>243</v>
      </c>
      <c r="B495" s="162"/>
      <c r="C495" s="162"/>
      <c r="D495" s="161"/>
      <c r="E495" s="161">
        <f>E491/E493</f>
        <v>45900</v>
      </c>
      <c r="F495" s="161">
        <f>E495</f>
        <v>45900</v>
      </c>
      <c r="G495" s="161"/>
      <c r="H495" s="161">
        <v>282755</v>
      </c>
      <c r="I495" s="161"/>
      <c r="J495" s="161">
        <f>H495</f>
        <v>282755</v>
      </c>
      <c r="K495" s="161"/>
      <c r="L495" s="161"/>
      <c r="M495" s="161"/>
      <c r="N495" s="161"/>
      <c r="O495" s="161">
        <v>296900</v>
      </c>
      <c r="P495" s="161">
        <f>O495</f>
        <v>296900</v>
      </c>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c r="BU495" s="36"/>
      <c r="BV495" s="36"/>
      <c r="BW495" s="36"/>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row>
    <row r="496" spans="1:102" s="76" customFormat="1" ht="33" customHeight="1" hidden="1">
      <c r="A496" s="73" t="s">
        <v>531</v>
      </c>
      <c r="B496" s="73"/>
      <c r="C496" s="73"/>
      <c r="D496" s="74">
        <f>D497+D498</f>
        <v>6789144</v>
      </c>
      <c r="E496" s="74">
        <f aca="true" t="shared" si="33" ref="E496:P496">E497+E498</f>
        <v>2416370</v>
      </c>
      <c r="F496" s="74">
        <f t="shared" si="33"/>
        <v>9205514</v>
      </c>
      <c r="G496" s="74">
        <f>G497+G498</f>
        <v>18201732</v>
      </c>
      <c r="H496" s="74">
        <f t="shared" si="33"/>
        <v>19152640</v>
      </c>
      <c r="I496" s="74">
        <f t="shared" si="33"/>
        <v>0</v>
      </c>
      <c r="J496" s="74">
        <f t="shared" si="33"/>
        <v>37354372</v>
      </c>
      <c r="K496" s="74" t="e">
        <f t="shared" si="33"/>
        <v>#REF!</v>
      </c>
      <c r="L496" s="74" t="e">
        <f t="shared" si="33"/>
        <v>#REF!</v>
      </c>
      <c r="M496" s="74" t="e">
        <f t="shared" si="33"/>
        <v>#REF!</v>
      </c>
      <c r="N496" s="74">
        <f t="shared" si="33"/>
        <v>8188460</v>
      </c>
      <c r="O496" s="74">
        <f t="shared" si="33"/>
        <v>733240</v>
      </c>
      <c r="P496" s="74">
        <f t="shared" si="33"/>
        <v>8921700</v>
      </c>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c r="AY496" s="75"/>
      <c r="AZ496" s="75"/>
      <c r="BA496" s="75"/>
      <c r="BB496" s="75"/>
      <c r="BC496" s="75"/>
      <c r="BD496" s="75"/>
      <c r="BE496" s="75"/>
      <c r="BF496" s="75"/>
      <c r="BG496" s="75"/>
      <c r="BH496" s="75"/>
      <c r="BI496" s="75"/>
      <c r="BJ496" s="75"/>
      <c r="BK496" s="75"/>
      <c r="BL496" s="75"/>
      <c r="BM496" s="75"/>
      <c r="BN496" s="75"/>
      <c r="BO496" s="75"/>
      <c r="BP496" s="75"/>
      <c r="BQ496" s="75"/>
      <c r="BR496" s="75"/>
      <c r="BS496" s="75"/>
      <c r="BT496" s="75"/>
      <c r="BU496" s="75"/>
      <c r="BV496" s="75"/>
      <c r="BW496" s="75"/>
      <c r="BX496" s="75"/>
      <c r="BY496" s="75"/>
      <c r="BZ496" s="75"/>
      <c r="CA496" s="75"/>
      <c r="CB496" s="75"/>
      <c r="CC496" s="75"/>
      <c r="CD496" s="75"/>
      <c r="CE496" s="75"/>
      <c r="CF496" s="75"/>
      <c r="CG496" s="75"/>
      <c r="CH496" s="75"/>
      <c r="CI496" s="75"/>
      <c r="CJ496" s="75"/>
      <c r="CK496" s="75"/>
      <c r="CL496" s="75"/>
      <c r="CM496" s="75"/>
      <c r="CN496" s="75"/>
      <c r="CO496" s="75"/>
      <c r="CP496" s="75"/>
      <c r="CQ496" s="75"/>
      <c r="CR496" s="75"/>
      <c r="CS496" s="75"/>
      <c r="CT496" s="75"/>
      <c r="CU496" s="75"/>
      <c r="CV496" s="75"/>
      <c r="CW496" s="75"/>
      <c r="CX496" s="75"/>
    </row>
    <row r="497" spans="1:16" ht="13.5" customHeight="1" hidden="1">
      <c r="A497" s="8" t="s">
        <v>211</v>
      </c>
      <c r="B497" s="8"/>
      <c r="C497" s="8"/>
      <c r="D497" s="9">
        <f>D500+D507</f>
        <v>6470414</v>
      </c>
      <c r="E497" s="9">
        <f aca="true" t="shared" si="34" ref="E497:O497">E500+E507</f>
        <v>1780000</v>
      </c>
      <c r="F497" s="9">
        <f>D497+E497</f>
        <v>8250414</v>
      </c>
      <c r="G497" s="9">
        <f>G500+G507</f>
        <v>17873280</v>
      </c>
      <c r="H497" s="9">
        <f t="shared" si="34"/>
        <v>18476260</v>
      </c>
      <c r="I497" s="9">
        <f t="shared" si="34"/>
        <v>0</v>
      </c>
      <c r="J497" s="9">
        <f>G497+H497</f>
        <v>36349540</v>
      </c>
      <c r="K497" s="9" t="e">
        <f t="shared" si="34"/>
        <v>#REF!</v>
      </c>
      <c r="L497" s="9" t="e">
        <f t="shared" si="34"/>
        <v>#REF!</v>
      </c>
      <c r="M497" s="9" t="e">
        <f t="shared" si="34"/>
        <v>#REF!</v>
      </c>
      <c r="N497" s="9">
        <f t="shared" si="34"/>
        <v>7844100</v>
      </c>
      <c r="O497" s="9">
        <f t="shared" si="34"/>
        <v>0</v>
      </c>
      <c r="P497" s="9">
        <f>N497+O497</f>
        <v>7844100</v>
      </c>
    </row>
    <row r="498" spans="1:102" s="37" customFormat="1" ht="12.75" hidden="1">
      <c r="A498" s="158" t="s">
        <v>553</v>
      </c>
      <c r="B498" s="158"/>
      <c r="C498" s="158"/>
      <c r="D498" s="168">
        <f>D655</f>
        <v>318730</v>
      </c>
      <c r="E498" s="168">
        <f>E655</f>
        <v>636370</v>
      </c>
      <c r="F498" s="168">
        <f aca="true" t="shared" si="35" ref="F498:P498">F655</f>
        <v>955100</v>
      </c>
      <c r="G498" s="168">
        <f t="shared" si="35"/>
        <v>328452</v>
      </c>
      <c r="H498" s="168">
        <f t="shared" si="35"/>
        <v>676380</v>
      </c>
      <c r="I498" s="168">
        <f t="shared" si="35"/>
        <v>0</v>
      </c>
      <c r="J498" s="168">
        <f t="shared" si="35"/>
        <v>1004832</v>
      </c>
      <c r="K498" s="168" t="e">
        <f t="shared" si="35"/>
        <v>#REF!</v>
      </c>
      <c r="L498" s="168" t="e">
        <f t="shared" si="35"/>
        <v>#REF!</v>
      </c>
      <c r="M498" s="168" t="e">
        <f t="shared" si="35"/>
        <v>#REF!</v>
      </c>
      <c r="N498" s="168">
        <f t="shared" si="35"/>
        <v>344360</v>
      </c>
      <c r="O498" s="168">
        <f t="shared" si="35"/>
        <v>733240</v>
      </c>
      <c r="P498" s="168">
        <f t="shared" si="35"/>
        <v>1077600</v>
      </c>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c r="BU498" s="36"/>
      <c r="BV498" s="36"/>
      <c r="BW498" s="36"/>
      <c r="BX498" s="36"/>
      <c r="BY498" s="36"/>
      <c r="BZ498" s="36"/>
      <c r="CA498" s="36"/>
      <c r="CB498" s="36"/>
      <c r="CC498" s="36"/>
      <c r="CD498" s="36"/>
      <c r="CE498" s="36"/>
      <c r="CF498" s="36"/>
      <c r="CG498" s="36"/>
      <c r="CH498" s="36"/>
      <c r="CI498" s="36"/>
      <c r="CJ498" s="36"/>
      <c r="CK498" s="36"/>
      <c r="CL498" s="36"/>
      <c r="CM498" s="36"/>
      <c r="CN498" s="36"/>
      <c r="CO498" s="36"/>
      <c r="CP498" s="36"/>
      <c r="CQ498" s="36"/>
      <c r="CR498" s="36"/>
      <c r="CS498" s="36"/>
      <c r="CT498" s="36"/>
      <c r="CU498" s="36"/>
      <c r="CV498" s="36"/>
      <c r="CW498" s="36"/>
      <c r="CX498" s="36"/>
    </row>
    <row r="499" spans="1:16" ht="41.25" customHeight="1" hidden="1">
      <c r="A499" s="134" t="s">
        <v>387</v>
      </c>
      <c r="B499" s="164"/>
      <c r="C499" s="164"/>
      <c r="D499" s="163"/>
      <c r="E499" s="163"/>
      <c r="F499" s="163"/>
      <c r="G499" s="163"/>
      <c r="H499" s="163"/>
      <c r="I499" s="163"/>
      <c r="J499" s="163"/>
      <c r="K499" s="131"/>
      <c r="L499" s="163"/>
      <c r="M499" s="163"/>
      <c r="N499" s="163"/>
      <c r="O499" s="163"/>
      <c r="P499" s="163"/>
    </row>
    <row r="500" spans="1:102" s="71" customFormat="1" ht="45" customHeight="1" hidden="1">
      <c r="A500" s="68" t="s">
        <v>44</v>
      </c>
      <c r="B500" s="69"/>
      <c r="C500" s="69"/>
      <c r="D500" s="67">
        <f>D502</f>
        <v>2964000</v>
      </c>
      <c r="E500" s="67">
        <f>E502</f>
        <v>0</v>
      </c>
      <c r="F500" s="67">
        <f>D500+E500</f>
        <v>2964000</v>
      </c>
      <c r="G500" s="67">
        <f>G502</f>
        <v>5167700</v>
      </c>
      <c r="H500" s="67"/>
      <c r="I500" s="67"/>
      <c r="J500" s="67">
        <f>J502</f>
        <v>5167700</v>
      </c>
      <c r="K500" s="67"/>
      <c r="L500" s="67"/>
      <c r="M500" s="67"/>
      <c r="N500" s="67">
        <f>N502</f>
        <v>5377100</v>
      </c>
      <c r="O500" s="67"/>
      <c r="P500" s="67">
        <f>N500</f>
        <v>5377100</v>
      </c>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c r="BV500" s="70"/>
      <c r="BW500" s="70"/>
      <c r="BX500" s="70"/>
      <c r="BY500" s="70"/>
      <c r="BZ500" s="70"/>
      <c r="CA500" s="70"/>
      <c r="CB500" s="70"/>
      <c r="CC500" s="70"/>
      <c r="CD500" s="70"/>
      <c r="CE500" s="70"/>
      <c r="CF500" s="70"/>
      <c r="CG500" s="70"/>
      <c r="CH500" s="70"/>
      <c r="CI500" s="70"/>
      <c r="CJ500" s="70"/>
      <c r="CK500" s="70"/>
      <c r="CL500" s="70"/>
      <c r="CM500" s="70"/>
      <c r="CN500" s="70"/>
      <c r="CO500" s="70"/>
      <c r="CP500" s="70"/>
      <c r="CQ500" s="70"/>
      <c r="CR500" s="70"/>
      <c r="CS500" s="70"/>
      <c r="CT500" s="70"/>
      <c r="CU500" s="70"/>
      <c r="CV500" s="70"/>
      <c r="CW500" s="70"/>
      <c r="CX500" s="70"/>
    </row>
    <row r="501" spans="1:16" ht="13.5" hidden="1">
      <c r="A501" s="133" t="s">
        <v>201</v>
      </c>
      <c r="B501" s="8"/>
      <c r="C501" s="8"/>
      <c r="D501" s="9"/>
      <c r="E501" s="9"/>
      <c r="F501" s="160"/>
      <c r="G501" s="9"/>
      <c r="H501" s="9"/>
      <c r="I501" s="9"/>
      <c r="J501" s="9"/>
      <c r="K501" s="131"/>
      <c r="L501" s="9"/>
      <c r="M501" s="9"/>
      <c r="N501" s="9"/>
      <c r="O501" s="9"/>
      <c r="P501" s="9"/>
    </row>
    <row r="502" spans="1:16" ht="23.25" customHeight="1" hidden="1">
      <c r="A502" s="134" t="s">
        <v>307</v>
      </c>
      <c r="B502" s="164"/>
      <c r="C502" s="164"/>
      <c r="D502" s="131">
        <f>3835300+850000-1649300-72000</f>
        <v>2964000</v>
      </c>
      <c r="E502" s="131">
        <f>1330000-1330000</f>
        <v>0</v>
      </c>
      <c r="F502" s="168">
        <f>D502+E502</f>
        <v>2964000</v>
      </c>
      <c r="G502" s="131">
        <f>4167700+1000000</f>
        <v>5167700</v>
      </c>
      <c r="H502" s="131"/>
      <c r="I502" s="131"/>
      <c r="J502" s="131">
        <f>G502</f>
        <v>5167700</v>
      </c>
      <c r="K502" s="131">
        <f>G502/D502*100</f>
        <v>174.34885290148446</v>
      </c>
      <c r="L502" s="131"/>
      <c r="M502" s="131"/>
      <c r="N502" s="131">
        <f>4377100+1000000</f>
        <v>5377100</v>
      </c>
      <c r="O502" s="131"/>
      <c r="P502" s="131">
        <f>N502</f>
        <v>5377100</v>
      </c>
    </row>
    <row r="503" spans="1:16" ht="12.75" hidden="1">
      <c r="A503" s="133" t="s">
        <v>184</v>
      </c>
      <c r="B503" s="8"/>
      <c r="C503" s="8"/>
      <c r="D503" s="9"/>
      <c r="E503" s="9"/>
      <c r="F503" s="161"/>
      <c r="G503" s="9"/>
      <c r="H503" s="9"/>
      <c r="I503" s="9"/>
      <c r="J503" s="131"/>
      <c r="K503" s="131"/>
      <c r="L503" s="9"/>
      <c r="M503" s="9"/>
      <c r="N503" s="9"/>
      <c r="O503" s="9"/>
      <c r="P503" s="131"/>
    </row>
    <row r="504" spans="1:16" ht="12.75" hidden="1">
      <c r="A504" s="134" t="s">
        <v>565</v>
      </c>
      <c r="B504" s="164"/>
      <c r="C504" s="164"/>
      <c r="D504" s="169">
        <v>12</v>
      </c>
      <c r="E504" s="166">
        <v>0</v>
      </c>
      <c r="F504" s="169">
        <f>D504+E504</f>
        <v>12</v>
      </c>
      <c r="G504" s="166">
        <v>10</v>
      </c>
      <c r="H504" s="166"/>
      <c r="I504" s="166"/>
      <c r="J504" s="166">
        <f>G504</f>
        <v>10</v>
      </c>
      <c r="K504" s="166">
        <f>G504/D504*100</f>
        <v>83.33333333333334</v>
      </c>
      <c r="L504" s="166"/>
      <c r="M504" s="166"/>
      <c r="N504" s="166">
        <v>10</v>
      </c>
      <c r="O504" s="166"/>
      <c r="P504" s="166">
        <f>N504</f>
        <v>10</v>
      </c>
    </row>
    <row r="505" spans="1:16" ht="12.75" hidden="1">
      <c r="A505" s="133" t="s">
        <v>186</v>
      </c>
      <c r="B505" s="8"/>
      <c r="C505" s="8"/>
      <c r="D505" s="9"/>
      <c r="E505" s="9"/>
      <c r="F505" s="161"/>
      <c r="G505" s="9"/>
      <c r="H505" s="9"/>
      <c r="I505" s="9"/>
      <c r="J505" s="131"/>
      <c r="K505" s="131"/>
      <c r="L505" s="9"/>
      <c r="M505" s="9"/>
      <c r="N505" s="9"/>
      <c r="O505" s="9"/>
      <c r="P505" s="131"/>
    </row>
    <row r="506" spans="1:16" ht="20.25" customHeight="1" hidden="1">
      <c r="A506" s="184" t="s">
        <v>308</v>
      </c>
      <c r="B506" s="130"/>
      <c r="C506" s="130"/>
      <c r="D506" s="185">
        <f>D502/D504</f>
        <v>247000</v>
      </c>
      <c r="E506" s="185">
        <v>0</v>
      </c>
      <c r="F506" s="315">
        <f>D506+E506</f>
        <v>247000</v>
      </c>
      <c r="G506" s="185">
        <f>G502/G504</f>
        <v>516770</v>
      </c>
      <c r="H506" s="185"/>
      <c r="I506" s="185"/>
      <c r="J506" s="185">
        <f>G506</f>
        <v>516770</v>
      </c>
      <c r="K506" s="185">
        <f>G506/D506*100</f>
        <v>209.2186234817814</v>
      </c>
      <c r="L506" s="185"/>
      <c r="M506" s="185"/>
      <c r="N506" s="185">
        <f>N502/N504</f>
        <v>537710</v>
      </c>
      <c r="O506" s="185"/>
      <c r="P506" s="185">
        <f>N506</f>
        <v>537710</v>
      </c>
    </row>
    <row r="507" spans="1:102" s="78" customFormat="1" ht="33.75" customHeight="1" hidden="1">
      <c r="A507" s="68" t="s">
        <v>110</v>
      </c>
      <c r="B507" s="69"/>
      <c r="C507" s="69"/>
      <c r="D507" s="67">
        <f>D508+D515+D522+D529+D534+D541+D548+D555+D562+D569+D576+D583+D590+D597+D604+D613+D620+D634</f>
        <v>3506414</v>
      </c>
      <c r="E507" s="67">
        <f>E508+E515+E522+E529+E534+E541+E548+E555+E562+E569+E576+E583+E590+E597+E604+E613+E620+E634</f>
        <v>1780000</v>
      </c>
      <c r="F507" s="67">
        <f>F508+F515+F522+F529+F534+F541+F548+F555+F562+F569+F576+F583+F590+F597+F604+F613+F620+F634</f>
        <v>5286414</v>
      </c>
      <c r="G507" s="67">
        <f>G508+G515+G522+G529+G534+G541+G548+G555+G562+G569+G576+G583+G590+G597+G604+G613+G620+G627+G634+G641+G648</f>
        <v>12705580</v>
      </c>
      <c r="H507" s="67">
        <f>H508+H515+H522+H529+H534+H541+H548+H555+H562+H569+H576+H583+H590+H597+H604+H613+H620+H627+H634+H641+H648</f>
        <v>18476260</v>
      </c>
      <c r="I507" s="67">
        <f>I508+I515+I522+I529+I534+I541+I548+I555+I562+I569+I576+I583+I590+I597+I604+I613+I620+I627+I634+I641+I648</f>
        <v>0</v>
      </c>
      <c r="J507" s="67">
        <f>J508+J515+J522+J529+J534+J541+J548+J555+J562+J569+J576+J583+J590+J597+J604+J613+J620+J627+J634+J641+J648</f>
        <v>31181840</v>
      </c>
      <c r="K507" s="67" t="e">
        <f>K508+K515+K522+K529+K534+K541+K548+#REF!+K555+K562+#REF!+K569+K576+K583+K590+K597+K604+K613+K620+K634</f>
        <v>#REF!</v>
      </c>
      <c r="L507" s="67" t="e">
        <f>L508+L515+L522+L529+L534+L541+L548+#REF!+L555+L562+#REF!+L569+L576+L583+L590+L597+L604+L613+L620+L634</f>
        <v>#REF!</v>
      </c>
      <c r="M507" s="67" t="e">
        <f>M508+M515+M522+M529+M534+M541+M548+#REF!+M555+M562+#REF!+M569+M576+M583+M590+M597+M604+M613+M620+M634</f>
        <v>#REF!</v>
      </c>
      <c r="N507" s="67">
        <f>N508+N515+N522+N529+N534+N541+N548+N555+N562+N569+N576+N583+N590+N597+N604+N613+N620+N634</f>
        <v>2467000</v>
      </c>
      <c r="O507" s="67">
        <f>O508+O515+O522+O529+O534+O541+O548+O555+O562+O569+O576+O583+O590+O597+O604+O613+O620+O634</f>
        <v>0</v>
      </c>
      <c r="P507" s="67">
        <f>P508+P515+P522+P529+P534+P541+P548+P555+P562+P569+P576+P583+P590+P597+P604+P613+P620+P634</f>
        <v>2467000</v>
      </c>
      <c r="Q507" s="67" t="e">
        <f>Q508+Q515+Q522+Q529+Q534+Q541+Q548+#REF!+Q555+Q562+#REF!+Q569+Q576+Q583+#REF!+#REF!+Q590+Q597</f>
        <v>#REF!</v>
      </c>
      <c r="R507" s="77"/>
      <c r="S507" s="77"/>
      <c r="T507" s="77"/>
      <c r="U507" s="77"/>
      <c r="V507" s="77"/>
      <c r="W507" s="77"/>
      <c r="X507" s="77"/>
      <c r="Y507" s="77"/>
      <c r="Z507" s="77"/>
      <c r="AA507" s="77"/>
      <c r="AB507" s="77"/>
      <c r="AC507" s="77"/>
      <c r="AD507" s="77"/>
      <c r="AE507" s="77"/>
      <c r="AF507" s="77"/>
      <c r="AG507" s="77"/>
      <c r="AH507" s="77"/>
      <c r="AI507" s="77"/>
      <c r="AJ507" s="77"/>
      <c r="AK507" s="77"/>
      <c r="AL507" s="77"/>
      <c r="AM507" s="77"/>
      <c r="AN507" s="77"/>
      <c r="AO507" s="77"/>
      <c r="AP507" s="77"/>
      <c r="AQ507" s="77"/>
      <c r="AR507" s="77"/>
      <c r="AS507" s="77"/>
      <c r="AT507" s="77"/>
      <c r="AU507" s="77"/>
      <c r="AV507" s="77"/>
      <c r="AW507" s="77"/>
      <c r="AX507" s="77"/>
      <c r="AY507" s="77"/>
      <c r="AZ507" s="77"/>
      <c r="BA507" s="77"/>
      <c r="BB507" s="77"/>
      <c r="BC507" s="77"/>
      <c r="BD507" s="77"/>
      <c r="BE507" s="77"/>
      <c r="BF507" s="77"/>
      <c r="BG507" s="77"/>
      <c r="BH507" s="77"/>
      <c r="BI507" s="77"/>
      <c r="BJ507" s="77"/>
      <c r="BK507" s="77"/>
      <c r="BL507" s="77"/>
      <c r="BM507" s="77"/>
      <c r="BN507" s="77"/>
      <c r="BO507" s="77"/>
      <c r="BP507" s="77"/>
      <c r="BQ507" s="77"/>
      <c r="BR507" s="77"/>
      <c r="BS507" s="77"/>
      <c r="BT507" s="77"/>
      <c r="BU507" s="77"/>
      <c r="BV507" s="77"/>
      <c r="BW507" s="77"/>
      <c r="BX507" s="77"/>
      <c r="BY507" s="77"/>
      <c r="BZ507" s="77"/>
      <c r="CA507" s="77"/>
      <c r="CB507" s="77"/>
      <c r="CC507" s="77"/>
      <c r="CD507" s="77"/>
      <c r="CE507" s="77"/>
      <c r="CF507" s="77"/>
      <c r="CG507" s="77"/>
      <c r="CH507" s="77"/>
      <c r="CI507" s="77"/>
      <c r="CJ507" s="77"/>
      <c r="CK507" s="77"/>
      <c r="CL507" s="77"/>
      <c r="CM507" s="77"/>
      <c r="CN507" s="77"/>
      <c r="CO507" s="77"/>
      <c r="CP507" s="77"/>
      <c r="CQ507" s="77"/>
      <c r="CR507" s="77"/>
      <c r="CS507" s="77"/>
      <c r="CT507" s="77"/>
      <c r="CU507" s="77"/>
      <c r="CV507" s="77"/>
      <c r="CW507" s="77"/>
      <c r="CX507" s="77"/>
    </row>
    <row r="508" spans="1:102" s="11" customFormat="1" ht="30.75" customHeight="1" hidden="1">
      <c r="A508" s="132" t="s">
        <v>166</v>
      </c>
      <c r="B508" s="136"/>
      <c r="C508" s="136"/>
      <c r="D508" s="186">
        <f>D510</f>
        <v>40000</v>
      </c>
      <c r="E508" s="186"/>
      <c r="F508" s="186">
        <f>D508</f>
        <v>40000</v>
      </c>
      <c r="G508" s="186">
        <f>G510</f>
        <v>136600</v>
      </c>
      <c r="H508" s="186"/>
      <c r="I508" s="186"/>
      <c r="J508" s="186">
        <f>G508</f>
        <v>136600</v>
      </c>
      <c r="K508" s="186"/>
      <c r="L508" s="186"/>
      <c r="M508" s="186"/>
      <c r="N508" s="186">
        <f>N510</f>
        <v>150000</v>
      </c>
      <c r="O508" s="186"/>
      <c r="P508" s="186">
        <f>N508</f>
        <v>150000</v>
      </c>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c r="CH508" s="10"/>
      <c r="CI508" s="10"/>
      <c r="CJ508" s="10"/>
      <c r="CK508" s="10"/>
      <c r="CL508" s="10"/>
      <c r="CM508" s="10"/>
      <c r="CN508" s="10"/>
      <c r="CO508" s="10"/>
      <c r="CP508" s="10"/>
      <c r="CQ508" s="10"/>
      <c r="CR508" s="10"/>
      <c r="CS508" s="10"/>
      <c r="CT508" s="10"/>
      <c r="CU508" s="10"/>
      <c r="CV508" s="10"/>
      <c r="CW508" s="10"/>
      <c r="CX508" s="10"/>
    </row>
    <row r="509" spans="1:16" ht="12.75" hidden="1">
      <c r="A509" s="133" t="s">
        <v>183</v>
      </c>
      <c r="B509" s="187"/>
      <c r="C509" s="187"/>
      <c r="D509" s="188"/>
      <c r="E509" s="188"/>
      <c r="F509" s="188"/>
      <c r="G509" s="188"/>
      <c r="H509" s="188"/>
      <c r="I509" s="188"/>
      <c r="J509" s="188"/>
      <c r="K509" s="189"/>
      <c r="L509" s="189"/>
      <c r="M509" s="189"/>
      <c r="N509" s="188"/>
      <c r="O509" s="188"/>
      <c r="P509" s="188"/>
    </row>
    <row r="510" spans="1:16" ht="12.75" hidden="1">
      <c r="A510" s="134" t="s">
        <v>204</v>
      </c>
      <c r="B510" s="187"/>
      <c r="C510" s="187"/>
      <c r="D510" s="189">
        <f>102200-62200</f>
        <v>40000</v>
      </c>
      <c r="E510" s="189"/>
      <c r="F510" s="189">
        <f>D510</f>
        <v>40000</v>
      </c>
      <c r="G510" s="188">
        <f>137300-700</f>
        <v>136600</v>
      </c>
      <c r="H510" s="188"/>
      <c r="I510" s="188"/>
      <c r="J510" s="188">
        <f>G510</f>
        <v>136600</v>
      </c>
      <c r="K510" s="189"/>
      <c r="L510" s="189"/>
      <c r="M510" s="189"/>
      <c r="N510" s="188">
        <v>150000</v>
      </c>
      <c r="O510" s="188"/>
      <c r="P510" s="188">
        <f>N510</f>
        <v>150000</v>
      </c>
    </row>
    <row r="511" spans="1:16" ht="12.75" hidden="1">
      <c r="A511" s="133" t="s">
        <v>184</v>
      </c>
      <c r="B511" s="187"/>
      <c r="C511" s="187"/>
      <c r="D511" s="189"/>
      <c r="E511" s="189"/>
      <c r="F511" s="189"/>
      <c r="G511" s="188"/>
      <c r="H511" s="188"/>
      <c r="I511" s="188"/>
      <c r="J511" s="188"/>
      <c r="K511" s="189"/>
      <c r="L511" s="189"/>
      <c r="M511" s="189"/>
      <c r="N511" s="188"/>
      <c r="O511" s="188"/>
      <c r="P511" s="188"/>
    </row>
    <row r="512" spans="1:16" ht="12.75" hidden="1">
      <c r="A512" s="134" t="s">
        <v>330</v>
      </c>
      <c r="B512" s="187"/>
      <c r="C512" s="187"/>
      <c r="D512" s="189">
        <v>53</v>
      </c>
      <c r="E512" s="189"/>
      <c r="F512" s="189">
        <f>D512</f>
        <v>53</v>
      </c>
      <c r="G512" s="190">
        <v>180</v>
      </c>
      <c r="H512" s="188"/>
      <c r="I512" s="188"/>
      <c r="J512" s="190">
        <f>G512</f>
        <v>180</v>
      </c>
      <c r="K512" s="189"/>
      <c r="L512" s="189"/>
      <c r="M512" s="189"/>
      <c r="N512" s="190">
        <v>190</v>
      </c>
      <c r="O512" s="190"/>
      <c r="P512" s="190">
        <f>N512</f>
        <v>190</v>
      </c>
    </row>
    <row r="513" spans="1:16" ht="12.75" hidden="1">
      <c r="A513" s="133" t="s">
        <v>186</v>
      </c>
      <c r="B513" s="187"/>
      <c r="C513" s="187"/>
      <c r="D513" s="189"/>
      <c r="E513" s="189"/>
      <c r="F513" s="189"/>
      <c r="G513" s="188"/>
      <c r="H513" s="188"/>
      <c r="I513" s="188"/>
      <c r="J513" s="188"/>
      <c r="K513" s="189"/>
      <c r="L513" s="189"/>
      <c r="M513" s="189"/>
      <c r="N513" s="188"/>
      <c r="O513" s="188"/>
      <c r="P513" s="188"/>
    </row>
    <row r="514" spans="1:16" ht="12.75" hidden="1">
      <c r="A514" s="134" t="s">
        <v>320</v>
      </c>
      <c r="B514" s="187"/>
      <c r="C514" s="187"/>
      <c r="D514" s="189">
        <f>D510/D512</f>
        <v>754.7169811320755</v>
      </c>
      <c r="E514" s="189"/>
      <c r="F514" s="189">
        <f>D514</f>
        <v>754.7169811320755</v>
      </c>
      <c r="G514" s="188">
        <f>G510/G512</f>
        <v>758.8888888888889</v>
      </c>
      <c r="H514" s="188"/>
      <c r="I514" s="188"/>
      <c r="J514" s="188">
        <f>G514</f>
        <v>758.8888888888889</v>
      </c>
      <c r="K514" s="189"/>
      <c r="L514" s="189"/>
      <c r="M514" s="189"/>
      <c r="N514" s="188">
        <f>N510/N512</f>
        <v>789.4736842105264</v>
      </c>
      <c r="O514" s="188"/>
      <c r="P514" s="188">
        <f>N514</f>
        <v>789.4736842105264</v>
      </c>
    </row>
    <row r="515" spans="1:102" s="12" customFormat="1" ht="32.25" customHeight="1" hidden="1">
      <c r="A515" s="191" t="s">
        <v>63</v>
      </c>
      <c r="B515" s="148"/>
      <c r="C515" s="148"/>
      <c r="D515" s="186">
        <f>4000+700</f>
        <v>4700</v>
      </c>
      <c r="E515" s="186"/>
      <c r="F515" s="186">
        <f>D515</f>
        <v>4700</v>
      </c>
      <c r="G515" s="186">
        <f>4000+700+2730</f>
        <v>7430</v>
      </c>
      <c r="H515" s="186"/>
      <c r="I515" s="186"/>
      <c r="J515" s="186">
        <f>G515</f>
        <v>7430</v>
      </c>
      <c r="K515" s="192"/>
      <c r="L515" s="192"/>
      <c r="M515" s="192"/>
      <c r="N515" s="186">
        <v>4000</v>
      </c>
      <c r="O515" s="186"/>
      <c r="P515" s="186">
        <f>N515</f>
        <v>4000</v>
      </c>
      <c r="Q515" s="79"/>
      <c r="R515" s="79"/>
      <c r="S515" s="79"/>
      <c r="T515" s="79"/>
      <c r="U515" s="79"/>
      <c r="V515" s="79"/>
      <c r="W515" s="79"/>
      <c r="X515" s="79"/>
      <c r="Y515" s="79"/>
      <c r="Z515" s="79"/>
      <c r="AA515" s="79"/>
      <c r="AB515" s="79"/>
      <c r="AC515" s="79"/>
      <c r="AD515" s="79"/>
      <c r="AE515" s="79"/>
      <c r="AF515" s="79"/>
      <c r="AG515" s="79"/>
      <c r="AH515" s="79"/>
      <c r="AI515" s="79"/>
      <c r="AJ515" s="79"/>
      <c r="AK515" s="79"/>
      <c r="AL515" s="79"/>
      <c r="AM515" s="79"/>
      <c r="AN515" s="79"/>
      <c r="AO515" s="79"/>
      <c r="AP515" s="79"/>
      <c r="AQ515" s="79"/>
      <c r="AR515" s="79"/>
      <c r="AS515" s="79"/>
      <c r="AT515" s="79"/>
      <c r="AU515" s="79"/>
      <c r="AV515" s="79"/>
      <c r="AW515" s="79"/>
      <c r="AX515" s="79"/>
      <c r="AY515" s="79"/>
      <c r="AZ515" s="79"/>
      <c r="BA515" s="79"/>
      <c r="BB515" s="79"/>
      <c r="BC515" s="79"/>
      <c r="BD515" s="79"/>
      <c r="BE515" s="79"/>
      <c r="BF515" s="79"/>
      <c r="BG515" s="79"/>
      <c r="BH515" s="79"/>
      <c r="BI515" s="79"/>
      <c r="BJ515" s="79"/>
      <c r="BK515" s="79"/>
      <c r="BL515" s="79"/>
      <c r="BM515" s="79"/>
      <c r="BN515" s="79"/>
      <c r="BO515" s="79"/>
      <c r="BP515" s="79"/>
      <c r="BQ515" s="79"/>
      <c r="BR515" s="79"/>
      <c r="BS515" s="79"/>
      <c r="BT515" s="79"/>
      <c r="BU515" s="79"/>
      <c r="BV515" s="79"/>
      <c r="BW515" s="79"/>
      <c r="BX515" s="79"/>
      <c r="BY515" s="79"/>
      <c r="BZ515" s="79"/>
      <c r="CA515" s="79"/>
      <c r="CB515" s="79"/>
      <c r="CC515" s="79"/>
      <c r="CD515" s="79"/>
      <c r="CE515" s="79"/>
      <c r="CF515" s="79"/>
      <c r="CG515" s="79"/>
      <c r="CH515" s="79"/>
      <c r="CI515" s="79"/>
      <c r="CJ515" s="79"/>
      <c r="CK515" s="79"/>
      <c r="CL515" s="79"/>
      <c r="CM515" s="79"/>
      <c r="CN515" s="79"/>
      <c r="CO515" s="79"/>
      <c r="CP515" s="79"/>
      <c r="CQ515" s="79"/>
      <c r="CR515" s="79"/>
      <c r="CS515" s="79"/>
      <c r="CT515" s="79"/>
      <c r="CU515" s="79"/>
      <c r="CV515" s="79"/>
      <c r="CW515" s="79"/>
      <c r="CX515" s="79"/>
    </row>
    <row r="516" spans="1:102" s="58" customFormat="1" ht="13.5" hidden="1">
      <c r="A516" s="139" t="s">
        <v>183</v>
      </c>
      <c r="B516" s="193"/>
      <c r="C516" s="193"/>
      <c r="D516" s="194"/>
      <c r="E516" s="194"/>
      <c r="F516" s="194"/>
      <c r="G516" s="194"/>
      <c r="H516" s="194"/>
      <c r="I516" s="194"/>
      <c r="J516" s="194"/>
      <c r="K516" s="195"/>
      <c r="L516" s="195"/>
      <c r="M516" s="195"/>
      <c r="N516" s="194"/>
      <c r="O516" s="194"/>
      <c r="P516" s="194"/>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c r="AS516" s="57"/>
      <c r="AT516" s="57"/>
      <c r="AU516" s="57"/>
      <c r="AV516" s="57"/>
      <c r="AW516" s="57"/>
      <c r="AX516" s="57"/>
      <c r="AY516" s="57"/>
      <c r="AZ516" s="57"/>
      <c r="BA516" s="57"/>
      <c r="BB516" s="57"/>
      <c r="BC516" s="57"/>
      <c r="BD516" s="57"/>
      <c r="BE516" s="57"/>
      <c r="BF516" s="57"/>
      <c r="BG516" s="57"/>
      <c r="BH516" s="57"/>
      <c r="BI516" s="57"/>
      <c r="BJ516" s="57"/>
      <c r="BK516" s="57"/>
      <c r="BL516" s="57"/>
      <c r="BM516" s="57"/>
      <c r="BN516" s="57"/>
      <c r="BO516" s="57"/>
      <c r="BP516" s="57"/>
      <c r="BQ516" s="57"/>
      <c r="BR516" s="57"/>
      <c r="BS516" s="57"/>
      <c r="BT516" s="57"/>
      <c r="BU516" s="57"/>
      <c r="BV516" s="57"/>
      <c r="BW516" s="57"/>
      <c r="BX516" s="57"/>
      <c r="BY516" s="57"/>
      <c r="BZ516" s="57"/>
      <c r="CA516" s="57"/>
      <c r="CB516" s="57"/>
      <c r="CC516" s="57"/>
      <c r="CD516" s="57"/>
      <c r="CE516" s="57"/>
      <c r="CF516" s="57"/>
      <c r="CG516" s="57"/>
      <c r="CH516" s="57"/>
      <c r="CI516" s="57"/>
      <c r="CJ516" s="57"/>
      <c r="CK516" s="57"/>
      <c r="CL516" s="57"/>
      <c r="CM516" s="57"/>
      <c r="CN516" s="57"/>
      <c r="CO516" s="57"/>
      <c r="CP516" s="57"/>
      <c r="CQ516" s="57"/>
      <c r="CR516" s="57"/>
      <c r="CS516" s="57"/>
      <c r="CT516" s="57"/>
      <c r="CU516" s="57"/>
      <c r="CV516" s="57"/>
      <c r="CW516" s="57"/>
      <c r="CX516" s="57"/>
    </row>
    <row r="517" spans="1:102" s="58" customFormat="1" ht="12.75" hidden="1">
      <c r="A517" s="138" t="s">
        <v>204</v>
      </c>
      <c r="B517" s="193"/>
      <c r="C517" s="193"/>
      <c r="D517" s="196">
        <f>D515</f>
        <v>4700</v>
      </c>
      <c r="E517" s="196"/>
      <c r="F517" s="196">
        <f>D517</f>
        <v>4700</v>
      </c>
      <c r="G517" s="196">
        <f>G515</f>
        <v>7430</v>
      </c>
      <c r="H517" s="196"/>
      <c r="I517" s="196"/>
      <c r="J517" s="196">
        <f>G517</f>
        <v>7430</v>
      </c>
      <c r="K517" s="196"/>
      <c r="L517" s="196"/>
      <c r="M517" s="196"/>
      <c r="N517" s="196">
        <f>N515</f>
        <v>4000</v>
      </c>
      <c r="O517" s="196"/>
      <c r="P517" s="196">
        <f>P515</f>
        <v>4000</v>
      </c>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c r="AS517" s="57"/>
      <c r="AT517" s="57"/>
      <c r="AU517" s="57"/>
      <c r="AV517" s="57"/>
      <c r="AW517" s="57"/>
      <c r="AX517" s="57"/>
      <c r="AY517" s="57"/>
      <c r="AZ517" s="57"/>
      <c r="BA517" s="57"/>
      <c r="BB517" s="57"/>
      <c r="BC517" s="57"/>
      <c r="BD517" s="57"/>
      <c r="BE517" s="57"/>
      <c r="BF517" s="57"/>
      <c r="BG517" s="57"/>
      <c r="BH517" s="57"/>
      <c r="BI517" s="57"/>
      <c r="BJ517" s="57"/>
      <c r="BK517" s="57"/>
      <c r="BL517" s="57"/>
      <c r="BM517" s="57"/>
      <c r="BN517" s="57"/>
      <c r="BO517" s="57"/>
      <c r="BP517" s="57"/>
      <c r="BQ517" s="57"/>
      <c r="BR517" s="57"/>
      <c r="BS517" s="57"/>
      <c r="BT517" s="57"/>
      <c r="BU517" s="57"/>
      <c r="BV517" s="57"/>
      <c r="BW517" s="57"/>
      <c r="BX517" s="57"/>
      <c r="BY517" s="57"/>
      <c r="BZ517" s="57"/>
      <c r="CA517" s="57"/>
      <c r="CB517" s="57"/>
      <c r="CC517" s="57"/>
      <c r="CD517" s="57"/>
      <c r="CE517" s="57"/>
      <c r="CF517" s="57"/>
      <c r="CG517" s="57"/>
      <c r="CH517" s="57"/>
      <c r="CI517" s="57"/>
      <c r="CJ517" s="57"/>
      <c r="CK517" s="57"/>
      <c r="CL517" s="57"/>
      <c r="CM517" s="57"/>
      <c r="CN517" s="57"/>
      <c r="CO517" s="57"/>
      <c r="CP517" s="57"/>
      <c r="CQ517" s="57"/>
      <c r="CR517" s="57"/>
      <c r="CS517" s="57"/>
      <c r="CT517" s="57"/>
      <c r="CU517" s="57"/>
      <c r="CV517" s="57"/>
      <c r="CW517" s="57"/>
      <c r="CX517" s="57"/>
    </row>
    <row r="518" spans="1:16" ht="12.75" hidden="1">
      <c r="A518" s="133" t="s">
        <v>184</v>
      </c>
      <c r="B518" s="187"/>
      <c r="C518" s="187"/>
      <c r="D518" s="188"/>
      <c r="E518" s="188"/>
      <c r="F518" s="188"/>
      <c r="G518" s="188"/>
      <c r="H518" s="188"/>
      <c r="I518" s="188"/>
      <c r="J518" s="188"/>
      <c r="K518" s="189"/>
      <c r="L518" s="189"/>
      <c r="M518" s="189"/>
      <c r="N518" s="188"/>
      <c r="O518" s="188"/>
      <c r="P518" s="188"/>
    </row>
    <row r="519" spans="1:16" ht="30" customHeight="1" hidden="1">
      <c r="A519" s="197" t="s">
        <v>150</v>
      </c>
      <c r="B519" s="187"/>
      <c r="C519" s="187"/>
      <c r="D519" s="190">
        <v>12</v>
      </c>
      <c r="E519" s="190"/>
      <c r="F519" s="190">
        <f>D519</f>
        <v>12</v>
      </c>
      <c r="G519" s="190">
        <v>12</v>
      </c>
      <c r="H519" s="190"/>
      <c r="I519" s="190"/>
      <c r="J519" s="190">
        <f>G519</f>
        <v>12</v>
      </c>
      <c r="K519" s="204"/>
      <c r="L519" s="204"/>
      <c r="M519" s="204"/>
      <c r="N519" s="190">
        <v>12</v>
      </c>
      <c r="O519" s="190"/>
      <c r="P519" s="190">
        <f>N519</f>
        <v>12</v>
      </c>
    </row>
    <row r="520" spans="1:16" ht="12.75" hidden="1">
      <c r="A520" s="148" t="s">
        <v>372</v>
      </c>
      <c r="B520" s="187"/>
      <c r="C520" s="187"/>
      <c r="D520" s="188"/>
      <c r="E520" s="188"/>
      <c r="F520" s="188"/>
      <c r="G520" s="188"/>
      <c r="H520" s="188"/>
      <c r="I520" s="188"/>
      <c r="J520" s="188"/>
      <c r="K520" s="189"/>
      <c r="L520" s="189"/>
      <c r="M520" s="189"/>
      <c r="N520" s="188"/>
      <c r="O520" s="188"/>
      <c r="P520" s="188"/>
    </row>
    <row r="521" spans="1:16" ht="12.75" hidden="1">
      <c r="A521" s="198" t="s">
        <v>530</v>
      </c>
      <c r="B521" s="187"/>
      <c r="C521" s="187"/>
      <c r="D521" s="188">
        <f>D515/D519</f>
        <v>391.6666666666667</v>
      </c>
      <c r="E521" s="188"/>
      <c r="F521" s="188">
        <f>D521</f>
        <v>391.6666666666667</v>
      </c>
      <c r="G521" s="188">
        <f>G515/G519</f>
        <v>619.1666666666666</v>
      </c>
      <c r="H521" s="188"/>
      <c r="I521" s="188"/>
      <c r="J521" s="188">
        <f>G521</f>
        <v>619.1666666666666</v>
      </c>
      <c r="K521" s="189"/>
      <c r="L521" s="189"/>
      <c r="M521" s="189"/>
      <c r="N521" s="188">
        <f>N515/N519</f>
        <v>333.3333333333333</v>
      </c>
      <c r="O521" s="188"/>
      <c r="P521" s="188">
        <f>N521</f>
        <v>333.3333333333333</v>
      </c>
    </row>
    <row r="522" spans="1:16" ht="27" customHeight="1" hidden="1">
      <c r="A522" s="136" t="s">
        <v>64</v>
      </c>
      <c r="B522" s="187"/>
      <c r="C522" s="187"/>
      <c r="D522" s="186">
        <f>101700-700</f>
        <v>101000</v>
      </c>
      <c r="E522" s="186"/>
      <c r="F522" s="186">
        <f>D522</f>
        <v>101000</v>
      </c>
      <c r="G522" s="186">
        <f>60000-2730</f>
        <v>57270</v>
      </c>
      <c r="H522" s="186"/>
      <c r="I522" s="186"/>
      <c r="J522" s="186">
        <f>G522</f>
        <v>57270</v>
      </c>
      <c r="K522" s="189"/>
      <c r="L522" s="189"/>
      <c r="M522" s="189"/>
      <c r="N522" s="186">
        <v>65000</v>
      </c>
      <c r="O522" s="188"/>
      <c r="P522" s="186">
        <f>N522+O522</f>
        <v>65000</v>
      </c>
    </row>
    <row r="523" spans="1:102" s="37" customFormat="1" ht="13.5" hidden="1">
      <c r="A523" s="133" t="s">
        <v>183</v>
      </c>
      <c r="B523" s="199"/>
      <c r="C523" s="199"/>
      <c r="D523" s="194"/>
      <c r="E523" s="194"/>
      <c r="F523" s="194"/>
      <c r="G523" s="194"/>
      <c r="H523" s="194"/>
      <c r="I523" s="194"/>
      <c r="J523" s="194"/>
      <c r="K523" s="196"/>
      <c r="L523" s="196"/>
      <c r="M523" s="196"/>
      <c r="N523" s="200"/>
      <c r="O523" s="200"/>
      <c r="P523" s="188"/>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c r="BY523" s="36"/>
      <c r="BZ523" s="36"/>
      <c r="CA523" s="36"/>
      <c r="CB523" s="36"/>
      <c r="CC523" s="36"/>
      <c r="CD523" s="36"/>
      <c r="CE523" s="36"/>
      <c r="CF523" s="36"/>
      <c r="CG523" s="36"/>
      <c r="CH523" s="36"/>
      <c r="CI523" s="36"/>
      <c r="CJ523" s="36"/>
      <c r="CK523" s="36"/>
      <c r="CL523" s="36"/>
      <c r="CM523" s="36"/>
      <c r="CN523" s="36"/>
      <c r="CO523" s="36"/>
      <c r="CP523" s="36"/>
      <c r="CQ523" s="36"/>
      <c r="CR523" s="36"/>
      <c r="CS523" s="36"/>
      <c r="CT523" s="36"/>
      <c r="CU523" s="36"/>
      <c r="CV523" s="36"/>
      <c r="CW523" s="36"/>
      <c r="CX523" s="36"/>
    </row>
    <row r="524" spans="1:102" s="37" customFormat="1" ht="12.75" hidden="1">
      <c r="A524" s="134" t="s">
        <v>204</v>
      </c>
      <c r="B524" s="199"/>
      <c r="C524" s="199"/>
      <c r="D524" s="196">
        <f>D522</f>
        <v>101000</v>
      </c>
      <c r="E524" s="196"/>
      <c r="F524" s="196">
        <f>D524</f>
        <v>101000</v>
      </c>
      <c r="G524" s="196">
        <f>G522</f>
        <v>57270</v>
      </c>
      <c r="H524" s="196"/>
      <c r="I524" s="196"/>
      <c r="J524" s="196">
        <f>G524</f>
        <v>57270</v>
      </c>
      <c r="K524" s="196"/>
      <c r="L524" s="196"/>
      <c r="M524" s="196"/>
      <c r="N524" s="200">
        <f>N522</f>
        <v>65000</v>
      </c>
      <c r="O524" s="200"/>
      <c r="P524" s="188">
        <f>N524+O524</f>
        <v>65000</v>
      </c>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c r="BY524" s="36"/>
      <c r="BZ524" s="36"/>
      <c r="CA524" s="36"/>
      <c r="CB524" s="36"/>
      <c r="CC524" s="36"/>
      <c r="CD524" s="36"/>
      <c r="CE524" s="36"/>
      <c r="CF524" s="36"/>
      <c r="CG524" s="36"/>
      <c r="CH524" s="36"/>
      <c r="CI524" s="36"/>
      <c r="CJ524" s="36"/>
      <c r="CK524" s="36"/>
      <c r="CL524" s="36"/>
      <c r="CM524" s="36"/>
      <c r="CN524" s="36"/>
      <c r="CO524" s="36"/>
      <c r="CP524" s="36"/>
      <c r="CQ524" s="36"/>
      <c r="CR524" s="36"/>
      <c r="CS524" s="36"/>
      <c r="CT524" s="36"/>
      <c r="CU524" s="36"/>
      <c r="CV524" s="36"/>
      <c r="CW524" s="36"/>
      <c r="CX524" s="36"/>
    </row>
    <row r="525" spans="1:16" ht="12.75" hidden="1">
      <c r="A525" s="133" t="s">
        <v>184</v>
      </c>
      <c r="B525" s="187"/>
      <c r="C525" s="187"/>
      <c r="D525" s="188"/>
      <c r="E525" s="188"/>
      <c r="F525" s="188"/>
      <c r="G525" s="188"/>
      <c r="H525" s="188"/>
      <c r="I525" s="188"/>
      <c r="J525" s="188"/>
      <c r="K525" s="189"/>
      <c r="L525" s="189"/>
      <c r="M525" s="189"/>
      <c r="N525" s="188"/>
      <c r="O525" s="188"/>
      <c r="P525" s="188"/>
    </row>
    <row r="526" spans="1:16" ht="20.25" customHeight="1" hidden="1">
      <c r="A526" s="134" t="s">
        <v>564</v>
      </c>
      <c r="B526" s="187"/>
      <c r="C526" s="187"/>
      <c r="D526" s="190">
        <v>9</v>
      </c>
      <c r="E526" s="190"/>
      <c r="F526" s="190">
        <f>D526</f>
        <v>9</v>
      </c>
      <c r="G526" s="190">
        <v>9</v>
      </c>
      <c r="H526" s="190"/>
      <c r="I526" s="190"/>
      <c r="J526" s="190">
        <f>G526</f>
        <v>9</v>
      </c>
      <c r="K526" s="204"/>
      <c r="L526" s="204"/>
      <c r="M526" s="204"/>
      <c r="N526" s="190">
        <v>9</v>
      </c>
      <c r="O526" s="190"/>
      <c r="P526" s="190">
        <f>N526+O526</f>
        <v>9</v>
      </c>
    </row>
    <row r="527" spans="1:16" ht="12.75" hidden="1">
      <c r="A527" s="148" t="s">
        <v>186</v>
      </c>
      <c r="B527" s="187"/>
      <c r="C527" s="187"/>
      <c r="D527" s="188"/>
      <c r="E527" s="188"/>
      <c r="F527" s="188"/>
      <c r="G527" s="188"/>
      <c r="H527" s="188"/>
      <c r="I527" s="188"/>
      <c r="J527" s="188"/>
      <c r="K527" s="189"/>
      <c r="L527" s="189"/>
      <c r="M527" s="189"/>
      <c r="N527" s="188"/>
      <c r="O527" s="188"/>
      <c r="P527" s="188"/>
    </row>
    <row r="528" spans="1:16" ht="15.75" customHeight="1" hidden="1">
      <c r="A528" s="187" t="s">
        <v>328</v>
      </c>
      <c r="B528" s="187"/>
      <c r="C528" s="187"/>
      <c r="D528" s="188">
        <f>D522/D526</f>
        <v>11222.222222222223</v>
      </c>
      <c r="E528" s="188"/>
      <c r="F528" s="188">
        <f>D528</f>
        <v>11222.222222222223</v>
      </c>
      <c r="G528" s="188">
        <f>G522/G526</f>
        <v>6363.333333333333</v>
      </c>
      <c r="H528" s="188"/>
      <c r="I528" s="188"/>
      <c r="J528" s="188">
        <f>G528</f>
        <v>6363.333333333333</v>
      </c>
      <c r="K528" s="189"/>
      <c r="L528" s="189"/>
      <c r="M528" s="189"/>
      <c r="N528" s="188">
        <f>N522/N526</f>
        <v>7222.222222222223</v>
      </c>
      <c r="O528" s="188"/>
      <c r="P528" s="188">
        <f>N528+O528</f>
        <v>7222.222222222223</v>
      </c>
    </row>
    <row r="529" spans="1:102" s="11" customFormat="1" ht="24.75" customHeight="1" hidden="1">
      <c r="A529" s="136" t="s">
        <v>65</v>
      </c>
      <c r="B529" s="136"/>
      <c r="C529" s="136"/>
      <c r="D529" s="186">
        <f>45000+15000</f>
        <v>60000</v>
      </c>
      <c r="E529" s="186"/>
      <c r="F529" s="186">
        <f>D529</f>
        <v>60000</v>
      </c>
      <c r="G529" s="186">
        <f>50000+10000</f>
        <v>60000</v>
      </c>
      <c r="H529" s="186"/>
      <c r="I529" s="186"/>
      <c r="J529" s="186">
        <f>G529</f>
        <v>60000</v>
      </c>
      <c r="K529" s="186"/>
      <c r="L529" s="186"/>
      <c r="M529" s="186"/>
      <c r="N529" s="186">
        <v>55000</v>
      </c>
      <c r="O529" s="186"/>
      <c r="P529" s="186">
        <f>N529</f>
        <v>55000</v>
      </c>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c r="CH529" s="10"/>
      <c r="CI529" s="10"/>
      <c r="CJ529" s="10"/>
      <c r="CK529" s="10"/>
      <c r="CL529" s="10"/>
      <c r="CM529" s="10"/>
      <c r="CN529" s="10"/>
      <c r="CO529" s="10"/>
      <c r="CP529" s="10"/>
      <c r="CQ529" s="10"/>
      <c r="CR529" s="10"/>
      <c r="CS529" s="10"/>
      <c r="CT529" s="10"/>
      <c r="CU529" s="10"/>
      <c r="CV529" s="10"/>
      <c r="CW529" s="10"/>
      <c r="CX529" s="10"/>
    </row>
    <row r="530" spans="1:16" ht="12.75" customHeight="1" hidden="1">
      <c r="A530" s="148" t="s">
        <v>254</v>
      </c>
      <c r="B530" s="136"/>
      <c r="C530" s="136"/>
      <c r="D530" s="186"/>
      <c r="E530" s="186"/>
      <c r="F530" s="186"/>
      <c r="G530" s="186"/>
      <c r="H530" s="186"/>
      <c r="I530" s="186"/>
      <c r="J530" s="186"/>
      <c r="K530" s="189"/>
      <c r="L530" s="186"/>
      <c r="M530" s="186"/>
      <c r="N530" s="186"/>
      <c r="O530" s="186"/>
      <c r="P530" s="186"/>
    </row>
    <row r="531" spans="1:16" ht="24" customHeight="1" hidden="1">
      <c r="A531" s="134" t="s">
        <v>253</v>
      </c>
      <c r="B531" s="187"/>
      <c r="C531" s="187"/>
      <c r="D531" s="188">
        <v>1500</v>
      </c>
      <c r="E531" s="188"/>
      <c r="F531" s="188">
        <f>D531</f>
        <v>1500</v>
      </c>
      <c r="G531" s="188">
        <v>3350</v>
      </c>
      <c r="H531" s="188"/>
      <c r="I531" s="188"/>
      <c r="J531" s="188">
        <f>G531</f>
        <v>3350</v>
      </c>
      <c r="K531" s="189"/>
      <c r="L531" s="189"/>
      <c r="M531" s="189"/>
      <c r="N531" s="188">
        <v>3350</v>
      </c>
      <c r="O531" s="188"/>
      <c r="P531" s="188">
        <f>N531</f>
        <v>3350</v>
      </c>
    </row>
    <row r="532" spans="1:16" ht="12.75" hidden="1">
      <c r="A532" s="148" t="s">
        <v>420</v>
      </c>
      <c r="B532" s="187"/>
      <c r="C532" s="187"/>
      <c r="D532" s="188"/>
      <c r="E532" s="188"/>
      <c r="F532" s="188"/>
      <c r="G532" s="188"/>
      <c r="H532" s="188"/>
      <c r="I532" s="188"/>
      <c r="J532" s="188"/>
      <c r="K532" s="189"/>
      <c r="L532" s="189"/>
      <c r="M532" s="189"/>
      <c r="N532" s="188"/>
      <c r="O532" s="188"/>
      <c r="P532" s="188"/>
    </row>
    <row r="533" spans="1:102" s="37" customFormat="1" ht="17.25" customHeight="1" hidden="1">
      <c r="A533" s="201" t="s">
        <v>419</v>
      </c>
      <c r="B533" s="201"/>
      <c r="C533" s="201"/>
      <c r="D533" s="202">
        <f>D529/D531</f>
        <v>40</v>
      </c>
      <c r="E533" s="202"/>
      <c r="F533" s="202">
        <f>D533</f>
        <v>40</v>
      </c>
      <c r="G533" s="202">
        <f>G529/G531</f>
        <v>17.91044776119403</v>
      </c>
      <c r="H533" s="202"/>
      <c r="I533" s="202"/>
      <c r="J533" s="202">
        <f>G533</f>
        <v>17.91044776119403</v>
      </c>
      <c r="K533" s="203"/>
      <c r="L533" s="203"/>
      <c r="M533" s="203"/>
      <c r="N533" s="202">
        <f>N529/N531</f>
        <v>16.417910447761194</v>
      </c>
      <c r="O533" s="202"/>
      <c r="P533" s="202">
        <f>N533</f>
        <v>16.417910447761194</v>
      </c>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row>
    <row r="534" spans="1:16" ht="24.75" customHeight="1" hidden="1">
      <c r="A534" s="132" t="s">
        <v>111</v>
      </c>
      <c r="B534" s="187"/>
      <c r="C534" s="187"/>
      <c r="D534" s="186">
        <f>D536</f>
        <v>406500</v>
      </c>
      <c r="E534" s="186"/>
      <c r="F534" s="186">
        <f>D534</f>
        <v>406500</v>
      </c>
      <c r="G534" s="186">
        <f>G536</f>
        <v>470000</v>
      </c>
      <c r="H534" s="186"/>
      <c r="I534" s="186"/>
      <c r="J534" s="186">
        <f>J536</f>
        <v>470000</v>
      </c>
      <c r="K534" s="192"/>
      <c r="L534" s="192"/>
      <c r="M534" s="192"/>
      <c r="N534" s="186">
        <f>N536</f>
        <v>265000</v>
      </c>
      <c r="O534" s="186"/>
      <c r="P534" s="186">
        <f>N534</f>
        <v>265000</v>
      </c>
    </row>
    <row r="535" spans="1:16" ht="12.75" hidden="1">
      <c r="A535" s="133" t="s">
        <v>183</v>
      </c>
      <c r="B535" s="187"/>
      <c r="C535" s="187"/>
      <c r="D535" s="188"/>
      <c r="E535" s="188"/>
      <c r="F535" s="188"/>
      <c r="G535" s="188"/>
      <c r="H535" s="188"/>
      <c r="I535" s="188"/>
      <c r="J535" s="188"/>
      <c r="K535" s="189"/>
      <c r="L535" s="189"/>
      <c r="M535" s="189"/>
      <c r="N535" s="188"/>
      <c r="O535" s="188"/>
      <c r="P535" s="188"/>
    </row>
    <row r="536" spans="1:16" ht="12.75" hidden="1">
      <c r="A536" s="134" t="s">
        <v>204</v>
      </c>
      <c r="B536" s="187"/>
      <c r="C536" s="187"/>
      <c r="D536" s="188">
        <f>240000+100000+66500</f>
        <v>406500</v>
      </c>
      <c r="E536" s="188"/>
      <c r="F536" s="188">
        <f>D536</f>
        <v>406500</v>
      </c>
      <c r="G536" s="188">
        <f>253000+217000</f>
        <v>470000</v>
      </c>
      <c r="H536" s="188"/>
      <c r="I536" s="188"/>
      <c r="J536" s="188">
        <f>G536</f>
        <v>470000</v>
      </c>
      <c r="K536" s="189"/>
      <c r="L536" s="189"/>
      <c r="M536" s="189"/>
      <c r="N536" s="188">
        <v>265000</v>
      </c>
      <c r="O536" s="188"/>
      <c r="P536" s="188">
        <f>N536</f>
        <v>265000</v>
      </c>
    </row>
    <row r="537" spans="1:16" ht="12.75" hidden="1">
      <c r="A537" s="133" t="s">
        <v>184</v>
      </c>
      <c r="B537" s="187"/>
      <c r="C537" s="187"/>
      <c r="D537" s="188"/>
      <c r="E537" s="188"/>
      <c r="F537" s="188"/>
      <c r="G537" s="188"/>
      <c r="H537" s="188"/>
      <c r="I537" s="188"/>
      <c r="J537" s="188"/>
      <c r="K537" s="189"/>
      <c r="L537" s="189"/>
      <c r="M537" s="189"/>
      <c r="N537" s="188"/>
      <c r="O537" s="188"/>
      <c r="P537" s="188"/>
    </row>
    <row r="538" spans="1:16" ht="21" customHeight="1" hidden="1">
      <c r="A538" s="134" t="s">
        <v>418</v>
      </c>
      <c r="B538" s="187"/>
      <c r="C538" s="187"/>
      <c r="D538" s="190">
        <f>D536/D540</f>
        <v>116.14285714285714</v>
      </c>
      <c r="E538" s="188"/>
      <c r="F538" s="190">
        <f>D538</f>
        <v>116.14285714285714</v>
      </c>
      <c r="G538" s="190">
        <f>G536/G540</f>
        <v>117.5</v>
      </c>
      <c r="H538" s="190"/>
      <c r="I538" s="190"/>
      <c r="J538" s="190">
        <f>G538</f>
        <v>117.5</v>
      </c>
      <c r="K538" s="204"/>
      <c r="L538" s="204"/>
      <c r="M538" s="204"/>
      <c r="N538" s="190">
        <f>N536/N540</f>
        <v>58.888888888888886</v>
      </c>
      <c r="O538" s="190"/>
      <c r="P538" s="190">
        <f>N538</f>
        <v>58.888888888888886</v>
      </c>
    </row>
    <row r="539" spans="1:16" ht="12.75" hidden="1">
      <c r="A539" s="133" t="s">
        <v>186</v>
      </c>
      <c r="B539" s="187"/>
      <c r="C539" s="187"/>
      <c r="D539" s="188"/>
      <c r="E539" s="188"/>
      <c r="F539" s="188"/>
      <c r="G539" s="188"/>
      <c r="H539" s="188"/>
      <c r="I539" s="188"/>
      <c r="J539" s="188"/>
      <c r="K539" s="189"/>
      <c r="L539" s="189"/>
      <c r="M539" s="189"/>
      <c r="N539" s="188"/>
      <c r="O539" s="188"/>
      <c r="P539" s="188"/>
    </row>
    <row r="540" spans="1:16" ht="18" customHeight="1" hidden="1">
      <c r="A540" s="134" t="s">
        <v>373</v>
      </c>
      <c r="B540" s="187"/>
      <c r="C540" s="187"/>
      <c r="D540" s="188">
        <v>3500</v>
      </c>
      <c r="E540" s="188"/>
      <c r="F540" s="188">
        <f>D540</f>
        <v>3500</v>
      </c>
      <c r="G540" s="188">
        <v>4000</v>
      </c>
      <c r="H540" s="188"/>
      <c r="I540" s="188"/>
      <c r="J540" s="188">
        <f>G540</f>
        <v>4000</v>
      </c>
      <c r="K540" s="189"/>
      <c r="L540" s="189"/>
      <c r="M540" s="189"/>
      <c r="N540" s="188">
        <v>4500</v>
      </c>
      <c r="O540" s="188"/>
      <c r="P540" s="188">
        <f>N540</f>
        <v>4500</v>
      </c>
    </row>
    <row r="541" spans="1:16" ht="27.75" customHeight="1" hidden="1">
      <c r="A541" s="132" t="s">
        <v>112</v>
      </c>
      <c r="B541" s="187"/>
      <c r="C541" s="187"/>
      <c r="D541" s="186">
        <f>D543</f>
        <v>525000</v>
      </c>
      <c r="E541" s="186"/>
      <c r="F541" s="186">
        <f>D541</f>
        <v>525000</v>
      </c>
      <c r="G541" s="186">
        <f>G543</f>
        <v>780000</v>
      </c>
      <c r="H541" s="186"/>
      <c r="I541" s="186"/>
      <c r="J541" s="186">
        <f>G541</f>
        <v>780000</v>
      </c>
      <c r="K541" s="192"/>
      <c r="L541" s="192"/>
      <c r="M541" s="192"/>
      <c r="N541" s="186">
        <f>N543</f>
        <v>560000</v>
      </c>
      <c r="O541" s="186"/>
      <c r="P541" s="186">
        <f>N541</f>
        <v>560000</v>
      </c>
    </row>
    <row r="542" spans="1:16" ht="12.75" hidden="1">
      <c r="A542" s="133" t="s">
        <v>183</v>
      </c>
      <c r="B542" s="187"/>
      <c r="C542" s="187"/>
      <c r="D542" s="188"/>
      <c r="E542" s="188"/>
      <c r="F542" s="188"/>
      <c r="G542" s="188"/>
      <c r="H542" s="188"/>
      <c r="I542" s="188"/>
      <c r="J542" s="188"/>
      <c r="K542" s="189"/>
      <c r="L542" s="189"/>
      <c r="M542" s="189"/>
      <c r="N542" s="188"/>
      <c r="O542" s="188"/>
      <c r="P542" s="188"/>
    </row>
    <row r="543" spans="1:16" ht="12.75" hidden="1">
      <c r="A543" s="134" t="s">
        <v>204</v>
      </c>
      <c r="B543" s="187"/>
      <c r="C543" s="187"/>
      <c r="D543" s="188">
        <v>525000</v>
      </c>
      <c r="E543" s="188"/>
      <c r="F543" s="188">
        <f>D543</f>
        <v>525000</v>
      </c>
      <c r="G543" s="188">
        <f>550000+230000</f>
        <v>780000</v>
      </c>
      <c r="H543" s="188"/>
      <c r="I543" s="188"/>
      <c r="J543" s="188">
        <f>G543</f>
        <v>780000</v>
      </c>
      <c r="K543" s="189"/>
      <c r="L543" s="189"/>
      <c r="M543" s="189"/>
      <c r="N543" s="188">
        <v>560000</v>
      </c>
      <c r="O543" s="188"/>
      <c r="P543" s="188">
        <f>N543</f>
        <v>560000</v>
      </c>
    </row>
    <row r="544" spans="1:16" ht="12.75" hidden="1">
      <c r="A544" s="133" t="s">
        <v>184</v>
      </c>
      <c r="B544" s="187"/>
      <c r="C544" s="187"/>
      <c r="D544" s="188"/>
      <c r="E544" s="188"/>
      <c r="F544" s="188"/>
      <c r="G544" s="188"/>
      <c r="H544" s="188"/>
      <c r="I544" s="188"/>
      <c r="J544" s="188"/>
      <c r="K544" s="189"/>
      <c r="L544" s="189"/>
      <c r="M544" s="189"/>
      <c r="N544" s="188"/>
      <c r="O544" s="188"/>
      <c r="P544" s="188"/>
    </row>
    <row r="545" spans="1:16" ht="22.5" customHeight="1" hidden="1">
      <c r="A545" s="134" t="s">
        <v>375</v>
      </c>
      <c r="B545" s="187"/>
      <c r="C545" s="187"/>
      <c r="D545" s="190">
        <f>D543/D547</f>
        <v>50</v>
      </c>
      <c r="E545" s="190"/>
      <c r="F545" s="190">
        <f>D545</f>
        <v>50</v>
      </c>
      <c r="G545" s="190">
        <v>71</v>
      </c>
      <c r="H545" s="190"/>
      <c r="I545" s="190"/>
      <c r="J545" s="190">
        <f>G545</f>
        <v>71</v>
      </c>
      <c r="K545" s="204"/>
      <c r="L545" s="204"/>
      <c r="M545" s="204"/>
      <c r="N545" s="190">
        <f>N543/N547</f>
        <v>50</v>
      </c>
      <c r="O545" s="190"/>
      <c r="P545" s="190">
        <f>N545</f>
        <v>50</v>
      </c>
    </row>
    <row r="546" spans="1:16" ht="12.75" hidden="1">
      <c r="A546" s="133" t="s">
        <v>186</v>
      </c>
      <c r="B546" s="187"/>
      <c r="C546" s="187"/>
      <c r="D546" s="188"/>
      <c r="E546" s="188"/>
      <c r="F546" s="188"/>
      <c r="G546" s="188"/>
      <c r="H546" s="188"/>
      <c r="I546" s="188"/>
      <c r="J546" s="188"/>
      <c r="K546" s="189"/>
      <c r="L546" s="189"/>
      <c r="M546" s="189"/>
      <c r="N546" s="188"/>
      <c r="O546" s="188"/>
      <c r="P546" s="188"/>
    </row>
    <row r="547" spans="1:16" ht="19.5" customHeight="1" hidden="1">
      <c r="A547" s="134" t="s">
        <v>374</v>
      </c>
      <c r="B547" s="187"/>
      <c r="C547" s="187"/>
      <c r="D547" s="188">
        <v>10500</v>
      </c>
      <c r="E547" s="188"/>
      <c r="F547" s="188">
        <f>D547</f>
        <v>10500</v>
      </c>
      <c r="G547" s="188">
        <f>G543/G545</f>
        <v>10985.915492957747</v>
      </c>
      <c r="H547" s="188"/>
      <c r="I547" s="188"/>
      <c r="J547" s="188">
        <f>G547</f>
        <v>10985.915492957747</v>
      </c>
      <c r="K547" s="189"/>
      <c r="L547" s="189"/>
      <c r="M547" s="189"/>
      <c r="N547" s="188">
        <v>11200</v>
      </c>
      <c r="O547" s="188"/>
      <c r="P547" s="188">
        <f>N547</f>
        <v>11200</v>
      </c>
    </row>
    <row r="548" spans="1:16" ht="27.75" customHeight="1" hidden="1">
      <c r="A548" s="132" t="s">
        <v>66</v>
      </c>
      <c r="B548" s="187"/>
      <c r="C548" s="187"/>
      <c r="D548" s="186">
        <f>D550</f>
        <v>0</v>
      </c>
      <c r="E548" s="186"/>
      <c r="F548" s="186">
        <f>D548</f>
        <v>0</v>
      </c>
      <c r="G548" s="186">
        <f>G550</f>
        <v>520000</v>
      </c>
      <c r="H548" s="186"/>
      <c r="I548" s="186"/>
      <c r="J548" s="186">
        <f>G548+H548</f>
        <v>520000</v>
      </c>
      <c r="K548" s="192"/>
      <c r="L548" s="192"/>
      <c r="M548" s="192"/>
      <c r="N548" s="186">
        <f>N550</f>
        <v>550000</v>
      </c>
      <c r="O548" s="186"/>
      <c r="P548" s="186">
        <f>N548+O548</f>
        <v>550000</v>
      </c>
    </row>
    <row r="549" spans="1:16" ht="12.75" hidden="1">
      <c r="A549" s="133" t="s">
        <v>183</v>
      </c>
      <c r="B549" s="187"/>
      <c r="C549" s="187"/>
      <c r="D549" s="188"/>
      <c r="E549" s="188"/>
      <c r="F549" s="188"/>
      <c r="G549" s="188"/>
      <c r="H549" s="188"/>
      <c r="I549" s="188"/>
      <c r="J549" s="188">
        <f aca="true" t="shared" si="36" ref="J549:J554">G549+H549</f>
        <v>0</v>
      </c>
      <c r="K549" s="189"/>
      <c r="L549" s="189"/>
      <c r="M549" s="189"/>
      <c r="N549" s="188"/>
      <c r="O549" s="188"/>
      <c r="P549" s="188">
        <f aca="true" t="shared" si="37" ref="P549:P554">N549+O549</f>
        <v>0</v>
      </c>
    </row>
    <row r="550" spans="1:16" ht="12.75" hidden="1">
      <c r="A550" s="134" t="s">
        <v>204</v>
      </c>
      <c r="B550" s="187"/>
      <c r="C550" s="187"/>
      <c r="D550" s="188">
        <f>500000-223450-276550</f>
        <v>0</v>
      </c>
      <c r="E550" s="188"/>
      <c r="F550" s="188">
        <f>D550</f>
        <v>0</v>
      </c>
      <c r="G550" s="188">
        <v>520000</v>
      </c>
      <c r="H550" s="188"/>
      <c r="I550" s="188"/>
      <c r="J550" s="188">
        <f t="shared" si="36"/>
        <v>520000</v>
      </c>
      <c r="K550" s="189"/>
      <c r="L550" s="189"/>
      <c r="M550" s="189"/>
      <c r="N550" s="188">
        <v>550000</v>
      </c>
      <c r="O550" s="188"/>
      <c r="P550" s="188">
        <f t="shared" si="37"/>
        <v>550000</v>
      </c>
    </row>
    <row r="551" spans="1:16" ht="12.75" hidden="1">
      <c r="A551" s="133" t="s">
        <v>184</v>
      </c>
      <c r="B551" s="187"/>
      <c r="C551" s="187"/>
      <c r="D551" s="188"/>
      <c r="E551" s="188"/>
      <c r="F551" s="188"/>
      <c r="G551" s="188"/>
      <c r="H551" s="188"/>
      <c r="I551" s="188"/>
      <c r="J551" s="188">
        <f t="shared" si="36"/>
        <v>0</v>
      </c>
      <c r="K551" s="189"/>
      <c r="L551" s="189"/>
      <c r="M551" s="189"/>
      <c r="N551" s="188"/>
      <c r="O551" s="188"/>
      <c r="P551" s="188">
        <f t="shared" si="37"/>
        <v>0</v>
      </c>
    </row>
    <row r="552" spans="1:16" ht="19.5" customHeight="1" hidden="1">
      <c r="A552" s="135" t="s">
        <v>331</v>
      </c>
      <c r="B552" s="187"/>
      <c r="C552" s="187"/>
      <c r="D552" s="188">
        <v>0</v>
      </c>
      <c r="E552" s="188"/>
      <c r="F552" s="188">
        <f>D552</f>
        <v>0</v>
      </c>
      <c r="G552" s="188">
        <f>G550/G554</f>
        <v>20</v>
      </c>
      <c r="H552" s="188"/>
      <c r="I552" s="188"/>
      <c r="J552" s="188">
        <f t="shared" si="36"/>
        <v>20</v>
      </c>
      <c r="K552" s="189"/>
      <c r="L552" s="189"/>
      <c r="M552" s="189"/>
      <c r="N552" s="188">
        <f>N550/N554</f>
        <v>21.00000000006109</v>
      </c>
      <c r="O552" s="188"/>
      <c r="P552" s="188">
        <f t="shared" si="37"/>
        <v>21.00000000006109</v>
      </c>
    </row>
    <row r="553" spans="1:16" ht="12.75" hidden="1">
      <c r="A553" s="133" t="s">
        <v>186</v>
      </c>
      <c r="B553" s="187"/>
      <c r="C553" s="187"/>
      <c r="D553" s="188"/>
      <c r="E553" s="188"/>
      <c r="F553" s="188"/>
      <c r="G553" s="188"/>
      <c r="H553" s="188"/>
      <c r="I553" s="188"/>
      <c r="J553" s="188">
        <f t="shared" si="36"/>
        <v>0</v>
      </c>
      <c r="K553" s="189"/>
      <c r="L553" s="189"/>
      <c r="M553" s="189"/>
      <c r="N553" s="188"/>
      <c r="O553" s="188"/>
      <c r="P553" s="188">
        <f t="shared" si="37"/>
        <v>0</v>
      </c>
    </row>
    <row r="554" spans="1:16" ht="18" customHeight="1" hidden="1">
      <c r="A554" s="134" t="s">
        <v>332</v>
      </c>
      <c r="B554" s="187"/>
      <c r="C554" s="187"/>
      <c r="D554" s="188">
        <v>0</v>
      </c>
      <c r="E554" s="188"/>
      <c r="F554" s="188">
        <f>D554</f>
        <v>0</v>
      </c>
      <c r="G554" s="188">
        <v>26000</v>
      </c>
      <c r="H554" s="188"/>
      <c r="I554" s="188"/>
      <c r="J554" s="188">
        <f t="shared" si="36"/>
        <v>26000</v>
      </c>
      <c r="K554" s="189"/>
      <c r="L554" s="189"/>
      <c r="M554" s="189"/>
      <c r="N554" s="188">
        <v>26190.4761904</v>
      </c>
      <c r="O554" s="188"/>
      <c r="P554" s="188">
        <f t="shared" si="37"/>
        <v>26190.4761904</v>
      </c>
    </row>
    <row r="555" spans="1:16" ht="35.25" customHeight="1" hidden="1">
      <c r="A555" s="132" t="s">
        <v>127</v>
      </c>
      <c r="B555" s="187"/>
      <c r="C555" s="187"/>
      <c r="D555" s="186">
        <f>D557</f>
        <v>0</v>
      </c>
      <c r="E555" s="186"/>
      <c r="F555" s="186">
        <f>D555</f>
        <v>0</v>
      </c>
      <c r="G555" s="186">
        <f>G557</f>
        <v>120000</v>
      </c>
      <c r="H555" s="186"/>
      <c r="I555" s="186"/>
      <c r="J555" s="186">
        <f>G555</f>
        <v>120000</v>
      </c>
      <c r="K555" s="186"/>
      <c r="L555" s="186"/>
      <c r="M555" s="186"/>
      <c r="N555" s="186">
        <f>N557</f>
        <v>140000</v>
      </c>
      <c r="O555" s="186"/>
      <c r="P555" s="186">
        <f>N555</f>
        <v>140000</v>
      </c>
    </row>
    <row r="556" spans="1:16" ht="12.75" hidden="1">
      <c r="A556" s="133" t="s">
        <v>183</v>
      </c>
      <c r="B556" s="187"/>
      <c r="C556" s="187"/>
      <c r="D556" s="188"/>
      <c r="E556" s="188"/>
      <c r="F556" s="188"/>
      <c r="G556" s="188"/>
      <c r="H556" s="188"/>
      <c r="I556" s="188"/>
      <c r="J556" s="188"/>
      <c r="K556" s="189"/>
      <c r="L556" s="189"/>
      <c r="M556" s="189"/>
      <c r="N556" s="188"/>
      <c r="O556" s="188"/>
      <c r="P556" s="188"/>
    </row>
    <row r="557" spans="1:16" ht="12.75" hidden="1">
      <c r="A557" s="134" t="s">
        <v>204</v>
      </c>
      <c r="B557" s="187"/>
      <c r="C557" s="187"/>
      <c r="D557" s="188">
        <f>100000-100000</f>
        <v>0</v>
      </c>
      <c r="E557" s="188"/>
      <c r="F557" s="188">
        <f>D557</f>
        <v>0</v>
      </c>
      <c r="G557" s="188">
        <v>120000</v>
      </c>
      <c r="H557" s="188"/>
      <c r="I557" s="188"/>
      <c r="J557" s="188">
        <f>G557</f>
        <v>120000</v>
      </c>
      <c r="K557" s="189"/>
      <c r="L557" s="189"/>
      <c r="M557" s="189"/>
      <c r="N557" s="188">
        <v>140000</v>
      </c>
      <c r="O557" s="188"/>
      <c r="P557" s="188">
        <f>N557</f>
        <v>140000</v>
      </c>
    </row>
    <row r="558" spans="1:16" ht="12.75" hidden="1">
      <c r="A558" s="133" t="s">
        <v>184</v>
      </c>
      <c r="B558" s="187"/>
      <c r="C558" s="187"/>
      <c r="D558" s="188"/>
      <c r="E558" s="188"/>
      <c r="F558" s="188"/>
      <c r="G558" s="188"/>
      <c r="H558" s="188"/>
      <c r="I558" s="188"/>
      <c r="J558" s="188"/>
      <c r="K558" s="189"/>
      <c r="L558" s="189"/>
      <c r="M558" s="189"/>
      <c r="N558" s="188"/>
      <c r="O558" s="188"/>
      <c r="P558" s="188"/>
    </row>
    <row r="559" spans="1:16" ht="12.75" hidden="1">
      <c r="A559" s="135" t="s">
        <v>417</v>
      </c>
      <c r="B559" s="187"/>
      <c r="C559" s="187"/>
      <c r="D559" s="190" t="e">
        <f>D557/D561</f>
        <v>#DIV/0!</v>
      </c>
      <c r="E559" s="190"/>
      <c r="F559" s="190" t="e">
        <f>D559</f>
        <v>#DIV/0!</v>
      </c>
      <c r="G559" s="190">
        <f>G557/G561</f>
        <v>53333.333333333336</v>
      </c>
      <c r="H559" s="190"/>
      <c r="I559" s="190"/>
      <c r="J559" s="190">
        <f>G559</f>
        <v>53333.333333333336</v>
      </c>
      <c r="K559" s="204"/>
      <c r="L559" s="204"/>
      <c r="M559" s="204"/>
      <c r="N559" s="190">
        <f>N557/N561</f>
        <v>58577.40585774058</v>
      </c>
      <c r="O559" s="190"/>
      <c r="P559" s="190">
        <f>N559</f>
        <v>58577.40585774058</v>
      </c>
    </row>
    <row r="560" spans="1:16" ht="12.75" hidden="1">
      <c r="A560" s="133" t="s">
        <v>186</v>
      </c>
      <c r="B560" s="187"/>
      <c r="C560" s="187"/>
      <c r="D560" s="188"/>
      <c r="E560" s="188"/>
      <c r="F560" s="188"/>
      <c r="G560" s="188"/>
      <c r="H560" s="188"/>
      <c r="I560" s="188"/>
      <c r="J560" s="188"/>
      <c r="K560" s="189"/>
      <c r="L560" s="189"/>
      <c r="M560" s="189"/>
      <c r="N560" s="188"/>
      <c r="O560" s="188"/>
      <c r="P560" s="188"/>
    </row>
    <row r="561" spans="1:16" ht="25.5" hidden="1">
      <c r="A561" s="134" t="s">
        <v>416</v>
      </c>
      <c r="B561" s="187"/>
      <c r="C561" s="187"/>
      <c r="D561" s="188">
        <v>0</v>
      </c>
      <c r="E561" s="188"/>
      <c r="F561" s="188">
        <f>D561</f>
        <v>0</v>
      </c>
      <c r="G561" s="188">
        <v>2.25</v>
      </c>
      <c r="H561" s="188"/>
      <c r="I561" s="188"/>
      <c r="J561" s="188">
        <f>G561</f>
        <v>2.25</v>
      </c>
      <c r="K561" s="189"/>
      <c r="L561" s="189"/>
      <c r="M561" s="189"/>
      <c r="N561" s="188">
        <v>2.39</v>
      </c>
      <c r="O561" s="188"/>
      <c r="P561" s="188">
        <f>N561</f>
        <v>2.39</v>
      </c>
    </row>
    <row r="562" spans="1:16" ht="28.5" customHeight="1" hidden="1">
      <c r="A562" s="132" t="s">
        <v>128</v>
      </c>
      <c r="B562" s="187"/>
      <c r="C562" s="187"/>
      <c r="D562" s="186">
        <f>D564</f>
        <v>0</v>
      </c>
      <c r="E562" s="186"/>
      <c r="F562" s="186">
        <f>D562</f>
        <v>0</v>
      </c>
      <c r="G562" s="186">
        <f>G564</f>
        <v>59000</v>
      </c>
      <c r="H562" s="186"/>
      <c r="I562" s="186"/>
      <c r="J562" s="186">
        <f>G562</f>
        <v>59000</v>
      </c>
      <c r="K562" s="192"/>
      <c r="L562" s="192"/>
      <c r="M562" s="192"/>
      <c r="N562" s="186">
        <f>N564</f>
        <v>60000</v>
      </c>
      <c r="O562" s="186"/>
      <c r="P562" s="186">
        <f>N562</f>
        <v>60000</v>
      </c>
    </row>
    <row r="563" spans="1:16" ht="12.75" hidden="1">
      <c r="A563" s="133" t="s">
        <v>254</v>
      </c>
      <c r="B563" s="187"/>
      <c r="C563" s="187"/>
      <c r="D563" s="188"/>
      <c r="E563" s="188"/>
      <c r="F563" s="188"/>
      <c r="G563" s="188"/>
      <c r="H563" s="188"/>
      <c r="I563" s="188"/>
      <c r="J563" s="188"/>
      <c r="K563" s="189"/>
      <c r="L563" s="189"/>
      <c r="M563" s="189"/>
      <c r="N563" s="188"/>
      <c r="O563" s="188"/>
      <c r="P563" s="188"/>
    </row>
    <row r="564" spans="1:16" ht="12.75" hidden="1">
      <c r="A564" s="134" t="s">
        <v>377</v>
      </c>
      <c r="B564" s="187"/>
      <c r="C564" s="187"/>
      <c r="D564" s="188">
        <f>53100-29860-23240</f>
        <v>0</v>
      </c>
      <c r="E564" s="188"/>
      <c r="F564" s="188">
        <f>D564</f>
        <v>0</v>
      </c>
      <c r="G564" s="188">
        <v>59000</v>
      </c>
      <c r="H564" s="188"/>
      <c r="I564" s="188"/>
      <c r="J564" s="188">
        <f>G564</f>
        <v>59000</v>
      </c>
      <c r="K564" s="189"/>
      <c r="L564" s="189"/>
      <c r="M564" s="189"/>
      <c r="N564" s="188">
        <v>60000</v>
      </c>
      <c r="O564" s="188"/>
      <c r="P564" s="188">
        <f>N564</f>
        <v>60000</v>
      </c>
    </row>
    <row r="565" spans="1:16" ht="12.75" hidden="1">
      <c r="A565" s="133" t="s">
        <v>376</v>
      </c>
      <c r="B565" s="187"/>
      <c r="C565" s="187"/>
      <c r="D565" s="188"/>
      <c r="E565" s="188"/>
      <c r="F565" s="188"/>
      <c r="G565" s="188"/>
      <c r="H565" s="188"/>
      <c r="I565" s="188"/>
      <c r="J565" s="188"/>
      <c r="K565" s="189"/>
      <c r="L565" s="189"/>
      <c r="M565" s="189"/>
      <c r="N565" s="188"/>
      <c r="O565" s="188"/>
      <c r="P565" s="188"/>
    </row>
    <row r="566" spans="1:16" ht="12.75" hidden="1">
      <c r="A566" s="135" t="s">
        <v>383</v>
      </c>
      <c r="B566" s="187"/>
      <c r="C566" s="187"/>
      <c r="D566" s="188">
        <v>0</v>
      </c>
      <c r="E566" s="188"/>
      <c r="F566" s="188">
        <f>D566</f>
        <v>0</v>
      </c>
      <c r="G566" s="190">
        <v>14</v>
      </c>
      <c r="H566" s="190"/>
      <c r="I566" s="190"/>
      <c r="J566" s="190">
        <f>G566</f>
        <v>14</v>
      </c>
      <c r="K566" s="204"/>
      <c r="L566" s="204"/>
      <c r="M566" s="204"/>
      <c r="N566" s="190">
        <v>14</v>
      </c>
      <c r="O566" s="190"/>
      <c r="P566" s="190">
        <f>N566</f>
        <v>14</v>
      </c>
    </row>
    <row r="567" spans="1:16" ht="12.75" hidden="1">
      <c r="A567" s="133" t="s">
        <v>372</v>
      </c>
      <c r="B567" s="187"/>
      <c r="C567" s="187"/>
      <c r="D567" s="188"/>
      <c r="E567" s="188"/>
      <c r="F567" s="188"/>
      <c r="G567" s="188"/>
      <c r="H567" s="188"/>
      <c r="I567" s="188"/>
      <c r="J567" s="188"/>
      <c r="K567" s="189"/>
      <c r="L567" s="189"/>
      <c r="M567" s="189"/>
      <c r="N567" s="188"/>
      <c r="O567" s="188"/>
      <c r="P567" s="188"/>
    </row>
    <row r="568" spans="1:16" ht="12.75" hidden="1">
      <c r="A568" s="134" t="s">
        <v>384</v>
      </c>
      <c r="B568" s="187"/>
      <c r="C568" s="187"/>
      <c r="D568" s="188" t="e">
        <f>D564/D566</f>
        <v>#DIV/0!</v>
      </c>
      <c r="E568" s="188"/>
      <c r="F568" s="188" t="e">
        <f>D568</f>
        <v>#DIV/0!</v>
      </c>
      <c r="G568" s="188">
        <f>G564/G566</f>
        <v>4214.285714285715</v>
      </c>
      <c r="H568" s="188"/>
      <c r="I568" s="188"/>
      <c r="J568" s="188">
        <f>G568</f>
        <v>4214.285714285715</v>
      </c>
      <c r="K568" s="189"/>
      <c r="L568" s="189"/>
      <c r="M568" s="189"/>
      <c r="N568" s="188">
        <f>N564/N566</f>
        <v>4285.714285714285</v>
      </c>
      <c r="O568" s="188"/>
      <c r="P568" s="188">
        <f>N568</f>
        <v>4285.714285714285</v>
      </c>
    </row>
    <row r="569" spans="1:16" ht="19.5" customHeight="1" hidden="1">
      <c r="A569" s="132" t="s">
        <v>129</v>
      </c>
      <c r="B569" s="187"/>
      <c r="C569" s="187"/>
      <c r="D569" s="186">
        <f>D571</f>
        <v>30000</v>
      </c>
      <c r="E569" s="186"/>
      <c r="F569" s="186">
        <f>D569</f>
        <v>30000</v>
      </c>
      <c r="G569" s="186">
        <f>G571</f>
        <v>95000</v>
      </c>
      <c r="H569" s="186"/>
      <c r="I569" s="186">
        <f>I571</f>
        <v>0</v>
      </c>
      <c r="J569" s="186">
        <f>J571</f>
        <v>95000</v>
      </c>
      <c r="K569" s="192"/>
      <c r="L569" s="192"/>
      <c r="M569" s="192"/>
      <c r="N569" s="186"/>
      <c r="O569" s="186"/>
      <c r="P569" s="186"/>
    </row>
    <row r="570" spans="1:16" ht="12.75" hidden="1">
      <c r="A570" s="133" t="s">
        <v>254</v>
      </c>
      <c r="B570" s="187"/>
      <c r="C570" s="187"/>
      <c r="D570" s="188"/>
      <c r="E570" s="188"/>
      <c r="F570" s="188"/>
      <c r="G570" s="188"/>
      <c r="H570" s="188"/>
      <c r="I570" s="188"/>
      <c r="J570" s="188"/>
      <c r="K570" s="189"/>
      <c r="L570" s="189"/>
      <c r="M570" s="189"/>
      <c r="N570" s="188"/>
      <c r="O570" s="188"/>
      <c r="P570" s="188"/>
    </row>
    <row r="571" spans="1:16" ht="12.75" hidden="1">
      <c r="A571" s="134" t="s">
        <v>377</v>
      </c>
      <c r="B571" s="187"/>
      <c r="C571" s="187"/>
      <c r="D571" s="188">
        <f>300000-270000</f>
        <v>30000</v>
      </c>
      <c r="E571" s="188"/>
      <c r="F571" s="188">
        <f>D571</f>
        <v>30000</v>
      </c>
      <c r="G571" s="188">
        <v>95000</v>
      </c>
      <c r="H571" s="188"/>
      <c r="I571" s="188"/>
      <c r="J571" s="188">
        <f>G571+H571</f>
        <v>95000</v>
      </c>
      <c r="K571" s="189"/>
      <c r="L571" s="189"/>
      <c r="M571" s="189"/>
      <c r="N571" s="188"/>
      <c r="O571" s="188"/>
      <c r="P571" s="188"/>
    </row>
    <row r="572" spans="1:16" ht="12.75" hidden="1">
      <c r="A572" s="133" t="s">
        <v>376</v>
      </c>
      <c r="B572" s="187"/>
      <c r="C572" s="187"/>
      <c r="D572" s="188"/>
      <c r="E572" s="188"/>
      <c r="F572" s="188"/>
      <c r="G572" s="188"/>
      <c r="H572" s="188"/>
      <c r="I572" s="188"/>
      <c r="J572" s="188"/>
      <c r="K572" s="189"/>
      <c r="L572" s="189"/>
      <c r="M572" s="189"/>
      <c r="N572" s="188"/>
      <c r="O572" s="188"/>
      <c r="P572" s="188"/>
    </row>
    <row r="573" spans="1:16" ht="15.75" customHeight="1" hidden="1">
      <c r="A573" s="135" t="s">
        <v>379</v>
      </c>
      <c r="B573" s="187"/>
      <c r="C573" s="187"/>
      <c r="D573" s="190">
        <v>2</v>
      </c>
      <c r="E573" s="190"/>
      <c r="F573" s="190">
        <f>D573</f>
        <v>2</v>
      </c>
      <c r="G573" s="190">
        <v>1</v>
      </c>
      <c r="H573" s="190"/>
      <c r="I573" s="190"/>
      <c r="J573" s="190">
        <f>G573+H573</f>
        <v>1</v>
      </c>
      <c r="K573" s="189"/>
      <c r="L573" s="189"/>
      <c r="M573" s="189"/>
      <c r="N573" s="188"/>
      <c r="O573" s="188"/>
      <c r="P573" s="188"/>
    </row>
    <row r="574" spans="1:16" ht="12.75" hidden="1">
      <c r="A574" s="133" t="s">
        <v>372</v>
      </c>
      <c r="B574" s="187"/>
      <c r="C574" s="187"/>
      <c r="D574" s="188"/>
      <c r="E574" s="188"/>
      <c r="F574" s="188"/>
      <c r="G574" s="188"/>
      <c r="H574" s="188"/>
      <c r="I574" s="188"/>
      <c r="J574" s="188"/>
      <c r="K574" s="189"/>
      <c r="L574" s="189"/>
      <c r="M574" s="189"/>
      <c r="N574" s="188"/>
      <c r="O574" s="188"/>
      <c r="P574" s="188"/>
    </row>
    <row r="575" spans="1:16" ht="12.75" hidden="1">
      <c r="A575" s="134" t="s">
        <v>380</v>
      </c>
      <c r="B575" s="187"/>
      <c r="C575" s="187"/>
      <c r="D575" s="188">
        <f>D571/D573</f>
        <v>15000</v>
      </c>
      <c r="E575" s="188"/>
      <c r="F575" s="188">
        <f>D575</f>
        <v>15000</v>
      </c>
      <c r="G575" s="188">
        <f>G571/G573</f>
        <v>95000</v>
      </c>
      <c r="H575" s="188"/>
      <c r="I575" s="188"/>
      <c r="J575" s="188">
        <f>G575+H575</f>
        <v>95000</v>
      </c>
      <c r="K575" s="189"/>
      <c r="L575" s="189"/>
      <c r="M575" s="189"/>
      <c r="N575" s="188"/>
      <c r="O575" s="188"/>
      <c r="P575" s="188"/>
    </row>
    <row r="576" spans="1:102" s="12" customFormat="1" ht="38.25" customHeight="1" hidden="1">
      <c r="A576" s="132" t="s">
        <v>130</v>
      </c>
      <c r="B576" s="148"/>
      <c r="C576" s="148"/>
      <c r="D576" s="186">
        <f>D578</f>
        <v>50100</v>
      </c>
      <c r="E576" s="186"/>
      <c r="F576" s="186">
        <f>D576</f>
        <v>50100</v>
      </c>
      <c r="G576" s="186">
        <f>G578</f>
        <v>950000</v>
      </c>
      <c r="H576" s="186"/>
      <c r="I576" s="186"/>
      <c r="J576" s="186">
        <f>G576+H576</f>
        <v>950000</v>
      </c>
      <c r="K576" s="192"/>
      <c r="L576" s="192"/>
      <c r="M576" s="192"/>
      <c r="N576" s="186">
        <f>N578</f>
        <v>188000</v>
      </c>
      <c r="O576" s="186"/>
      <c r="P576" s="186">
        <f>N576+O576</f>
        <v>188000</v>
      </c>
      <c r="Q576" s="79"/>
      <c r="R576" s="79"/>
      <c r="S576" s="79"/>
      <c r="T576" s="79"/>
      <c r="U576" s="79"/>
      <c r="V576" s="79"/>
      <c r="W576" s="79"/>
      <c r="X576" s="79"/>
      <c r="Y576" s="79"/>
      <c r="Z576" s="79"/>
      <c r="AA576" s="79"/>
      <c r="AB576" s="79"/>
      <c r="AC576" s="79"/>
      <c r="AD576" s="79"/>
      <c r="AE576" s="79"/>
      <c r="AF576" s="79"/>
      <c r="AG576" s="79"/>
      <c r="AH576" s="79"/>
      <c r="AI576" s="79"/>
      <c r="AJ576" s="79"/>
      <c r="AK576" s="79"/>
      <c r="AL576" s="79"/>
      <c r="AM576" s="79"/>
      <c r="AN576" s="79"/>
      <c r="AO576" s="79"/>
      <c r="AP576" s="79"/>
      <c r="AQ576" s="79"/>
      <c r="AR576" s="79"/>
      <c r="AS576" s="79"/>
      <c r="AT576" s="79"/>
      <c r="AU576" s="79"/>
      <c r="AV576" s="79"/>
      <c r="AW576" s="79"/>
      <c r="AX576" s="79"/>
      <c r="AY576" s="79"/>
      <c r="AZ576" s="79"/>
      <c r="BA576" s="79"/>
      <c r="BB576" s="79"/>
      <c r="BC576" s="79"/>
      <c r="BD576" s="79"/>
      <c r="BE576" s="79"/>
      <c r="BF576" s="79"/>
      <c r="BG576" s="79"/>
      <c r="BH576" s="79"/>
      <c r="BI576" s="79"/>
      <c r="BJ576" s="79"/>
      <c r="BK576" s="79"/>
      <c r="BL576" s="79"/>
      <c r="BM576" s="79"/>
      <c r="BN576" s="79"/>
      <c r="BO576" s="79"/>
      <c r="BP576" s="79"/>
      <c r="BQ576" s="79"/>
      <c r="BR576" s="79"/>
      <c r="BS576" s="79"/>
      <c r="BT576" s="79"/>
      <c r="BU576" s="79"/>
      <c r="BV576" s="79"/>
      <c r="BW576" s="79"/>
      <c r="BX576" s="79"/>
      <c r="BY576" s="79"/>
      <c r="BZ576" s="79"/>
      <c r="CA576" s="79"/>
      <c r="CB576" s="79"/>
      <c r="CC576" s="79"/>
      <c r="CD576" s="79"/>
      <c r="CE576" s="79"/>
      <c r="CF576" s="79"/>
      <c r="CG576" s="79"/>
      <c r="CH576" s="79"/>
      <c r="CI576" s="79"/>
      <c r="CJ576" s="79"/>
      <c r="CK576" s="79"/>
      <c r="CL576" s="79"/>
      <c r="CM576" s="79"/>
      <c r="CN576" s="79"/>
      <c r="CO576" s="79"/>
      <c r="CP576" s="79"/>
      <c r="CQ576" s="79"/>
      <c r="CR576" s="79"/>
      <c r="CS576" s="79"/>
      <c r="CT576" s="79"/>
      <c r="CU576" s="79"/>
      <c r="CV576" s="79"/>
      <c r="CW576" s="79"/>
      <c r="CX576" s="79"/>
    </row>
    <row r="577" spans="1:16" ht="12.75" hidden="1">
      <c r="A577" s="133" t="s">
        <v>254</v>
      </c>
      <c r="B577" s="187"/>
      <c r="C577" s="187"/>
      <c r="D577" s="188"/>
      <c r="E577" s="188"/>
      <c r="F577" s="188"/>
      <c r="G577" s="188"/>
      <c r="H577" s="188"/>
      <c r="I577" s="188"/>
      <c r="J577" s="188"/>
      <c r="K577" s="189"/>
      <c r="L577" s="189"/>
      <c r="M577" s="189"/>
      <c r="N577" s="188"/>
      <c r="O577" s="188"/>
      <c r="P577" s="188">
        <f aca="true" t="shared" si="38" ref="P577:P582">N577+O577</f>
        <v>0</v>
      </c>
    </row>
    <row r="578" spans="1:16" ht="12.75" hidden="1">
      <c r="A578" s="134" t="s">
        <v>377</v>
      </c>
      <c r="B578" s="187"/>
      <c r="C578" s="187"/>
      <c r="D578" s="188">
        <f>230000-179900</f>
        <v>50100</v>
      </c>
      <c r="E578" s="188"/>
      <c r="F578" s="188">
        <f>D578</f>
        <v>50100</v>
      </c>
      <c r="G578" s="188">
        <f>179000+771000</f>
        <v>950000</v>
      </c>
      <c r="H578" s="188"/>
      <c r="I578" s="188"/>
      <c r="J578" s="188">
        <f>G578+H578</f>
        <v>950000</v>
      </c>
      <c r="K578" s="189"/>
      <c r="L578" s="189"/>
      <c r="M578" s="189"/>
      <c r="N578" s="188">
        <v>188000</v>
      </c>
      <c r="O578" s="188"/>
      <c r="P578" s="188">
        <f t="shared" si="38"/>
        <v>188000</v>
      </c>
    </row>
    <row r="579" spans="1:16" ht="12.75" hidden="1">
      <c r="A579" s="133" t="s">
        <v>376</v>
      </c>
      <c r="B579" s="187"/>
      <c r="C579" s="187"/>
      <c r="D579" s="188"/>
      <c r="E579" s="188"/>
      <c r="F579" s="188"/>
      <c r="G579" s="188"/>
      <c r="H579" s="188"/>
      <c r="I579" s="188"/>
      <c r="J579" s="188"/>
      <c r="K579" s="189"/>
      <c r="L579" s="189"/>
      <c r="M579" s="189"/>
      <c r="N579" s="188"/>
      <c r="O579" s="188"/>
      <c r="P579" s="188">
        <f t="shared" si="38"/>
        <v>0</v>
      </c>
    </row>
    <row r="580" spans="1:16" ht="12.75" hidden="1">
      <c r="A580" s="135" t="s">
        <v>381</v>
      </c>
      <c r="B580" s="187"/>
      <c r="C580" s="187"/>
      <c r="D580" s="190">
        <f>D578/D582</f>
        <v>2.2772727272727273</v>
      </c>
      <c r="E580" s="188"/>
      <c r="F580" s="190">
        <f>D580</f>
        <v>2.2772727272727273</v>
      </c>
      <c r="G580" s="190">
        <v>43</v>
      </c>
      <c r="H580" s="190"/>
      <c r="I580" s="190"/>
      <c r="J580" s="190">
        <f>G580+H580</f>
        <v>43</v>
      </c>
      <c r="K580" s="204"/>
      <c r="L580" s="204"/>
      <c r="M580" s="204"/>
      <c r="N580" s="190">
        <f>N578/N582</f>
        <v>8</v>
      </c>
      <c r="O580" s="190"/>
      <c r="P580" s="190">
        <f t="shared" si="38"/>
        <v>8</v>
      </c>
    </row>
    <row r="581" spans="1:16" ht="12.75" hidden="1">
      <c r="A581" s="133" t="s">
        <v>372</v>
      </c>
      <c r="B581" s="187"/>
      <c r="C581" s="187"/>
      <c r="D581" s="188"/>
      <c r="E581" s="188"/>
      <c r="F581" s="188"/>
      <c r="G581" s="188"/>
      <c r="H581" s="188"/>
      <c r="I581" s="188"/>
      <c r="J581" s="188"/>
      <c r="K581" s="189"/>
      <c r="L581" s="189"/>
      <c r="M581" s="189"/>
      <c r="N581" s="188"/>
      <c r="O581" s="188"/>
      <c r="P581" s="188">
        <f t="shared" si="38"/>
        <v>0</v>
      </c>
    </row>
    <row r="582" spans="1:16" ht="12.75" hidden="1">
      <c r="A582" s="134" t="s">
        <v>382</v>
      </c>
      <c r="B582" s="187"/>
      <c r="C582" s="187"/>
      <c r="D582" s="188">
        <v>22000</v>
      </c>
      <c r="E582" s="188"/>
      <c r="F582" s="188">
        <f>D582</f>
        <v>22000</v>
      </c>
      <c r="G582" s="188">
        <f>G578/G580</f>
        <v>22093.023255813954</v>
      </c>
      <c r="H582" s="188"/>
      <c r="I582" s="188"/>
      <c r="J582" s="188">
        <f>G582+H582</f>
        <v>22093.023255813954</v>
      </c>
      <c r="K582" s="189"/>
      <c r="L582" s="189"/>
      <c r="M582" s="189"/>
      <c r="N582" s="188">
        <v>23500</v>
      </c>
      <c r="O582" s="188"/>
      <c r="P582" s="188">
        <f t="shared" si="38"/>
        <v>23500</v>
      </c>
    </row>
    <row r="583" spans="1:16" ht="40.5" hidden="1">
      <c r="A583" s="170" t="s">
        <v>566</v>
      </c>
      <c r="B583" s="187"/>
      <c r="C583" s="187"/>
      <c r="D583" s="305">
        <f>D585</f>
        <v>323000</v>
      </c>
      <c r="E583" s="305">
        <f>E585</f>
        <v>1780000</v>
      </c>
      <c r="F583" s="305">
        <f>D583+E583</f>
        <v>2103000</v>
      </c>
      <c r="G583" s="305">
        <f>G585</f>
        <v>891000</v>
      </c>
      <c r="H583" s="305">
        <f>H585</f>
        <v>12276260</v>
      </c>
      <c r="I583" s="186"/>
      <c r="J583" s="186">
        <f>G583+H583</f>
        <v>13167260</v>
      </c>
      <c r="K583" s="192"/>
      <c r="L583" s="192"/>
      <c r="M583" s="192"/>
      <c r="N583" s="186">
        <f>N585</f>
        <v>0</v>
      </c>
      <c r="O583" s="186"/>
      <c r="P583" s="186">
        <f>N583</f>
        <v>0</v>
      </c>
    </row>
    <row r="584" spans="1:16" ht="13.5" hidden="1">
      <c r="A584" s="133" t="s">
        <v>254</v>
      </c>
      <c r="B584" s="187"/>
      <c r="C584" s="187"/>
      <c r="D584" s="306"/>
      <c r="E584" s="306"/>
      <c r="F584" s="306"/>
      <c r="G584" s="306"/>
      <c r="H584" s="306"/>
      <c r="I584" s="188"/>
      <c r="J584" s="186"/>
      <c r="K584" s="189"/>
      <c r="L584" s="189"/>
      <c r="M584" s="189"/>
      <c r="N584" s="188"/>
      <c r="O584" s="188"/>
      <c r="P584" s="188"/>
    </row>
    <row r="585" spans="1:16" ht="12.75" hidden="1">
      <c r="A585" s="134" t="s">
        <v>377</v>
      </c>
      <c r="B585" s="187"/>
      <c r="C585" s="187"/>
      <c r="D585" s="306">
        <f>350000+1780000-27000-1780000</f>
        <v>323000</v>
      </c>
      <c r="E585" s="306">
        <f>0+1780000</f>
        <v>1780000</v>
      </c>
      <c r="F585" s="306">
        <f>D585</f>
        <v>323000</v>
      </c>
      <c r="G585" s="306">
        <f>891000</f>
        <v>891000</v>
      </c>
      <c r="H585" s="306">
        <f>0+4836260+840000+6600000</f>
        <v>12276260</v>
      </c>
      <c r="I585" s="188">
        <f>G585</f>
        <v>891000</v>
      </c>
      <c r="J585" s="188">
        <f>G585+H585</f>
        <v>13167260</v>
      </c>
      <c r="K585" s="189"/>
      <c r="L585" s="189"/>
      <c r="M585" s="189"/>
      <c r="N585" s="188"/>
      <c r="O585" s="188"/>
      <c r="P585" s="188">
        <f>N585</f>
        <v>0</v>
      </c>
    </row>
    <row r="586" spans="1:16" ht="12.75" hidden="1">
      <c r="A586" s="133" t="s">
        <v>376</v>
      </c>
      <c r="B586" s="187"/>
      <c r="C586" s="187"/>
      <c r="D586" s="306"/>
      <c r="E586" s="306"/>
      <c r="F586" s="306"/>
      <c r="G586" s="306"/>
      <c r="H586" s="306"/>
      <c r="I586" s="188"/>
      <c r="J586" s="188"/>
      <c r="K586" s="189"/>
      <c r="L586" s="189"/>
      <c r="M586" s="189"/>
      <c r="N586" s="188"/>
      <c r="O586" s="188"/>
      <c r="P586" s="188"/>
    </row>
    <row r="587" spans="1:16" ht="12.75" hidden="1">
      <c r="A587" s="135" t="s">
        <v>385</v>
      </c>
      <c r="B587" s="187"/>
      <c r="C587" s="187"/>
      <c r="D587" s="314">
        <v>1</v>
      </c>
      <c r="E587" s="314">
        <v>1</v>
      </c>
      <c r="F587" s="314">
        <f>D587</f>
        <v>1</v>
      </c>
      <c r="G587" s="314">
        <v>1</v>
      </c>
      <c r="H587" s="314">
        <v>1</v>
      </c>
      <c r="I587" s="190">
        <f>G587</f>
        <v>1</v>
      </c>
      <c r="J587" s="190">
        <f>G587</f>
        <v>1</v>
      </c>
      <c r="K587" s="204"/>
      <c r="L587" s="204"/>
      <c r="M587" s="204"/>
      <c r="N587" s="190"/>
      <c r="O587" s="190"/>
      <c r="P587" s="190">
        <f>N587</f>
        <v>0</v>
      </c>
    </row>
    <row r="588" spans="1:16" ht="12.75" hidden="1">
      <c r="A588" s="133" t="s">
        <v>372</v>
      </c>
      <c r="B588" s="187"/>
      <c r="C588" s="187"/>
      <c r="D588" s="306"/>
      <c r="E588" s="306"/>
      <c r="F588" s="306"/>
      <c r="G588" s="306"/>
      <c r="H588" s="306"/>
      <c r="I588" s="188"/>
      <c r="J588" s="188"/>
      <c r="K588" s="189"/>
      <c r="L588" s="189"/>
      <c r="M588" s="189"/>
      <c r="N588" s="188"/>
      <c r="O588" s="188"/>
      <c r="P588" s="188"/>
    </row>
    <row r="589" spans="1:16" ht="12.75" hidden="1">
      <c r="A589" s="134" t="s">
        <v>386</v>
      </c>
      <c r="B589" s="187"/>
      <c r="C589" s="187"/>
      <c r="D589" s="306">
        <f aca="true" t="shared" si="39" ref="D589:I589">D585/D587</f>
        <v>323000</v>
      </c>
      <c r="E589" s="306">
        <f t="shared" si="39"/>
        <v>1780000</v>
      </c>
      <c r="F589" s="306">
        <f t="shared" si="39"/>
        <v>323000</v>
      </c>
      <c r="G589" s="306">
        <f t="shared" si="39"/>
        <v>891000</v>
      </c>
      <c r="H589" s="306">
        <f t="shared" si="39"/>
        <v>12276260</v>
      </c>
      <c r="I589" s="188">
        <f t="shared" si="39"/>
        <v>891000</v>
      </c>
      <c r="J589" s="188">
        <f>G589</f>
        <v>891000</v>
      </c>
      <c r="K589" s="189"/>
      <c r="L589" s="189"/>
      <c r="M589" s="189"/>
      <c r="N589" s="188"/>
      <c r="O589" s="188"/>
      <c r="P589" s="188">
        <f>N589</f>
        <v>0</v>
      </c>
    </row>
    <row r="590" spans="1:102" s="81" customFormat="1" ht="70.5" customHeight="1" hidden="1">
      <c r="A590" s="279" t="s">
        <v>131</v>
      </c>
      <c r="B590" s="145"/>
      <c r="C590" s="145"/>
      <c r="D590" s="205">
        <f>D592</f>
        <v>1696114</v>
      </c>
      <c r="E590" s="205"/>
      <c r="F590" s="205">
        <f>F592</f>
        <v>1696114</v>
      </c>
      <c r="G590" s="205">
        <f>G592</f>
        <v>1950580</v>
      </c>
      <c r="H590" s="205"/>
      <c r="I590" s="205"/>
      <c r="J590" s="205">
        <f>G590+H590</f>
        <v>1950580</v>
      </c>
      <c r="K590" s="205"/>
      <c r="L590" s="205"/>
      <c r="M590" s="205"/>
      <c r="N590" s="205"/>
      <c r="O590" s="205"/>
      <c r="P590" s="205"/>
      <c r="Q590" s="80"/>
      <c r="R590" s="80"/>
      <c r="S590" s="80"/>
      <c r="T590" s="80"/>
      <c r="U590" s="80"/>
      <c r="V590" s="80"/>
      <c r="W590" s="80"/>
      <c r="X590" s="80"/>
      <c r="Y590" s="80"/>
      <c r="Z590" s="80"/>
      <c r="AA590" s="80"/>
      <c r="AB590" s="80"/>
      <c r="AC590" s="80"/>
      <c r="AD590" s="80"/>
      <c r="AE590" s="80"/>
      <c r="AF590" s="80"/>
      <c r="AG590" s="80"/>
      <c r="AH590" s="80"/>
      <c r="AI590" s="80"/>
      <c r="AJ590" s="80"/>
      <c r="AK590" s="80"/>
      <c r="AL590" s="80"/>
      <c r="AM590" s="80"/>
      <c r="AN590" s="80"/>
      <c r="AO590" s="80"/>
      <c r="AP590" s="80"/>
      <c r="AQ590" s="80"/>
      <c r="AR590" s="80"/>
      <c r="AS590" s="80"/>
      <c r="AT590" s="80"/>
      <c r="AU590" s="80"/>
      <c r="AV590" s="80"/>
      <c r="AW590" s="80"/>
      <c r="AX590" s="80"/>
      <c r="AY590" s="80"/>
      <c r="AZ590" s="80"/>
      <c r="BA590" s="80"/>
      <c r="BB590" s="80"/>
      <c r="BC590" s="80"/>
      <c r="BD590" s="80"/>
      <c r="BE590" s="80"/>
      <c r="BF590" s="80"/>
      <c r="BG590" s="80"/>
      <c r="BH590" s="80"/>
      <c r="BI590" s="80"/>
      <c r="BJ590" s="80"/>
      <c r="BK590" s="80"/>
      <c r="BL590" s="80"/>
      <c r="BM590" s="80"/>
      <c r="BN590" s="80"/>
      <c r="BO590" s="80"/>
      <c r="BP590" s="80"/>
      <c r="BQ590" s="80"/>
      <c r="BR590" s="80"/>
      <c r="BS590" s="80"/>
      <c r="BT590" s="80"/>
      <c r="BU590" s="80"/>
      <c r="BV590" s="80"/>
      <c r="BW590" s="80"/>
      <c r="BX590" s="80"/>
      <c r="BY590" s="80"/>
      <c r="BZ590" s="80"/>
      <c r="CA590" s="80"/>
      <c r="CB590" s="80"/>
      <c r="CC590" s="80"/>
      <c r="CD590" s="80"/>
      <c r="CE590" s="80"/>
      <c r="CF590" s="80"/>
      <c r="CG590" s="80"/>
      <c r="CH590" s="80"/>
      <c r="CI590" s="80"/>
      <c r="CJ590" s="80"/>
      <c r="CK590" s="80"/>
      <c r="CL590" s="80"/>
      <c r="CM590" s="80"/>
      <c r="CN590" s="80"/>
      <c r="CO590" s="80"/>
      <c r="CP590" s="80"/>
      <c r="CQ590" s="80"/>
      <c r="CR590" s="80"/>
      <c r="CS590" s="80"/>
      <c r="CT590" s="80"/>
      <c r="CU590" s="80"/>
      <c r="CV590" s="80"/>
      <c r="CW590" s="80"/>
      <c r="CX590" s="80"/>
    </row>
    <row r="591" spans="1:102" s="60" customFormat="1" ht="19.5" customHeight="1" hidden="1">
      <c r="A591" s="133" t="s">
        <v>254</v>
      </c>
      <c r="B591" s="90"/>
      <c r="C591" s="90"/>
      <c r="D591" s="206"/>
      <c r="E591" s="206"/>
      <c r="F591" s="206"/>
      <c r="G591" s="206"/>
      <c r="H591" s="206"/>
      <c r="I591" s="206"/>
      <c r="J591" s="206"/>
      <c r="K591" s="91"/>
      <c r="L591" s="91"/>
      <c r="M591" s="91"/>
      <c r="N591" s="206"/>
      <c r="O591" s="206"/>
      <c r="P591" s="206"/>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c r="AQ591" s="59"/>
      <c r="AR591" s="59"/>
      <c r="AS591" s="59"/>
      <c r="AT591" s="59"/>
      <c r="AU591" s="59"/>
      <c r="AV591" s="59"/>
      <c r="AW591" s="59"/>
      <c r="AX591" s="59"/>
      <c r="AY591" s="59"/>
      <c r="AZ591" s="59"/>
      <c r="BA591" s="59"/>
      <c r="BB591" s="59"/>
      <c r="BC591" s="59"/>
      <c r="BD591" s="59"/>
      <c r="BE591" s="59"/>
      <c r="BF591" s="59"/>
      <c r="BG591" s="59"/>
      <c r="BH591" s="59"/>
      <c r="BI591" s="59"/>
      <c r="BJ591" s="59"/>
      <c r="BK591" s="59"/>
      <c r="BL591" s="59"/>
      <c r="BM591" s="59"/>
      <c r="BN591" s="59"/>
      <c r="BO591" s="59"/>
      <c r="BP591" s="59"/>
      <c r="BQ591" s="59"/>
      <c r="BR591" s="59"/>
      <c r="BS591" s="59"/>
      <c r="BT591" s="59"/>
      <c r="BU591" s="59"/>
      <c r="BV591" s="59"/>
      <c r="BW591" s="59"/>
      <c r="BX591" s="59"/>
      <c r="BY591" s="59"/>
      <c r="BZ591" s="59"/>
      <c r="CA591" s="59"/>
      <c r="CB591" s="59"/>
      <c r="CC591" s="59"/>
      <c r="CD591" s="59"/>
      <c r="CE591" s="59"/>
      <c r="CF591" s="59"/>
      <c r="CG591" s="59"/>
      <c r="CH591" s="59"/>
      <c r="CI591" s="59"/>
      <c r="CJ591" s="59"/>
      <c r="CK591" s="59"/>
      <c r="CL591" s="59"/>
      <c r="CM591" s="59"/>
      <c r="CN591" s="59"/>
      <c r="CO591" s="59"/>
      <c r="CP591" s="59"/>
      <c r="CQ591" s="59"/>
      <c r="CR591" s="59"/>
      <c r="CS591" s="59"/>
      <c r="CT591" s="59"/>
      <c r="CU591" s="59"/>
      <c r="CV591" s="59"/>
      <c r="CW591" s="59"/>
      <c r="CX591" s="59"/>
    </row>
    <row r="592" spans="1:102" s="60" customFormat="1" ht="12.75" hidden="1">
      <c r="A592" s="134" t="s">
        <v>378</v>
      </c>
      <c r="B592" s="90"/>
      <c r="C592" s="90"/>
      <c r="D592" s="206">
        <f>1541959+154155</f>
        <v>1696114</v>
      </c>
      <c r="E592" s="206"/>
      <c r="F592" s="206">
        <f>D592</f>
        <v>1696114</v>
      </c>
      <c r="G592" s="206">
        <f>1541959+326000+41+82580</f>
        <v>1950580</v>
      </c>
      <c r="H592" s="206"/>
      <c r="I592" s="206"/>
      <c r="J592" s="206">
        <f aca="true" t="shared" si="40" ref="J592:J597">G592+H592</f>
        <v>1950580</v>
      </c>
      <c r="K592" s="91"/>
      <c r="L592" s="91"/>
      <c r="M592" s="91"/>
      <c r="N592" s="206"/>
      <c r="O592" s="206"/>
      <c r="P592" s="206"/>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59"/>
      <c r="BH592" s="59"/>
      <c r="BI592" s="59"/>
      <c r="BJ592" s="59"/>
      <c r="BK592" s="59"/>
      <c r="BL592" s="59"/>
      <c r="BM592" s="59"/>
      <c r="BN592" s="59"/>
      <c r="BO592" s="59"/>
      <c r="BP592" s="59"/>
      <c r="BQ592" s="59"/>
      <c r="BR592" s="59"/>
      <c r="BS592" s="59"/>
      <c r="BT592" s="59"/>
      <c r="BU592" s="59"/>
      <c r="BV592" s="59"/>
      <c r="BW592" s="59"/>
      <c r="BX592" s="59"/>
      <c r="BY592" s="59"/>
      <c r="BZ592" s="59"/>
      <c r="CA592" s="59"/>
      <c r="CB592" s="59"/>
      <c r="CC592" s="59"/>
      <c r="CD592" s="59"/>
      <c r="CE592" s="59"/>
      <c r="CF592" s="59"/>
      <c r="CG592" s="59"/>
      <c r="CH592" s="59"/>
      <c r="CI592" s="59"/>
      <c r="CJ592" s="59"/>
      <c r="CK592" s="59"/>
      <c r="CL592" s="59"/>
      <c r="CM592" s="59"/>
      <c r="CN592" s="59"/>
      <c r="CO592" s="59"/>
      <c r="CP592" s="59"/>
      <c r="CQ592" s="59"/>
      <c r="CR592" s="59"/>
      <c r="CS592" s="59"/>
      <c r="CT592" s="59"/>
      <c r="CU592" s="59"/>
      <c r="CV592" s="59"/>
      <c r="CW592" s="59"/>
      <c r="CX592" s="59"/>
    </row>
    <row r="593" spans="1:102" s="60" customFormat="1" ht="12.75" hidden="1">
      <c r="A593" s="133" t="s">
        <v>410</v>
      </c>
      <c r="B593" s="90"/>
      <c r="C593" s="90"/>
      <c r="D593" s="206"/>
      <c r="E593" s="206"/>
      <c r="F593" s="206"/>
      <c r="G593" s="206"/>
      <c r="H593" s="206"/>
      <c r="I593" s="206"/>
      <c r="J593" s="206"/>
      <c r="K593" s="91"/>
      <c r="L593" s="91"/>
      <c r="M593" s="91"/>
      <c r="N593" s="206"/>
      <c r="O593" s="206"/>
      <c r="P593" s="206"/>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c r="BO593" s="59"/>
      <c r="BP593" s="59"/>
      <c r="BQ593" s="59"/>
      <c r="BR593" s="59"/>
      <c r="BS593" s="59"/>
      <c r="BT593" s="59"/>
      <c r="BU593" s="59"/>
      <c r="BV593" s="59"/>
      <c r="BW593" s="59"/>
      <c r="BX593" s="59"/>
      <c r="BY593" s="59"/>
      <c r="BZ593" s="59"/>
      <c r="CA593" s="59"/>
      <c r="CB593" s="59"/>
      <c r="CC593" s="59"/>
      <c r="CD593" s="59"/>
      <c r="CE593" s="59"/>
      <c r="CF593" s="59"/>
      <c r="CG593" s="59"/>
      <c r="CH593" s="59"/>
      <c r="CI593" s="59"/>
      <c r="CJ593" s="59"/>
      <c r="CK593" s="59"/>
      <c r="CL593" s="59"/>
      <c r="CM593" s="59"/>
      <c r="CN593" s="59"/>
      <c r="CO593" s="59"/>
      <c r="CP593" s="59"/>
      <c r="CQ593" s="59"/>
      <c r="CR593" s="59"/>
      <c r="CS593" s="59"/>
      <c r="CT593" s="59"/>
      <c r="CU593" s="59"/>
      <c r="CV593" s="59"/>
      <c r="CW593" s="59"/>
      <c r="CX593" s="59"/>
    </row>
    <row r="594" spans="1:102" s="60" customFormat="1" ht="16.5" customHeight="1" hidden="1">
      <c r="A594" s="134" t="s">
        <v>151</v>
      </c>
      <c r="B594" s="90"/>
      <c r="C594" s="90"/>
      <c r="D594" s="254">
        <v>12</v>
      </c>
      <c r="E594" s="254"/>
      <c r="F594" s="254">
        <f>D594</f>
        <v>12</v>
      </c>
      <c r="G594" s="254">
        <v>12</v>
      </c>
      <c r="H594" s="254"/>
      <c r="I594" s="254"/>
      <c r="J594" s="254">
        <f t="shared" si="40"/>
        <v>12</v>
      </c>
      <c r="K594" s="91"/>
      <c r="L594" s="91"/>
      <c r="M594" s="91"/>
      <c r="N594" s="206"/>
      <c r="O594" s="206"/>
      <c r="P594" s="206"/>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59"/>
      <c r="BH594" s="59"/>
      <c r="BI594" s="59"/>
      <c r="BJ594" s="59"/>
      <c r="BK594" s="59"/>
      <c r="BL594" s="59"/>
      <c r="BM594" s="59"/>
      <c r="BN594" s="59"/>
      <c r="BO594" s="59"/>
      <c r="BP594" s="59"/>
      <c r="BQ594" s="59"/>
      <c r="BR594" s="59"/>
      <c r="BS594" s="59"/>
      <c r="BT594" s="59"/>
      <c r="BU594" s="59"/>
      <c r="BV594" s="59"/>
      <c r="BW594" s="59"/>
      <c r="BX594" s="59"/>
      <c r="BY594" s="59"/>
      <c r="BZ594" s="59"/>
      <c r="CA594" s="59"/>
      <c r="CB594" s="59"/>
      <c r="CC594" s="59"/>
      <c r="CD594" s="59"/>
      <c r="CE594" s="59"/>
      <c r="CF594" s="59"/>
      <c r="CG594" s="59"/>
      <c r="CH594" s="59"/>
      <c r="CI594" s="59"/>
      <c r="CJ594" s="59"/>
      <c r="CK594" s="59"/>
      <c r="CL594" s="59"/>
      <c r="CM594" s="59"/>
      <c r="CN594" s="59"/>
      <c r="CO594" s="59"/>
      <c r="CP594" s="59"/>
      <c r="CQ594" s="59"/>
      <c r="CR594" s="59"/>
      <c r="CS594" s="59"/>
      <c r="CT594" s="59"/>
      <c r="CU594" s="59"/>
      <c r="CV594" s="59"/>
      <c r="CW594" s="59"/>
      <c r="CX594" s="59"/>
    </row>
    <row r="595" spans="1:102" s="60" customFormat="1" ht="15.75" customHeight="1" hidden="1">
      <c r="A595" s="133" t="s">
        <v>372</v>
      </c>
      <c r="B595" s="90"/>
      <c r="C595" s="90"/>
      <c r="D595" s="206"/>
      <c r="E595" s="206"/>
      <c r="F595" s="206"/>
      <c r="G595" s="206"/>
      <c r="H595" s="206"/>
      <c r="I595" s="206"/>
      <c r="J595" s="206"/>
      <c r="K595" s="91"/>
      <c r="L595" s="91"/>
      <c r="M595" s="91"/>
      <c r="N595" s="206"/>
      <c r="O595" s="206"/>
      <c r="P595" s="206"/>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59"/>
      <c r="BG595" s="59"/>
      <c r="BH595" s="59"/>
      <c r="BI595" s="59"/>
      <c r="BJ595" s="59"/>
      <c r="BK595" s="59"/>
      <c r="BL595" s="59"/>
      <c r="BM595" s="59"/>
      <c r="BN595" s="59"/>
      <c r="BO595" s="59"/>
      <c r="BP595" s="59"/>
      <c r="BQ595" s="59"/>
      <c r="BR595" s="59"/>
      <c r="BS595" s="59"/>
      <c r="BT595" s="59"/>
      <c r="BU595" s="59"/>
      <c r="BV595" s="59"/>
      <c r="BW595" s="59"/>
      <c r="BX595" s="59"/>
      <c r="BY595" s="59"/>
      <c r="BZ595" s="59"/>
      <c r="CA595" s="59"/>
      <c r="CB595" s="59"/>
      <c r="CC595" s="59"/>
      <c r="CD595" s="59"/>
      <c r="CE595" s="59"/>
      <c r="CF595" s="59"/>
      <c r="CG595" s="59"/>
      <c r="CH595" s="59"/>
      <c r="CI595" s="59"/>
      <c r="CJ595" s="59"/>
      <c r="CK595" s="59"/>
      <c r="CL595" s="59"/>
      <c r="CM595" s="59"/>
      <c r="CN595" s="59"/>
      <c r="CO595" s="59"/>
      <c r="CP595" s="59"/>
      <c r="CQ595" s="59"/>
      <c r="CR595" s="59"/>
      <c r="CS595" s="59"/>
      <c r="CT595" s="59"/>
      <c r="CU595" s="59"/>
      <c r="CV595" s="59"/>
      <c r="CW595" s="59"/>
      <c r="CX595" s="59"/>
    </row>
    <row r="596" spans="1:102" s="60" customFormat="1" ht="12.75" hidden="1">
      <c r="A596" s="134" t="s">
        <v>422</v>
      </c>
      <c r="B596" s="90"/>
      <c r="C596" s="90"/>
      <c r="D596" s="206">
        <f>D592/D594</f>
        <v>141342.83333333334</v>
      </c>
      <c r="E596" s="206"/>
      <c r="F596" s="206">
        <f>D596</f>
        <v>141342.83333333334</v>
      </c>
      <c r="G596" s="206">
        <f>G592/G594</f>
        <v>162548.33333333334</v>
      </c>
      <c r="H596" s="206"/>
      <c r="I596" s="206"/>
      <c r="J596" s="206">
        <f t="shared" si="40"/>
        <v>162548.33333333334</v>
      </c>
      <c r="K596" s="91"/>
      <c r="L596" s="91"/>
      <c r="M596" s="91"/>
      <c r="N596" s="206"/>
      <c r="O596" s="206"/>
      <c r="P596" s="206"/>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59"/>
      <c r="BV596" s="59"/>
      <c r="BW596" s="59"/>
      <c r="BX596" s="59"/>
      <c r="BY596" s="59"/>
      <c r="BZ596" s="59"/>
      <c r="CA596" s="59"/>
      <c r="CB596" s="59"/>
      <c r="CC596" s="59"/>
      <c r="CD596" s="59"/>
      <c r="CE596" s="59"/>
      <c r="CF596" s="59"/>
      <c r="CG596" s="59"/>
      <c r="CH596" s="59"/>
      <c r="CI596" s="59"/>
      <c r="CJ596" s="59"/>
      <c r="CK596" s="59"/>
      <c r="CL596" s="59"/>
      <c r="CM596" s="59"/>
      <c r="CN596" s="59"/>
      <c r="CO596" s="59"/>
      <c r="CP596" s="59"/>
      <c r="CQ596" s="59"/>
      <c r="CR596" s="59"/>
      <c r="CS596" s="59"/>
      <c r="CT596" s="59"/>
      <c r="CU596" s="59"/>
      <c r="CV596" s="59"/>
      <c r="CW596" s="59"/>
      <c r="CX596" s="59"/>
    </row>
    <row r="597" spans="1:102" s="81" customFormat="1" ht="13.5" hidden="1">
      <c r="A597" s="136" t="s">
        <v>132</v>
      </c>
      <c r="B597" s="145"/>
      <c r="C597" s="145"/>
      <c r="D597" s="205">
        <f>D599</f>
        <v>70100</v>
      </c>
      <c r="E597" s="205"/>
      <c r="F597" s="205">
        <f>F599</f>
        <v>70100</v>
      </c>
      <c r="G597" s="205">
        <f>G599</f>
        <v>525000</v>
      </c>
      <c r="H597" s="205"/>
      <c r="I597" s="205"/>
      <c r="J597" s="205">
        <f t="shared" si="40"/>
        <v>525000</v>
      </c>
      <c r="K597" s="205"/>
      <c r="L597" s="205"/>
      <c r="M597" s="205"/>
      <c r="N597" s="205">
        <f>N599</f>
        <v>365000</v>
      </c>
      <c r="O597" s="205"/>
      <c r="P597" s="205">
        <f>N597+O597</f>
        <v>365000</v>
      </c>
      <c r="Q597" s="80"/>
      <c r="R597" s="80"/>
      <c r="S597" s="80"/>
      <c r="T597" s="80"/>
      <c r="U597" s="80"/>
      <c r="V597" s="80"/>
      <c r="W597" s="80"/>
      <c r="X597" s="80"/>
      <c r="Y597" s="80"/>
      <c r="Z597" s="80"/>
      <c r="AA597" s="80"/>
      <c r="AB597" s="80"/>
      <c r="AC597" s="80"/>
      <c r="AD597" s="80"/>
      <c r="AE597" s="80"/>
      <c r="AF597" s="80"/>
      <c r="AG597" s="80"/>
      <c r="AH597" s="80"/>
      <c r="AI597" s="80"/>
      <c r="AJ597" s="80"/>
      <c r="AK597" s="80"/>
      <c r="AL597" s="80"/>
      <c r="AM597" s="80"/>
      <c r="AN597" s="80"/>
      <c r="AO597" s="80"/>
      <c r="AP597" s="80"/>
      <c r="AQ597" s="80"/>
      <c r="AR597" s="80"/>
      <c r="AS597" s="80"/>
      <c r="AT597" s="80"/>
      <c r="AU597" s="80"/>
      <c r="AV597" s="80"/>
      <c r="AW597" s="80"/>
      <c r="AX597" s="80"/>
      <c r="AY597" s="80"/>
      <c r="AZ597" s="80"/>
      <c r="BA597" s="80"/>
      <c r="BB597" s="80"/>
      <c r="BC597" s="80"/>
      <c r="BD597" s="80"/>
      <c r="BE597" s="80"/>
      <c r="BF597" s="80"/>
      <c r="BG597" s="80"/>
      <c r="BH597" s="80"/>
      <c r="BI597" s="80"/>
      <c r="BJ597" s="80"/>
      <c r="BK597" s="80"/>
      <c r="BL597" s="80"/>
      <c r="BM597" s="80"/>
      <c r="BN597" s="80"/>
      <c r="BO597" s="80"/>
      <c r="BP597" s="80"/>
      <c r="BQ597" s="80"/>
      <c r="BR597" s="80"/>
      <c r="BS597" s="80"/>
      <c r="BT597" s="80"/>
      <c r="BU597" s="80"/>
      <c r="BV597" s="80"/>
      <c r="BW597" s="80"/>
      <c r="BX597" s="80"/>
      <c r="BY597" s="80"/>
      <c r="BZ597" s="80"/>
      <c r="CA597" s="80"/>
      <c r="CB597" s="80"/>
      <c r="CC597" s="80"/>
      <c r="CD597" s="80"/>
      <c r="CE597" s="80"/>
      <c r="CF597" s="80"/>
      <c r="CG597" s="80"/>
      <c r="CH597" s="80"/>
      <c r="CI597" s="80"/>
      <c r="CJ597" s="80"/>
      <c r="CK597" s="80"/>
      <c r="CL597" s="80"/>
      <c r="CM597" s="80"/>
      <c r="CN597" s="80"/>
      <c r="CO597" s="80"/>
      <c r="CP597" s="80"/>
      <c r="CQ597" s="80"/>
      <c r="CR597" s="80"/>
      <c r="CS597" s="80"/>
      <c r="CT597" s="80"/>
      <c r="CU597" s="80"/>
      <c r="CV597" s="80"/>
      <c r="CW597" s="80"/>
      <c r="CX597" s="80"/>
    </row>
    <row r="598" spans="1:102" s="60" customFormat="1" ht="12.75" hidden="1">
      <c r="A598" s="133" t="s">
        <v>254</v>
      </c>
      <c r="B598" s="90"/>
      <c r="C598" s="90"/>
      <c r="D598" s="206"/>
      <c r="E598" s="206"/>
      <c r="F598" s="206"/>
      <c r="G598" s="206"/>
      <c r="H598" s="206"/>
      <c r="I598" s="206"/>
      <c r="J598" s="207"/>
      <c r="K598" s="91"/>
      <c r="L598" s="91"/>
      <c r="M598" s="91"/>
      <c r="N598" s="206"/>
      <c r="O598" s="206"/>
      <c r="P598" s="207">
        <f aca="true" t="shared" si="41" ref="P598:P603">N598+O598</f>
        <v>0</v>
      </c>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59"/>
      <c r="AS598" s="59"/>
      <c r="AT598" s="59"/>
      <c r="AU598" s="59"/>
      <c r="AV598" s="59"/>
      <c r="AW598" s="59"/>
      <c r="AX598" s="59"/>
      <c r="AY598" s="59"/>
      <c r="AZ598" s="59"/>
      <c r="BA598" s="59"/>
      <c r="BB598" s="59"/>
      <c r="BC598" s="59"/>
      <c r="BD598" s="59"/>
      <c r="BE598" s="59"/>
      <c r="BF598" s="59"/>
      <c r="BG598" s="59"/>
      <c r="BH598" s="59"/>
      <c r="BI598" s="59"/>
      <c r="BJ598" s="59"/>
      <c r="BK598" s="59"/>
      <c r="BL598" s="59"/>
      <c r="BM598" s="59"/>
      <c r="BN598" s="59"/>
      <c r="BO598" s="59"/>
      <c r="BP598" s="59"/>
      <c r="BQ598" s="59"/>
      <c r="BR598" s="59"/>
      <c r="BS598" s="59"/>
      <c r="BT598" s="59"/>
      <c r="BU598" s="59"/>
      <c r="BV598" s="59"/>
      <c r="BW598" s="59"/>
      <c r="BX598" s="59"/>
      <c r="BY598" s="59"/>
      <c r="BZ598" s="59"/>
      <c r="CA598" s="59"/>
      <c r="CB598" s="59"/>
      <c r="CC598" s="59"/>
      <c r="CD598" s="59"/>
      <c r="CE598" s="59"/>
      <c r="CF598" s="59"/>
      <c r="CG598" s="59"/>
      <c r="CH598" s="59"/>
      <c r="CI598" s="59"/>
      <c r="CJ598" s="59"/>
      <c r="CK598" s="59"/>
      <c r="CL598" s="59"/>
      <c r="CM598" s="59"/>
      <c r="CN598" s="59"/>
      <c r="CO598" s="59"/>
      <c r="CP598" s="59"/>
      <c r="CQ598" s="59"/>
      <c r="CR598" s="59"/>
      <c r="CS598" s="59"/>
      <c r="CT598" s="59"/>
      <c r="CU598" s="59"/>
      <c r="CV598" s="59"/>
      <c r="CW598" s="59"/>
      <c r="CX598" s="59"/>
    </row>
    <row r="599" spans="1:102" s="60" customFormat="1" ht="12.75" hidden="1">
      <c r="A599" s="134" t="s">
        <v>378</v>
      </c>
      <c r="B599" s="90"/>
      <c r="C599" s="90"/>
      <c r="D599" s="206">
        <f>325000-254900</f>
        <v>70100</v>
      </c>
      <c r="E599" s="206"/>
      <c r="F599" s="206">
        <f>D599</f>
        <v>70100</v>
      </c>
      <c r="G599" s="206">
        <f>345000+180000</f>
        <v>525000</v>
      </c>
      <c r="H599" s="206"/>
      <c r="I599" s="206"/>
      <c r="J599" s="207">
        <f>G599+H599</f>
        <v>525000</v>
      </c>
      <c r="K599" s="91"/>
      <c r="L599" s="91"/>
      <c r="M599" s="91"/>
      <c r="N599" s="206">
        <v>365000</v>
      </c>
      <c r="O599" s="206"/>
      <c r="P599" s="207">
        <f t="shared" si="41"/>
        <v>365000</v>
      </c>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c r="BG599" s="59"/>
      <c r="BH599" s="59"/>
      <c r="BI599" s="59"/>
      <c r="BJ599" s="59"/>
      <c r="BK599" s="59"/>
      <c r="BL599" s="59"/>
      <c r="BM599" s="59"/>
      <c r="BN599" s="59"/>
      <c r="BO599" s="59"/>
      <c r="BP599" s="59"/>
      <c r="BQ599" s="59"/>
      <c r="BR599" s="59"/>
      <c r="BS599" s="59"/>
      <c r="BT599" s="59"/>
      <c r="BU599" s="59"/>
      <c r="BV599" s="59"/>
      <c r="BW599" s="59"/>
      <c r="BX599" s="59"/>
      <c r="BY599" s="59"/>
      <c r="BZ599" s="59"/>
      <c r="CA599" s="59"/>
      <c r="CB599" s="59"/>
      <c r="CC599" s="59"/>
      <c r="CD599" s="59"/>
      <c r="CE599" s="59"/>
      <c r="CF599" s="59"/>
      <c r="CG599" s="59"/>
      <c r="CH599" s="59"/>
      <c r="CI599" s="59"/>
      <c r="CJ599" s="59"/>
      <c r="CK599" s="59"/>
      <c r="CL599" s="59"/>
      <c r="CM599" s="59"/>
      <c r="CN599" s="59"/>
      <c r="CO599" s="59"/>
      <c r="CP599" s="59"/>
      <c r="CQ599" s="59"/>
      <c r="CR599" s="59"/>
      <c r="CS599" s="59"/>
      <c r="CT599" s="59"/>
      <c r="CU599" s="59"/>
      <c r="CV599" s="59"/>
      <c r="CW599" s="59"/>
      <c r="CX599" s="59"/>
    </row>
    <row r="600" spans="1:102" s="60" customFormat="1" ht="12.75" hidden="1">
      <c r="A600" s="133" t="s">
        <v>410</v>
      </c>
      <c r="B600" s="90"/>
      <c r="C600" s="90"/>
      <c r="D600" s="206"/>
      <c r="E600" s="206"/>
      <c r="F600" s="206"/>
      <c r="G600" s="206"/>
      <c r="H600" s="206"/>
      <c r="I600" s="206"/>
      <c r="J600" s="207"/>
      <c r="K600" s="91"/>
      <c r="L600" s="91"/>
      <c r="M600" s="91"/>
      <c r="N600" s="206"/>
      <c r="O600" s="206"/>
      <c r="P600" s="207">
        <f t="shared" si="41"/>
        <v>0</v>
      </c>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c r="AS600" s="59"/>
      <c r="AT600" s="59"/>
      <c r="AU600" s="59"/>
      <c r="AV600" s="59"/>
      <c r="AW600" s="59"/>
      <c r="AX600" s="59"/>
      <c r="AY600" s="59"/>
      <c r="AZ600" s="59"/>
      <c r="BA600" s="59"/>
      <c r="BB600" s="59"/>
      <c r="BC600" s="59"/>
      <c r="BD600" s="59"/>
      <c r="BE600" s="59"/>
      <c r="BF600" s="59"/>
      <c r="BG600" s="59"/>
      <c r="BH600" s="59"/>
      <c r="BI600" s="59"/>
      <c r="BJ600" s="59"/>
      <c r="BK600" s="59"/>
      <c r="BL600" s="59"/>
      <c r="BM600" s="59"/>
      <c r="BN600" s="59"/>
      <c r="BO600" s="59"/>
      <c r="BP600" s="59"/>
      <c r="BQ600" s="59"/>
      <c r="BR600" s="59"/>
      <c r="BS600" s="59"/>
      <c r="BT600" s="59"/>
      <c r="BU600" s="59"/>
      <c r="BV600" s="59"/>
      <c r="BW600" s="59"/>
      <c r="BX600" s="59"/>
      <c r="BY600" s="59"/>
      <c r="BZ600" s="59"/>
      <c r="CA600" s="59"/>
      <c r="CB600" s="59"/>
      <c r="CC600" s="59"/>
      <c r="CD600" s="59"/>
      <c r="CE600" s="59"/>
      <c r="CF600" s="59"/>
      <c r="CG600" s="59"/>
      <c r="CH600" s="59"/>
      <c r="CI600" s="59"/>
      <c r="CJ600" s="59"/>
      <c r="CK600" s="59"/>
      <c r="CL600" s="59"/>
      <c r="CM600" s="59"/>
      <c r="CN600" s="59"/>
      <c r="CO600" s="59"/>
      <c r="CP600" s="59"/>
      <c r="CQ600" s="59"/>
      <c r="CR600" s="59"/>
      <c r="CS600" s="59"/>
      <c r="CT600" s="59"/>
      <c r="CU600" s="59"/>
      <c r="CV600" s="59"/>
      <c r="CW600" s="59"/>
      <c r="CX600" s="59"/>
    </row>
    <row r="601" spans="1:102" s="60" customFormat="1" ht="16.5" customHeight="1" hidden="1">
      <c r="A601" s="134" t="s">
        <v>421</v>
      </c>
      <c r="B601" s="90"/>
      <c r="C601" s="90"/>
      <c r="D601" s="254">
        <v>2</v>
      </c>
      <c r="E601" s="254"/>
      <c r="F601" s="254">
        <f>D601</f>
        <v>2</v>
      </c>
      <c r="G601" s="254">
        <v>2</v>
      </c>
      <c r="H601" s="254"/>
      <c r="I601" s="254"/>
      <c r="J601" s="312">
        <f>G601+H601</f>
        <v>2</v>
      </c>
      <c r="K601" s="313"/>
      <c r="L601" s="313"/>
      <c r="M601" s="313"/>
      <c r="N601" s="254">
        <v>2</v>
      </c>
      <c r="O601" s="254"/>
      <c r="P601" s="312">
        <f t="shared" si="41"/>
        <v>2</v>
      </c>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c r="BO601" s="59"/>
      <c r="BP601" s="59"/>
      <c r="BQ601" s="59"/>
      <c r="BR601" s="59"/>
      <c r="BS601" s="59"/>
      <c r="BT601" s="59"/>
      <c r="BU601" s="59"/>
      <c r="BV601" s="59"/>
      <c r="BW601" s="59"/>
      <c r="BX601" s="59"/>
      <c r="BY601" s="59"/>
      <c r="BZ601" s="59"/>
      <c r="CA601" s="59"/>
      <c r="CB601" s="59"/>
      <c r="CC601" s="59"/>
      <c r="CD601" s="59"/>
      <c r="CE601" s="59"/>
      <c r="CF601" s="59"/>
      <c r="CG601" s="59"/>
      <c r="CH601" s="59"/>
      <c r="CI601" s="59"/>
      <c r="CJ601" s="59"/>
      <c r="CK601" s="59"/>
      <c r="CL601" s="59"/>
      <c r="CM601" s="59"/>
      <c r="CN601" s="59"/>
      <c r="CO601" s="59"/>
      <c r="CP601" s="59"/>
      <c r="CQ601" s="59"/>
      <c r="CR601" s="59"/>
      <c r="CS601" s="59"/>
      <c r="CT601" s="59"/>
      <c r="CU601" s="59"/>
      <c r="CV601" s="59"/>
      <c r="CW601" s="59"/>
      <c r="CX601" s="59"/>
    </row>
    <row r="602" spans="1:102" s="60" customFormat="1" ht="12.75" hidden="1">
      <c r="A602" s="133" t="s">
        <v>372</v>
      </c>
      <c r="B602" s="90"/>
      <c r="C602" s="90"/>
      <c r="D602" s="206"/>
      <c r="E602" s="206"/>
      <c r="F602" s="206"/>
      <c r="G602" s="206"/>
      <c r="H602" s="206"/>
      <c r="I602" s="206"/>
      <c r="J602" s="207"/>
      <c r="K602" s="91"/>
      <c r="L602" s="91"/>
      <c r="M602" s="91"/>
      <c r="N602" s="206"/>
      <c r="O602" s="206"/>
      <c r="P602" s="207">
        <f t="shared" si="41"/>
        <v>0</v>
      </c>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c r="AS602" s="59"/>
      <c r="AT602" s="59"/>
      <c r="AU602" s="59"/>
      <c r="AV602" s="59"/>
      <c r="AW602" s="59"/>
      <c r="AX602" s="59"/>
      <c r="AY602" s="59"/>
      <c r="AZ602" s="59"/>
      <c r="BA602" s="59"/>
      <c r="BB602" s="59"/>
      <c r="BC602" s="59"/>
      <c r="BD602" s="59"/>
      <c r="BE602" s="59"/>
      <c r="BF602" s="59"/>
      <c r="BG602" s="59"/>
      <c r="BH602" s="59"/>
      <c r="BI602" s="59"/>
      <c r="BJ602" s="59"/>
      <c r="BK602" s="59"/>
      <c r="BL602" s="59"/>
      <c r="BM602" s="59"/>
      <c r="BN602" s="59"/>
      <c r="BO602" s="59"/>
      <c r="BP602" s="59"/>
      <c r="BQ602" s="59"/>
      <c r="BR602" s="59"/>
      <c r="BS602" s="59"/>
      <c r="BT602" s="59"/>
      <c r="BU602" s="59"/>
      <c r="BV602" s="59"/>
      <c r="BW602" s="59"/>
      <c r="BX602" s="59"/>
      <c r="BY602" s="59"/>
      <c r="BZ602" s="59"/>
      <c r="CA602" s="59"/>
      <c r="CB602" s="59"/>
      <c r="CC602" s="59"/>
      <c r="CD602" s="59"/>
      <c r="CE602" s="59"/>
      <c r="CF602" s="59"/>
      <c r="CG602" s="59"/>
      <c r="CH602" s="59"/>
      <c r="CI602" s="59"/>
      <c r="CJ602" s="59"/>
      <c r="CK602" s="59"/>
      <c r="CL602" s="59"/>
      <c r="CM602" s="59"/>
      <c r="CN602" s="59"/>
      <c r="CO602" s="59"/>
      <c r="CP602" s="59"/>
      <c r="CQ602" s="59"/>
      <c r="CR602" s="59"/>
      <c r="CS602" s="59"/>
      <c r="CT602" s="59"/>
      <c r="CU602" s="59"/>
      <c r="CV602" s="59"/>
      <c r="CW602" s="59"/>
      <c r="CX602" s="59"/>
    </row>
    <row r="603" spans="1:102" s="60" customFormat="1" ht="19.5" customHeight="1" hidden="1">
      <c r="A603" s="134" t="s">
        <v>422</v>
      </c>
      <c r="B603" s="90"/>
      <c r="C603" s="90"/>
      <c r="D603" s="206">
        <f>D599/D601</f>
        <v>35050</v>
      </c>
      <c r="E603" s="206"/>
      <c r="F603" s="206">
        <f>D603</f>
        <v>35050</v>
      </c>
      <c r="G603" s="206">
        <f>G599/G601</f>
        <v>262500</v>
      </c>
      <c r="H603" s="206"/>
      <c r="I603" s="206"/>
      <c r="J603" s="207">
        <f>G603+H603</f>
        <v>262500</v>
      </c>
      <c r="K603" s="91"/>
      <c r="L603" s="91"/>
      <c r="M603" s="91"/>
      <c r="N603" s="206">
        <f>N599/N601</f>
        <v>182500</v>
      </c>
      <c r="O603" s="206"/>
      <c r="P603" s="207">
        <f t="shared" si="41"/>
        <v>182500</v>
      </c>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c r="AS603" s="59"/>
      <c r="AT603" s="59"/>
      <c r="AU603" s="59"/>
      <c r="AV603" s="59"/>
      <c r="AW603" s="59"/>
      <c r="AX603" s="59"/>
      <c r="AY603" s="59"/>
      <c r="AZ603" s="59"/>
      <c r="BA603" s="59"/>
      <c r="BB603" s="59"/>
      <c r="BC603" s="59"/>
      <c r="BD603" s="59"/>
      <c r="BE603" s="59"/>
      <c r="BF603" s="59"/>
      <c r="BG603" s="59"/>
      <c r="BH603" s="59"/>
      <c r="BI603" s="59"/>
      <c r="BJ603" s="59"/>
      <c r="BK603" s="59"/>
      <c r="BL603" s="59"/>
      <c r="BM603" s="59"/>
      <c r="BN603" s="59"/>
      <c r="BO603" s="59"/>
      <c r="BP603" s="59"/>
      <c r="BQ603" s="59"/>
      <c r="BR603" s="59"/>
      <c r="BS603" s="59"/>
      <c r="BT603" s="59"/>
      <c r="BU603" s="59"/>
      <c r="BV603" s="59"/>
      <c r="BW603" s="59"/>
      <c r="BX603" s="59"/>
      <c r="BY603" s="59"/>
      <c r="BZ603" s="59"/>
      <c r="CA603" s="59"/>
      <c r="CB603" s="59"/>
      <c r="CC603" s="59"/>
      <c r="CD603" s="59"/>
      <c r="CE603" s="59"/>
      <c r="CF603" s="59"/>
      <c r="CG603" s="59"/>
      <c r="CH603" s="59"/>
      <c r="CI603" s="59"/>
      <c r="CJ603" s="59"/>
      <c r="CK603" s="59"/>
      <c r="CL603" s="59"/>
      <c r="CM603" s="59"/>
      <c r="CN603" s="59"/>
      <c r="CO603" s="59"/>
      <c r="CP603" s="59"/>
      <c r="CQ603" s="59"/>
      <c r="CR603" s="59"/>
      <c r="CS603" s="59"/>
      <c r="CT603" s="59"/>
      <c r="CU603" s="59"/>
      <c r="CV603" s="59"/>
      <c r="CW603" s="59"/>
      <c r="CX603" s="59"/>
    </row>
    <row r="604" spans="1:108" s="36" customFormat="1" ht="13.5" hidden="1">
      <c r="A604" s="137" t="s">
        <v>133</v>
      </c>
      <c r="B604" s="162"/>
      <c r="C604" s="162"/>
      <c r="D604" s="168">
        <f>D606</f>
        <v>48000</v>
      </c>
      <c r="E604" s="168"/>
      <c r="F604" s="168">
        <f>D604</f>
        <v>48000</v>
      </c>
      <c r="G604" s="168">
        <f>G606</f>
        <v>60000</v>
      </c>
      <c r="H604" s="168"/>
      <c r="I604" s="168"/>
      <c r="J604" s="168">
        <f>G604</f>
        <v>60000</v>
      </c>
      <c r="K604" s="168"/>
      <c r="L604" s="168"/>
      <c r="M604" s="168"/>
      <c r="N604" s="168">
        <f>N606</f>
        <v>65000</v>
      </c>
      <c r="O604" s="168"/>
      <c r="P604" s="168">
        <f>N604</f>
        <v>65000</v>
      </c>
      <c r="CY604" s="37"/>
      <c r="CZ604" s="37"/>
      <c r="DA604" s="37"/>
      <c r="DB604" s="37"/>
      <c r="DC604" s="37"/>
      <c r="DD604" s="37"/>
    </row>
    <row r="605" spans="1:108" s="61" customFormat="1" ht="12.75" hidden="1">
      <c r="A605" s="133" t="s">
        <v>254</v>
      </c>
      <c r="B605" s="97"/>
      <c r="C605" s="97"/>
      <c r="D605" s="161"/>
      <c r="E605" s="161"/>
      <c r="F605" s="161"/>
      <c r="G605" s="161"/>
      <c r="H605" s="161"/>
      <c r="I605" s="161"/>
      <c r="J605" s="161"/>
      <c r="K605" s="161"/>
      <c r="L605" s="161"/>
      <c r="M605" s="161"/>
      <c r="N605" s="161"/>
      <c r="O605" s="161"/>
      <c r="P605" s="161"/>
      <c r="CY605" s="62"/>
      <c r="CZ605" s="62"/>
      <c r="DA605" s="62"/>
      <c r="DB605" s="62"/>
      <c r="DC605" s="62"/>
      <c r="DD605" s="62"/>
    </row>
    <row r="606" spans="1:108" s="61" customFormat="1" ht="25.5" hidden="1">
      <c r="A606" s="138" t="s">
        <v>9</v>
      </c>
      <c r="B606" s="97"/>
      <c r="C606" s="97"/>
      <c r="D606" s="161">
        <f>55000-7000</f>
        <v>48000</v>
      </c>
      <c r="E606" s="161"/>
      <c r="F606" s="161">
        <f>D606</f>
        <v>48000</v>
      </c>
      <c r="G606" s="161">
        <v>60000</v>
      </c>
      <c r="H606" s="161"/>
      <c r="I606" s="161"/>
      <c r="J606" s="161">
        <f>G606</f>
        <v>60000</v>
      </c>
      <c r="K606" s="161"/>
      <c r="L606" s="161"/>
      <c r="M606" s="161"/>
      <c r="N606" s="161">
        <v>65000</v>
      </c>
      <c r="O606" s="161"/>
      <c r="P606" s="161">
        <f>N606</f>
        <v>65000</v>
      </c>
      <c r="CY606" s="62"/>
      <c r="CZ606" s="62"/>
      <c r="DA606" s="62"/>
      <c r="DB606" s="62"/>
      <c r="DC606" s="62"/>
      <c r="DD606" s="62"/>
    </row>
    <row r="607" spans="1:108" s="61" customFormat="1" ht="12.75" hidden="1">
      <c r="A607" s="139" t="s">
        <v>410</v>
      </c>
      <c r="B607" s="97"/>
      <c r="C607" s="97"/>
      <c r="D607" s="161"/>
      <c r="E607" s="161"/>
      <c r="F607" s="161"/>
      <c r="G607" s="161"/>
      <c r="H607" s="161"/>
      <c r="I607" s="161"/>
      <c r="J607" s="161"/>
      <c r="K607" s="161"/>
      <c r="L607" s="161"/>
      <c r="M607" s="161"/>
      <c r="N607" s="161"/>
      <c r="O607" s="161"/>
      <c r="P607" s="161"/>
      <c r="CY607" s="62"/>
      <c r="CZ607" s="62"/>
      <c r="DA607" s="62"/>
      <c r="DB607" s="62"/>
      <c r="DC607" s="62"/>
      <c r="DD607" s="62"/>
    </row>
    <row r="608" spans="1:108" s="61" customFormat="1" ht="32.25" customHeight="1" hidden="1">
      <c r="A608" s="138" t="s">
        <v>152</v>
      </c>
      <c r="B608" s="97"/>
      <c r="C608" s="97"/>
      <c r="D608" s="169">
        <v>12</v>
      </c>
      <c r="E608" s="169"/>
      <c r="F608" s="169">
        <f>D608</f>
        <v>12</v>
      </c>
      <c r="G608" s="169">
        <v>12</v>
      </c>
      <c r="H608" s="169"/>
      <c r="I608" s="169"/>
      <c r="J608" s="169">
        <f>G608</f>
        <v>12</v>
      </c>
      <c r="K608" s="169"/>
      <c r="L608" s="169"/>
      <c r="M608" s="169"/>
      <c r="N608" s="169">
        <v>12</v>
      </c>
      <c r="O608" s="169"/>
      <c r="P608" s="169">
        <f>N608</f>
        <v>12</v>
      </c>
      <c r="CY608" s="62"/>
      <c r="CZ608" s="62"/>
      <c r="DA608" s="62"/>
      <c r="DB608" s="62"/>
      <c r="DC608" s="62"/>
      <c r="DD608" s="62"/>
    </row>
    <row r="609" spans="1:108" s="61" customFormat="1" ht="12.75" hidden="1">
      <c r="A609" s="139" t="s">
        <v>372</v>
      </c>
      <c r="B609" s="97"/>
      <c r="C609" s="97"/>
      <c r="D609" s="161"/>
      <c r="E609" s="161"/>
      <c r="F609" s="161"/>
      <c r="G609" s="161"/>
      <c r="H609" s="161"/>
      <c r="I609" s="161"/>
      <c r="J609" s="161"/>
      <c r="K609" s="161"/>
      <c r="L609" s="161"/>
      <c r="M609" s="161"/>
      <c r="N609" s="161"/>
      <c r="O609" s="161"/>
      <c r="P609" s="161"/>
      <c r="CY609" s="62"/>
      <c r="CZ609" s="62"/>
      <c r="DA609" s="62"/>
      <c r="DB609" s="62"/>
      <c r="DC609" s="62"/>
      <c r="DD609" s="62"/>
    </row>
    <row r="610" spans="1:108" s="61" customFormat="1" ht="32.25" customHeight="1" hidden="1">
      <c r="A610" s="138" t="s">
        <v>10</v>
      </c>
      <c r="B610" s="97"/>
      <c r="C610" s="97"/>
      <c r="D610" s="161">
        <f>D606/D608</f>
        <v>4000</v>
      </c>
      <c r="E610" s="161"/>
      <c r="F610" s="161">
        <f>D610</f>
        <v>4000</v>
      </c>
      <c r="G610" s="161">
        <f>G606/G608</f>
        <v>5000</v>
      </c>
      <c r="H610" s="161"/>
      <c r="I610" s="161"/>
      <c r="J610" s="161">
        <f>G610</f>
        <v>5000</v>
      </c>
      <c r="K610" s="161"/>
      <c r="L610" s="161"/>
      <c r="M610" s="161"/>
      <c r="N610" s="161">
        <f>N606/N608</f>
        <v>5416.666666666667</v>
      </c>
      <c r="O610" s="161"/>
      <c r="P610" s="161">
        <f>N610</f>
        <v>5416.666666666667</v>
      </c>
      <c r="CY610" s="62"/>
      <c r="CZ610" s="62"/>
      <c r="DA610" s="62"/>
      <c r="DB610" s="62"/>
      <c r="DC610" s="62"/>
      <c r="DD610" s="62"/>
    </row>
    <row r="611" spans="1:108" s="61" customFormat="1" ht="12.75" hidden="1">
      <c r="A611" s="139" t="s">
        <v>499</v>
      </c>
      <c r="B611" s="97"/>
      <c r="C611" s="97"/>
      <c r="D611" s="161"/>
      <c r="E611" s="161"/>
      <c r="F611" s="161"/>
      <c r="G611" s="161"/>
      <c r="H611" s="161"/>
      <c r="I611" s="161"/>
      <c r="J611" s="161"/>
      <c r="K611" s="161"/>
      <c r="L611" s="161"/>
      <c r="M611" s="161"/>
      <c r="N611" s="161"/>
      <c r="O611" s="161"/>
      <c r="P611" s="161"/>
      <c r="CY611" s="62"/>
      <c r="CZ611" s="62"/>
      <c r="DA611" s="62"/>
      <c r="DB611" s="62"/>
      <c r="DC611" s="62"/>
      <c r="DD611" s="62"/>
    </row>
    <row r="612" spans="1:108" s="61" customFormat="1" ht="32.25" customHeight="1" hidden="1">
      <c r="A612" s="138" t="s">
        <v>11</v>
      </c>
      <c r="B612" s="97"/>
      <c r="C612" s="97"/>
      <c r="D612" s="161"/>
      <c r="E612" s="161"/>
      <c r="F612" s="161"/>
      <c r="G612" s="161">
        <f>G610/D610*100</f>
        <v>125</v>
      </c>
      <c r="H612" s="161"/>
      <c r="I612" s="161"/>
      <c r="J612" s="161">
        <f>G612</f>
        <v>125</v>
      </c>
      <c r="K612" s="161"/>
      <c r="L612" s="161"/>
      <c r="M612" s="161"/>
      <c r="N612" s="161">
        <f>N610/G610*100</f>
        <v>108.33333333333334</v>
      </c>
      <c r="O612" s="161"/>
      <c r="P612" s="161">
        <f>N612</f>
        <v>108.33333333333334</v>
      </c>
      <c r="CY612" s="62"/>
      <c r="CZ612" s="62"/>
      <c r="DA612" s="62"/>
      <c r="DB612" s="62"/>
      <c r="DC612" s="62"/>
      <c r="DD612" s="62"/>
    </row>
    <row r="613" spans="1:108" s="61" customFormat="1" ht="27" hidden="1">
      <c r="A613" s="140" t="s">
        <v>519</v>
      </c>
      <c r="B613" s="208"/>
      <c r="C613" s="208"/>
      <c r="D613" s="209">
        <f>D615</f>
        <v>50000</v>
      </c>
      <c r="E613" s="209"/>
      <c r="F613" s="209">
        <f>F615</f>
        <v>50000</v>
      </c>
      <c r="G613" s="210"/>
      <c r="H613" s="210"/>
      <c r="I613" s="210"/>
      <c r="J613" s="210"/>
      <c r="K613" s="210"/>
      <c r="L613" s="210"/>
      <c r="M613" s="210"/>
      <c r="N613" s="210"/>
      <c r="O613" s="210"/>
      <c r="P613" s="210"/>
      <c r="CY613" s="62"/>
      <c r="CZ613" s="62"/>
      <c r="DA613" s="62"/>
      <c r="DB613" s="62"/>
      <c r="DC613" s="62"/>
      <c r="DD613" s="62"/>
    </row>
    <row r="614" spans="1:108" s="61" customFormat="1" ht="12.75" hidden="1">
      <c r="A614" s="133" t="s">
        <v>254</v>
      </c>
      <c r="B614" s="97"/>
      <c r="C614" s="97"/>
      <c r="D614" s="161"/>
      <c r="E614" s="161"/>
      <c r="F614" s="161"/>
      <c r="G614" s="210"/>
      <c r="H614" s="210"/>
      <c r="I614" s="210"/>
      <c r="J614" s="210"/>
      <c r="K614" s="210"/>
      <c r="L614" s="210"/>
      <c r="M614" s="210"/>
      <c r="N614" s="210"/>
      <c r="O614" s="210"/>
      <c r="P614" s="210"/>
      <c r="CY614" s="62"/>
      <c r="CZ614" s="62"/>
      <c r="DA614" s="62"/>
      <c r="DB614" s="62"/>
      <c r="DC614" s="62"/>
      <c r="DD614" s="62"/>
    </row>
    <row r="615" spans="1:108" s="61" customFormat="1" ht="31.5" customHeight="1" hidden="1">
      <c r="A615" s="138" t="s">
        <v>520</v>
      </c>
      <c r="B615" s="97"/>
      <c r="C615" s="97"/>
      <c r="D615" s="161">
        <f>0+50000</f>
        <v>50000</v>
      </c>
      <c r="E615" s="161"/>
      <c r="F615" s="161">
        <f>D615</f>
        <v>50000</v>
      </c>
      <c r="G615" s="210"/>
      <c r="H615" s="210"/>
      <c r="I615" s="210"/>
      <c r="J615" s="210"/>
      <c r="K615" s="210"/>
      <c r="L615" s="210"/>
      <c r="M615" s="210"/>
      <c r="N615" s="210"/>
      <c r="O615" s="210"/>
      <c r="P615" s="210"/>
      <c r="CY615" s="62"/>
      <c r="CZ615" s="62"/>
      <c r="DA615" s="62"/>
      <c r="DB615" s="62"/>
      <c r="DC615" s="62"/>
      <c r="DD615" s="62"/>
    </row>
    <row r="616" spans="1:108" s="61" customFormat="1" ht="12.75" hidden="1">
      <c r="A616" s="139" t="s">
        <v>410</v>
      </c>
      <c r="B616" s="97"/>
      <c r="C616" s="97"/>
      <c r="D616" s="161"/>
      <c r="E616" s="161"/>
      <c r="F616" s="161"/>
      <c r="G616" s="210"/>
      <c r="H616" s="210"/>
      <c r="I616" s="210"/>
      <c r="J616" s="210"/>
      <c r="K616" s="210"/>
      <c r="L616" s="210"/>
      <c r="M616" s="210"/>
      <c r="N616" s="210"/>
      <c r="O616" s="210"/>
      <c r="P616" s="210"/>
      <c r="CY616" s="62"/>
      <c r="CZ616" s="62"/>
      <c r="DA616" s="62"/>
      <c r="DB616" s="62"/>
      <c r="DC616" s="62"/>
      <c r="DD616" s="62"/>
    </row>
    <row r="617" spans="1:108" s="61" customFormat="1" ht="42" customHeight="1" hidden="1">
      <c r="A617" s="134" t="s">
        <v>521</v>
      </c>
      <c r="B617" s="97"/>
      <c r="C617" s="97"/>
      <c r="D617" s="161">
        <v>100</v>
      </c>
      <c r="E617" s="161"/>
      <c r="F617" s="161">
        <f>D617</f>
        <v>100</v>
      </c>
      <c r="G617" s="210"/>
      <c r="H617" s="210"/>
      <c r="I617" s="210"/>
      <c r="J617" s="210"/>
      <c r="K617" s="210"/>
      <c r="L617" s="210"/>
      <c r="M617" s="210"/>
      <c r="N617" s="210"/>
      <c r="O617" s="210"/>
      <c r="P617" s="210"/>
      <c r="CY617" s="62"/>
      <c r="CZ617" s="62"/>
      <c r="DA617" s="62"/>
      <c r="DB617" s="62"/>
      <c r="DC617" s="62"/>
      <c r="DD617" s="62"/>
    </row>
    <row r="618" spans="1:108" s="61" customFormat="1" ht="12.75" hidden="1">
      <c r="A618" s="139" t="s">
        <v>372</v>
      </c>
      <c r="B618" s="97"/>
      <c r="C618" s="97"/>
      <c r="D618" s="161"/>
      <c r="E618" s="161"/>
      <c r="F618" s="161"/>
      <c r="G618" s="210"/>
      <c r="H618" s="210"/>
      <c r="I618" s="210"/>
      <c r="J618" s="210"/>
      <c r="K618" s="210"/>
      <c r="L618" s="210"/>
      <c r="M618" s="210"/>
      <c r="N618" s="210"/>
      <c r="O618" s="210"/>
      <c r="P618" s="210"/>
      <c r="CY618" s="62"/>
      <c r="CZ618" s="62"/>
      <c r="DA618" s="62"/>
      <c r="DB618" s="62"/>
      <c r="DC618" s="62"/>
      <c r="DD618" s="62"/>
    </row>
    <row r="619" spans="1:108" s="61" customFormat="1" ht="30.75" customHeight="1" hidden="1">
      <c r="A619" s="138" t="s">
        <v>522</v>
      </c>
      <c r="B619" s="97"/>
      <c r="C619" s="97"/>
      <c r="D619" s="161">
        <f>D615/D617</f>
        <v>500</v>
      </c>
      <c r="E619" s="161"/>
      <c r="F619" s="161">
        <f>D619</f>
        <v>500</v>
      </c>
      <c r="G619" s="210"/>
      <c r="H619" s="210"/>
      <c r="I619" s="210"/>
      <c r="J619" s="210"/>
      <c r="K619" s="210"/>
      <c r="L619" s="210"/>
      <c r="M619" s="210"/>
      <c r="N619" s="210"/>
      <c r="O619" s="210"/>
      <c r="P619" s="210"/>
      <c r="CY619" s="62"/>
      <c r="CZ619" s="62"/>
      <c r="DA619" s="62"/>
      <c r="DB619" s="62"/>
      <c r="DC619" s="62"/>
      <c r="DD619" s="62"/>
    </row>
    <row r="620" spans="1:108" s="61" customFormat="1" ht="27" hidden="1">
      <c r="A620" s="137" t="s">
        <v>518</v>
      </c>
      <c r="B620" s="97"/>
      <c r="C620" s="97"/>
      <c r="D620" s="168">
        <f>D622</f>
        <v>29900</v>
      </c>
      <c r="E620" s="168"/>
      <c r="F620" s="168">
        <f>F622</f>
        <v>29900</v>
      </c>
      <c r="G620" s="168">
        <f>G622</f>
        <v>100000</v>
      </c>
      <c r="H620" s="210"/>
      <c r="I620" s="210"/>
      <c r="J620" s="168">
        <f>J622</f>
        <v>100000</v>
      </c>
      <c r="K620" s="210"/>
      <c r="L620" s="210"/>
      <c r="M620" s="210"/>
      <c r="N620" s="210"/>
      <c r="O620" s="210"/>
      <c r="P620" s="210"/>
      <c r="CY620" s="62"/>
      <c r="CZ620" s="62"/>
      <c r="DA620" s="62"/>
      <c r="DB620" s="62"/>
      <c r="DC620" s="62"/>
      <c r="DD620" s="62"/>
    </row>
    <row r="621" spans="1:108" s="61" customFormat="1" ht="12.75" hidden="1">
      <c r="A621" s="133" t="s">
        <v>254</v>
      </c>
      <c r="B621" s="97"/>
      <c r="C621" s="97"/>
      <c r="D621" s="161"/>
      <c r="E621" s="161"/>
      <c r="F621" s="161"/>
      <c r="G621" s="161"/>
      <c r="H621" s="210"/>
      <c r="I621" s="210"/>
      <c r="J621" s="161"/>
      <c r="K621" s="210"/>
      <c r="L621" s="210"/>
      <c r="M621" s="210"/>
      <c r="N621" s="210"/>
      <c r="O621" s="210"/>
      <c r="P621" s="210"/>
      <c r="CY621" s="62"/>
      <c r="CZ621" s="62"/>
      <c r="DA621" s="62"/>
      <c r="DB621" s="62"/>
      <c r="DC621" s="62"/>
      <c r="DD621" s="62"/>
    </row>
    <row r="622" spans="1:108" s="61" customFormat="1" ht="25.5" hidden="1">
      <c r="A622" s="138" t="s">
        <v>515</v>
      </c>
      <c r="B622" s="97"/>
      <c r="C622" s="97"/>
      <c r="D622" s="161">
        <v>29900</v>
      </c>
      <c r="E622" s="161"/>
      <c r="F622" s="161">
        <f>D622</f>
        <v>29900</v>
      </c>
      <c r="G622" s="161">
        <v>100000</v>
      </c>
      <c r="H622" s="210"/>
      <c r="I622" s="210"/>
      <c r="J622" s="161">
        <f>G622+H622</f>
        <v>100000</v>
      </c>
      <c r="K622" s="210"/>
      <c r="L622" s="210"/>
      <c r="M622" s="210"/>
      <c r="N622" s="210"/>
      <c r="O622" s="210"/>
      <c r="P622" s="210"/>
      <c r="CY622" s="62"/>
      <c r="CZ622" s="62"/>
      <c r="DA622" s="62"/>
      <c r="DB622" s="62"/>
      <c r="DC622" s="62"/>
      <c r="DD622" s="62"/>
    </row>
    <row r="623" spans="1:108" s="61" customFormat="1" ht="12.75" hidden="1">
      <c r="A623" s="139" t="s">
        <v>410</v>
      </c>
      <c r="B623" s="97"/>
      <c r="C623" s="97"/>
      <c r="D623" s="161"/>
      <c r="E623" s="161"/>
      <c r="F623" s="161"/>
      <c r="G623" s="161"/>
      <c r="H623" s="210"/>
      <c r="I623" s="210"/>
      <c r="J623" s="161"/>
      <c r="K623" s="210"/>
      <c r="L623" s="210"/>
      <c r="M623" s="210"/>
      <c r="N623" s="210"/>
      <c r="O623" s="210"/>
      <c r="P623" s="210"/>
      <c r="CY623" s="62"/>
      <c r="CZ623" s="62"/>
      <c r="DA623" s="62"/>
      <c r="DB623" s="62"/>
      <c r="DC623" s="62"/>
      <c r="DD623" s="62"/>
    </row>
    <row r="624" spans="1:108" s="61" customFormat="1" ht="25.5" hidden="1">
      <c r="A624" s="134" t="s">
        <v>516</v>
      </c>
      <c r="B624" s="97"/>
      <c r="C624" s="97"/>
      <c r="D624" s="161">
        <v>4</v>
      </c>
      <c r="E624" s="161"/>
      <c r="F624" s="161">
        <f>D624</f>
        <v>4</v>
      </c>
      <c r="G624" s="161">
        <v>4</v>
      </c>
      <c r="H624" s="210"/>
      <c r="I624" s="210"/>
      <c r="J624" s="161">
        <f>G624+H624</f>
        <v>4</v>
      </c>
      <c r="K624" s="210"/>
      <c r="L624" s="210"/>
      <c r="M624" s="210"/>
      <c r="N624" s="210"/>
      <c r="O624" s="210"/>
      <c r="P624" s="210"/>
      <c r="CY624" s="62"/>
      <c r="CZ624" s="62"/>
      <c r="DA624" s="62"/>
      <c r="DB624" s="62"/>
      <c r="DC624" s="62"/>
      <c r="DD624" s="62"/>
    </row>
    <row r="625" spans="1:108" s="61" customFormat="1" ht="12.75" hidden="1">
      <c r="A625" s="139" t="s">
        <v>372</v>
      </c>
      <c r="B625" s="97"/>
      <c r="C625" s="97"/>
      <c r="D625" s="161"/>
      <c r="E625" s="161"/>
      <c r="F625" s="161"/>
      <c r="G625" s="161"/>
      <c r="H625" s="210"/>
      <c r="I625" s="210"/>
      <c r="J625" s="161"/>
      <c r="K625" s="210"/>
      <c r="L625" s="210"/>
      <c r="M625" s="210"/>
      <c r="N625" s="210"/>
      <c r="O625" s="210"/>
      <c r="P625" s="210"/>
      <c r="CY625" s="62"/>
      <c r="CZ625" s="62"/>
      <c r="DA625" s="62"/>
      <c r="DB625" s="62"/>
      <c r="DC625" s="62"/>
      <c r="DD625" s="62"/>
    </row>
    <row r="626" spans="1:108" s="61" customFormat="1" ht="25.5" hidden="1">
      <c r="A626" s="138" t="s">
        <v>517</v>
      </c>
      <c r="B626" s="97"/>
      <c r="C626" s="97"/>
      <c r="D626" s="161">
        <f>D622/D624</f>
        <v>7475</v>
      </c>
      <c r="E626" s="161"/>
      <c r="F626" s="161">
        <f>D626</f>
        <v>7475</v>
      </c>
      <c r="G626" s="161">
        <f>G622/G624</f>
        <v>25000</v>
      </c>
      <c r="H626" s="210"/>
      <c r="I626" s="210"/>
      <c r="J626" s="161">
        <f>G626+H626</f>
        <v>25000</v>
      </c>
      <c r="K626" s="210"/>
      <c r="L626" s="210"/>
      <c r="M626" s="210"/>
      <c r="N626" s="210"/>
      <c r="O626" s="210"/>
      <c r="P626" s="210"/>
      <c r="CY626" s="62"/>
      <c r="CZ626" s="62"/>
      <c r="DA626" s="62"/>
      <c r="DB626" s="62"/>
      <c r="DC626" s="62"/>
      <c r="DD626" s="62"/>
    </row>
    <row r="627" spans="1:108" s="61" customFormat="1" ht="27" hidden="1">
      <c r="A627" s="137" t="s">
        <v>532</v>
      </c>
      <c r="B627" s="276"/>
      <c r="C627" s="276"/>
      <c r="D627" s="210"/>
      <c r="E627" s="210"/>
      <c r="F627" s="210"/>
      <c r="G627" s="278">
        <f>G629</f>
        <v>1500000</v>
      </c>
      <c r="H627" s="278"/>
      <c r="I627" s="278"/>
      <c r="J627" s="278">
        <f>G627+H627</f>
        <v>1500000</v>
      </c>
      <c r="K627" s="278"/>
      <c r="L627" s="278"/>
      <c r="M627" s="278"/>
      <c r="N627" s="278"/>
      <c r="O627" s="278"/>
      <c r="P627" s="278"/>
      <c r="CY627" s="62"/>
      <c r="CZ627" s="62"/>
      <c r="DA627" s="62"/>
      <c r="DB627" s="62"/>
      <c r="DC627" s="62"/>
      <c r="DD627" s="62"/>
    </row>
    <row r="628" spans="1:108" s="61" customFormat="1" ht="12.75" hidden="1">
      <c r="A628" s="133" t="s">
        <v>254</v>
      </c>
      <c r="B628" s="276"/>
      <c r="C628" s="276"/>
      <c r="D628" s="210"/>
      <c r="E628" s="210"/>
      <c r="F628" s="210"/>
      <c r="G628" s="210"/>
      <c r="H628" s="210"/>
      <c r="I628" s="210"/>
      <c r="J628" s="210"/>
      <c r="K628" s="210"/>
      <c r="L628" s="210"/>
      <c r="M628" s="210"/>
      <c r="N628" s="210"/>
      <c r="O628" s="210"/>
      <c r="P628" s="210"/>
      <c r="CY628" s="62"/>
      <c r="CZ628" s="62"/>
      <c r="DA628" s="62"/>
      <c r="DB628" s="62"/>
      <c r="DC628" s="62"/>
      <c r="DD628" s="62"/>
    </row>
    <row r="629" spans="1:108" s="61" customFormat="1" ht="25.5" hidden="1">
      <c r="A629" s="138" t="s">
        <v>533</v>
      </c>
      <c r="B629" s="276"/>
      <c r="C629" s="276"/>
      <c r="D629" s="210"/>
      <c r="E629" s="210"/>
      <c r="F629" s="210"/>
      <c r="G629" s="210">
        <f>0+1500000</f>
        <v>1500000</v>
      </c>
      <c r="H629" s="210"/>
      <c r="I629" s="210"/>
      <c r="J629" s="210">
        <f>G629+H629</f>
        <v>1500000</v>
      </c>
      <c r="K629" s="210"/>
      <c r="L629" s="210"/>
      <c r="M629" s="210"/>
      <c r="N629" s="210"/>
      <c r="O629" s="210"/>
      <c r="P629" s="210"/>
      <c r="CY629" s="62"/>
      <c r="CZ629" s="62"/>
      <c r="DA629" s="62"/>
      <c r="DB629" s="62"/>
      <c r="DC629" s="62"/>
      <c r="DD629" s="62"/>
    </row>
    <row r="630" spans="1:108" s="61" customFormat="1" ht="12.75" hidden="1">
      <c r="A630" s="139" t="s">
        <v>410</v>
      </c>
      <c r="B630" s="276"/>
      <c r="C630" s="276"/>
      <c r="D630" s="210"/>
      <c r="E630" s="210"/>
      <c r="F630" s="210"/>
      <c r="G630" s="210"/>
      <c r="H630" s="210"/>
      <c r="I630" s="210"/>
      <c r="J630" s="210"/>
      <c r="K630" s="210"/>
      <c r="L630" s="210"/>
      <c r="M630" s="210"/>
      <c r="N630" s="210"/>
      <c r="O630" s="210"/>
      <c r="P630" s="210"/>
      <c r="CY630" s="62"/>
      <c r="CZ630" s="62"/>
      <c r="DA630" s="62"/>
      <c r="DB630" s="62"/>
      <c r="DC630" s="62"/>
      <c r="DD630" s="62"/>
    </row>
    <row r="631" spans="1:108" s="61" customFormat="1" ht="25.5" hidden="1">
      <c r="A631" s="134" t="s">
        <v>534</v>
      </c>
      <c r="B631" s="276"/>
      <c r="C631" s="276"/>
      <c r="D631" s="210"/>
      <c r="E631" s="210"/>
      <c r="F631" s="210"/>
      <c r="G631" s="277">
        <v>25</v>
      </c>
      <c r="H631" s="277"/>
      <c r="I631" s="277"/>
      <c r="J631" s="277">
        <f>G631+H631</f>
        <v>25</v>
      </c>
      <c r="K631" s="210"/>
      <c r="L631" s="210"/>
      <c r="M631" s="210"/>
      <c r="N631" s="210"/>
      <c r="O631" s="210"/>
      <c r="P631" s="210"/>
      <c r="CY631" s="62"/>
      <c r="CZ631" s="62"/>
      <c r="DA631" s="62"/>
      <c r="DB631" s="62"/>
      <c r="DC631" s="62"/>
      <c r="DD631" s="62"/>
    </row>
    <row r="632" spans="1:108" s="61" customFormat="1" ht="12.75" hidden="1">
      <c r="A632" s="139" t="s">
        <v>372</v>
      </c>
      <c r="B632" s="276"/>
      <c r="C632" s="276"/>
      <c r="D632" s="210"/>
      <c r="E632" s="210"/>
      <c r="F632" s="210"/>
      <c r="G632" s="210"/>
      <c r="H632" s="210"/>
      <c r="I632" s="210"/>
      <c r="J632" s="210"/>
      <c r="K632" s="210"/>
      <c r="L632" s="210"/>
      <c r="M632" s="210"/>
      <c r="N632" s="210"/>
      <c r="O632" s="210"/>
      <c r="P632" s="210"/>
      <c r="CY632" s="62"/>
      <c r="CZ632" s="62"/>
      <c r="DA632" s="62"/>
      <c r="DB632" s="62"/>
      <c r="DC632" s="62"/>
      <c r="DD632" s="62"/>
    </row>
    <row r="633" spans="1:108" s="61" customFormat="1" ht="25.5" hidden="1">
      <c r="A633" s="138" t="s">
        <v>535</v>
      </c>
      <c r="B633" s="276"/>
      <c r="C633" s="276"/>
      <c r="D633" s="210"/>
      <c r="E633" s="210"/>
      <c r="F633" s="210"/>
      <c r="G633" s="210">
        <f>G629/G631</f>
        <v>60000</v>
      </c>
      <c r="H633" s="210"/>
      <c r="I633" s="210"/>
      <c r="J633" s="210">
        <f>G633+H633</f>
        <v>60000</v>
      </c>
      <c r="K633" s="210"/>
      <c r="L633" s="210"/>
      <c r="M633" s="210"/>
      <c r="N633" s="210"/>
      <c r="O633" s="210"/>
      <c r="P633" s="210"/>
      <c r="CY633" s="62"/>
      <c r="CZ633" s="62"/>
      <c r="DA633" s="62"/>
      <c r="DB633" s="62"/>
      <c r="DC633" s="62"/>
      <c r="DD633" s="62"/>
    </row>
    <row r="634" spans="1:108" s="61" customFormat="1" ht="13.5" hidden="1">
      <c r="A634" s="137" t="s">
        <v>544</v>
      </c>
      <c r="B634" s="276"/>
      <c r="C634" s="276"/>
      <c r="D634" s="278">
        <f>0+72000</f>
        <v>72000</v>
      </c>
      <c r="E634" s="278"/>
      <c r="F634" s="278">
        <f>D634+E634</f>
        <v>72000</v>
      </c>
      <c r="G634" s="278">
        <f>400000+1000000+500000</f>
        <v>1900000</v>
      </c>
      <c r="H634" s="210"/>
      <c r="I634" s="210"/>
      <c r="J634" s="278">
        <f>G634+H634</f>
        <v>1900000</v>
      </c>
      <c r="K634" s="210"/>
      <c r="L634" s="210"/>
      <c r="M634" s="210"/>
      <c r="N634" s="210"/>
      <c r="O634" s="210"/>
      <c r="P634" s="210"/>
      <c r="CY634" s="62"/>
      <c r="CZ634" s="62"/>
      <c r="DA634" s="62"/>
      <c r="DB634" s="62"/>
      <c r="DC634" s="62"/>
      <c r="DD634" s="62"/>
    </row>
    <row r="635" spans="1:108" s="61" customFormat="1" ht="12.75" hidden="1">
      <c r="A635" s="133" t="s">
        <v>254</v>
      </c>
      <c r="B635" s="276"/>
      <c r="C635" s="276"/>
      <c r="D635" s="210"/>
      <c r="E635" s="210"/>
      <c r="F635" s="210"/>
      <c r="G635" s="210"/>
      <c r="H635" s="210"/>
      <c r="I635" s="210"/>
      <c r="J635" s="210"/>
      <c r="K635" s="210"/>
      <c r="L635" s="210"/>
      <c r="M635" s="210"/>
      <c r="N635" s="210"/>
      <c r="O635" s="210"/>
      <c r="P635" s="210"/>
      <c r="CY635" s="62"/>
      <c r="CZ635" s="62"/>
      <c r="DA635" s="62"/>
      <c r="DB635" s="62"/>
      <c r="DC635" s="62"/>
      <c r="DD635" s="62"/>
    </row>
    <row r="636" spans="1:108" s="61" customFormat="1" ht="12.75" hidden="1">
      <c r="A636" s="138" t="s">
        <v>541</v>
      </c>
      <c r="B636" s="276"/>
      <c r="C636" s="276"/>
      <c r="D636" s="210">
        <f>D634</f>
        <v>72000</v>
      </c>
      <c r="E636" s="210"/>
      <c r="F636" s="210">
        <f>D636+E636</f>
        <v>72000</v>
      </c>
      <c r="G636" s="210">
        <f>G634</f>
        <v>1900000</v>
      </c>
      <c r="H636" s="210"/>
      <c r="I636" s="210"/>
      <c r="J636" s="210">
        <f>G636+H636</f>
        <v>1900000</v>
      </c>
      <c r="K636" s="210"/>
      <c r="L636" s="210"/>
      <c r="M636" s="210"/>
      <c r="N636" s="210"/>
      <c r="O636" s="210"/>
      <c r="P636" s="210"/>
      <c r="CY636" s="62"/>
      <c r="CZ636" s="62"/>
      <c r="DA636" s="62"/>
      <c r="DB636" s="62"/>
      <c r="DC636" s="62"/>
      <c r="DD636" s="62"/>
    </row>
    <row r="637" spans="1:108" s="61" customFormat="1" ht="12.75" hidden="1">
      <c r="A637" s="139" t="s">
        <v>410</v>
      </c>
      <c r="B637" s="276"/>
      <c r="C637" s="276"/>
      <c r="D637" s="210"/>
      <c r="E637" s="210"/>
      <c r="F637" s="210"/>
      <c r="G637" s="210"/>
      <c r="H637" s="210"/>
      <c r="I637" s="210"/>
      <c r="J637" s="210"/>
      <c r="K637" s="210"/>
      <c r="L637" s="210"/>
      <c r="M637" s="210"/>
      <c r="N637" s="210"/>
      <c r="O637" s="210"/>
      <c r="P637" s="210"/>
      <c r="CY637" s="62"/>
      <c r="CZ637" s="62"/>
      <c r="DA637" s="62"/>
      <c r="DB637" s="62"/>
      <c r="DC637" s="62"/>
      <c r="DD637" s="62"/>
    </row>
    <row r="638" spans="1:108" s="61" customFormat="1" ht="25.5" hidden="1">
      <c r="A638" s="134" t="s">
        <v>542</v>
      </c>
      <c r="B638" s="276"/>
      <c r="C638" s="276"/>
      <c r="D638" s="277">
        <v>2</v>
      </c>
      <c r="E638" s="277"/>
      <c r="F638" s="277">
        <f>D638+E638</f>
        <v>2</v>
      </c>
      <c r="G638" s="277">
        <v>10</v>
      </c>
      <c r="H638" s="210"/>
      <c r="I638" s="210"/>
      <c r="J638" s="277">
        <f>G638+H638</f>
        <v>10</v>
      </c>
      <c r="K638" s="210"/>
      <c r="L638" s="210"/>
      <c r="M638" s="210"/>
      <c r="N638" s="210"/>
      <c r="O638" s="210"/>
      <c r="P638" s="210"/>
      <c r="CY638" s="62"/>
      <c r="CZ638" s="62"/>
      <c r="DA638" s="62"/>
      <c r="DB638" s="62"/>
      <c r="DC638" s="62"/>
      <c r="DD638" s="62"/>
    </row>
    <row r="639" spans="1:108" s="61" customFormat="1" ht="12.75" hidden="1">
      <c r="A639" s="139" t="s">
        <v>372</v>
      </c>
      <c r="B639" s="276"/>
      <c r="C639" s="276"/>
      <c r="D639" s="210"/>
      <c r="E639" s="210"/>
      <c r="F639" s="210"/>
      <c r="G639" s="210"/>
      <c r="H639" s="210"/>
      <c r="I639" s="210"/>
      <c r="J639" s="210"/>
      <c r="K639" s="210"/>
      <c r="L639" s="210"/>
      <c r="M639" s="210"/>
      <c r="N639" s="210"/>
      <c r="O639" s="210"/>
      <c r="P639" s="210"/>
      <c r="CY639" s="62"/>
      <c r="CZ639" s="62"/>
      <c r="DA639" s="62"/>
      <c r="DB639" s="62"/>
      <c r="DC639" s="62"/>
      <c r="DD639" s="62"/>
    </row>
    <row r="640" spans="1:108" s="61" customFormat="1" ht="25.5" hidden="1">
      <c r="A640" s="138" t="s">
        <v>543</v>
      </c>
      <c r="B640" s="276"/>
      <c r="C640" s="276"/>
      <c r="D640" s="210">
        <f>D634/D638</f>
        <v>36000</v>
      </c>
      <c r="E640" s="210"/>
      <c r="F640" s="210">
        <f>D640+E640</f>
        <v>36000</v>
      </c>
      <c r="G640" s="210">
        <f>G634/G638</f>
        <v>190000</v>
      </c>
      <c r="H640" s="210"/>
      <c r="I640" s="210"/>
      <c r="J640" s="210">
        <f>G640+H640</f>
        <v>190000</v>
      </c>
      <c r="K640" s="210"/>
      <c r="L640" s="210"/>
      <c r="M640" s="210"/>
      <c r="N640" s="210"/>
      <c r="O640" s="210"/>
      <c r="P640" s="210"/>
      <c r="CY640" s="62"/>
      <c r="CZ640" s="62"/>
      <c r="DA640" s="62"/>
      <c r="DB640" s="62"/>
      <c r="DC640" s="62"/>
      <c r="DD640" s="62"/>
    </row>
    <row r="641" spans="1:108" s="61" customFormat="1" ht="13.5" hidden="1">
      <c r="A641" s="137" t="s">
        <v>545</v>
      </c>
      <c r="B641" s="276"/>
      <c r="C641" s="276"/>
      <c r="D641" s="278"/>
      <c r="E641" s="278"/>
      <c r="F641" s="278"/>
      <c r="G641" s="278"/>
      <c r="H641" s="278">
        <f>H643</f>
        <v>6200000</v>
      </c>
      <c r="I641" s="278"/>
      <c r="J641" s="278">
        <f>G641+H641</f>
        <v>6200000</v>
      </c>
      <c r="K641" s="210"/>
      <c r="L641" s="210"/>
      <c r="M641" s="210"/>
      <c r="N641" s="210"/>
      <c r="O641" s="210"/>
      <c r="P641" s="210"/>
      <c r="CY641" s="62"/>
      <c r="CZ641" s="62"/>
      <c r="DA641" s="62"/>
      <c r="DB641" s="62"/>
      <c r="DC641" s="62"/>
      <c r="DD641" s="62"/>
    </row>
    <row r="642" spans="1:108" s="61" customFormat="1" ht="12.75" hidden="1">
      <c r="A642" s="133" t="s">
        <v>254</v>
      </c>
      <c r="B642" s="276"/>
      <c r="C642" s="276"/>
      <c r="D642" s="210"/>
      <c r="E642" s="210"/>
      <c r="F642" s="210"/>
      <c r="G642" s="210"/>
      <c r="H642" s="210"/>
      <c r="I642" s="210"/>
      <c r="J642" s="210"/>
      <c r="K642" s="210"/>
      <c r="L642" s="210"/>
      <c r="M642" s="210"/>
      <c r="N642" s="210"/>
      <c r="O642" s="210"/>
      <c r="P642" s="210"/>
      <c r="CY642" s="62"/>
      <c r="CZ642" s="62"/>
      <c r="DA642" s="62"/>
      <c r="DB642" s="62"/>
      <c r="DC642" s="62"/>
      <c r="DD642" s="62"/>
    </row>
    <row r="643" spans="1:108" s="61" customFormat="1" ht="12.75" hidden="1">
      <c r="A643" s="138" t="s">
        <v>546</v>
      </c>
      <c r="B643" s="276"/>
      <c r="C643" s="276"/>
      <c r="D643" s="210"/>
      <c r="E643" s="210"/>
      <c r="F643" s="210"/>
      <c r="G643" s="210"/>
      <c r="H643" s="210">
        <f>6200000</f>
        <v>6200000</v>
      </c>
      <c r="I643" s="210"/>
      <c r="J643" s="210">
        <f>G643+H643</f>
        <v>6200000</v>
      </c>
      <c r="K643" s="210"/>
      <c r="L643" s="210"/>
      <c r="M643" s="210"/>
      <c r="N643" s="210"/>
      <c r="O643" s="210"/>
      <c r="P643" s="210"/>
      <c r="CY643" s="62"/>
      <c r="CZ643" s="62"/>
      <c r="DA643" s="62"/>
      <c r="DB643" s="62"/>
      <c r="DC643" s="62"/>
      <c r="DD643" s="62"/>
    </row>
    <row r="644" spans="1:108" s="61" customFormat="1" ht="12.75" hidden="1">
      <c r="A644" s="139" t="s">
        <v>410</v>
      </c>
      <c r="B644" s="276"/>
      <c r="C644" s="276"/>
      <c r="D644" s="210"/>
      <c r="E644" s="210"/>
      <c r="F644" s="210"/>
      <c r="G644" s="210"/>
      <c r="H644" s="210"/>
      <c r="I644" s="210"/>
      <c r="J644" s="210"/>
      <c r="K644" s="210"/>
      <c r="L644" s="210"/>
      <c r="M644" s="210"/>
      <c r="N644" s="210"/>
      <c r="O644" s="210"/>
      <c r="P644" s="210"/>
      <c r="CY644" s="62"/>
      <c r="CZ644" s="62"/>
      <c r="DA644" s="62"/>
      <c r="DB644" s="62"/>
      <c r="DC644" s="62"/>
      <c r="DD644" s="62"/>
    </row>
    <row r="645" spans="1:108" s="61" customFormat="1" ht="12.75" hidden="1">
      <c r="A645" s="134" t="s">
        <v>547</v>
      </c>
      <c r="B645" s="276"/>
      <c r="C645" s="276"/>
      <c r="D645" s="210"/>
      <c r="E645" s="210"/>
      <c r="F645" s="210"/>
      <c r="G645" s="210"/>
      <c r="H645" s="210">
        <v>1</v>
      </c>
      <c r="I645" s="210"/>
      <c r="J645" s="210">
        <f>G645+H645</f>
        <v>1</v>
      </c>
      <c r="K645" s="210"/>
      <c r="L645" s="210"/>
      <c r="M645" s="210"/>
      <c r="N645" s="210"/>
      <c r="O645" s="210"/>
      <c r="P645" s="210"/>
      <c r="CY645" s="62"/>
      <c r="CZ645" s="62"/>
      <c r="DA645" s="62"/>
      <c r="DB645" s="62"/>
      <c r="DC645" s="62"/>
      <c r="DD645" s="62"/>
    </row>
    <row r="646" spans="1:108" s="61" customFormat="1" ht="12.75" hidden="1">
      <c r="A646" s="139" t="s">
        <v>372</v>
      </c>
      <c r="B646" s="276"/>
      <c r="C646" s="276"/>
      <c r="D646" s="210"/>
      <c r="E646" s="210"/>
      <c r="F646" s="210"/>
      <c r="G646" s="210"/>
      <c r="H646" s="210"/>
      <c r="I646" s="210"/>
      <c r="J646" s="210"/>
      <c r="K646" s="210"/>
      <c r="L646" s="210"/>
      <c r="M646" s="210"/>
      <c r="N646" s="210"/>
      <c r="O646" s="210"/>
      <c r="P646" s="210"/>
      <c r="CY646" s="62"/>
      <c r="CZ646" s="62"/>
      <c r="DA646" s="62"/>
      <c r="DB646" s="62"/>
      <c r="DC646" s="62"/>
      <c r="DD646" s="62"/>
    </row>
    <row r="647" spans="1:108" s="61" customFormat="1" ht="12.75" hidden="1">
      <c r="A647" s="138" t="s">
        <v>563</v>
      </c>
      <c r="B647" s="276"/>
      <c r="C647" s="276"/>
      <c r="D647" s="210"/>
      <c r="E647" s="210"/>
      <c r="F647" s="210"/>
      <c r="G647" s="210"/>
      <c r="H647" s="210">
        <f>H643/H645</f>
        <v>6200000</v>
      </c>
      <c r="I647" s="210"/>
      <c r="J647" s="210">
        <f>G647+H647</f>
        <v>6200000</v>
      </c>
      <c r="K647" s="210"/>
      <c r="L647" s="210"/>
      <c r="M647" s="210"/>
      <c r="N647" s="210"/>
      <c r="O647" s="210"/>
      <c r="P647" s="210"/>
      <c r="CY647" s="62"/>
      <c r="CZ647" s="62"/>
      <c r="DA647" s="62"/>
      <c r="DB647" s="62"/>
      <c r="DC647" s="62"/>
      <c r="DD647" s="62"/>
    </row>
    <row r="648" spans="1:108" s="61" customFormat="1" ht="27" hidden="1">
      <c r="A648" s="170" t="s">
        <v>558</v>
      </c>
      <c r="B648" s="276"/>
      <c r="C648" s="276"/>
      <c r="D648" s="210"/>
      <c r="E648" s="210"/>
      <c r="F648" s="210"/>
      <c r="G648" s="278">
        <f>655600+868100+1000000</f>
        <v>2523700</v>
      </c>
      <c r="H648" s="278"/>
      <c r="I648" s="278"/>
      <c r="J648" s="278">
        <f aca="true" t="shared" si="42" ref="J648:J654">G648+H648</f>
        <v>2523700</v>
      </c>
      <c r="K648" s="210"/>
      <c r="L648" s="210"/>
      <c r="M648" s="210"/>
      <c r="N648" s="210"/>
      <c r="O648" s="210"/>
      <c r="P648" s="210"/>
      <c r="CY648" s="62"/>
      <c r="CZ648" s="62"/>
      <c r="DA648" s="62"/>
      <c r="DB648" s="62"/>
      <c r="DC648" s="62"/>
      <c r="DD648" s="62"/>
    </row>
    <row r="649" spans="1:108" s="61" customFormat="1" ht="12.75" hidden="1">
      <c r="A649" s="133" t="s">
        <v>254</v>
      </c>
      <c r="B649" s="276"/>
      <c r="C649" s="276"/>
      <c r="D649" s="210"/>
      <c r="E649" s="210"/>
      <c r="F649" s="210"/>
      <c r="G649" s="210"/>
      <c r="H649" s="210"/>
      <c r="I649" s="210"/>
      <c r="J649" s="210"/>
      <c r="K649" s="210"/>
      <c r="L649" s="210"/>
      <c r="M649" s="210"/>
      <c r="N649" s="210"/>
      <c r="O649" s="210"/>
      <c r="P649" s="210"/>
      <c r="CY649" s="62"/>
      <c r="CZ649" s="62"/>
      <c r="DA649" s="62"/>
      <c r="DB649" s="62"/>
      <c r="DC649" s="62"/>
      <c r="DD649" s="62"/>
    </row>
    <row r="650" spans="1:108" s="61" customFormat="1" ht="25.5" hidden="1">
      <c r="A650" s="138" t="s">
        <v>559</v>
      </c>
      <c r="B650" s="276"/>
      <c r="C650" s="276"/>
      <c r="D650" s="210"/>
      <c r="E650" s="210"/>
      <c r="F650" s="210"/>
      <c r="G650" s="210">
        <f>655600+868100+1000000</f>
        <v>2523700</v>
      </c>
      <c r="H650" s="210"/>
      <c r="I650" s="210"/>
      <c r="J650" s="210">
        <f t="shared" si="42"/>
        <v>2523700</v>
      </c>
      <c r="K650" s="210"/>
      <c r="L650" s="210"/>
      <c r="M650" s="210"/>
      <c r="N650" s="210"/>
      <c r="O650" s="210"/>
      <c r="P650" s="210"/>
      <c r="CY650" s="62"/>
      <c r="CZ650" s="62"/>
      <c r="DA650" s="62"/>
      <c r="DB650" s="62"/>
      <c r="DC650" s="62"/>
      <c r="DD650" s="62"/>
    </row>
    <row r="651" spans="1:108" s="61" customFormat="1" ht="12.75" hidden="1">
      <c r="A651" s="139" t="s">
        <v>410</v>
      </c>
      <c r="B651" s="276"/>
      <c r="C651" s="276"/>
      <c r="D651" s="210"/>
      <c r="E651" s="210"/>
      <c r="F651" s="210"/>
      <c r="G651" s="210"/>
      <c r="H651" s="210"/>
      <c r="I651" s="210"/>
      <c r="J651" s="210"/>
      <c r="K651" s="210"/>
      <c r="L651" s="210"/>
      <c r="M651" s="210"/>
      <c r="N651" s="210"/>
      <c r="O651" s="210"/>
      <c r="P651" s="210"/>
      <c r="CY651" s="62"/>
      <c r="CZ651" s="62"/>
      <c r="DA651" s="62"/>
      <c r="DB651" s="62"/>
      <c r="DC651" s="62"/>
      <c r="DD651" s="62"/>
    </row>
    <row r="652" spans="1:108" s="61" customFormat="1" ht="12.75" hidden="1">
      <c r="A652" s="134" t="s">
        <v>557</v>
      </c>
      <c r="B652" s="276"/>
      <c r="C652" s="276"/>
      <c r="D652" s="210"/>
      <c r="E652" s="210"/>
      <c r="F652" s="210"/>
      <c r="G652" s="277">
        <v>1</v>
      </c>
      <c r="H652" s="277"/>
      <c r="I652" s="277"/>
      <c r="J652" s="277">
        <f t="shared" si="42"/>
        <v>1</v>
      </c>
      <c r="K652" s="210"/>
      <c r="L652" s="210"/>
      <c r="M652" s="210"/>
      <c r="N652" s="210"/>
      <c r="O652" s="210"/>
      <c r="P652" s="210"/>
      <c r="CY652" s="62"/>
      <c r="CZ652" s="62"/>
      <c r="DA652" s="62"/>
      <c r="DB652" s="62"/>
      <c r="DC652" s="62"/>
      <c r="DD652" s="62"/>
    </row>
    <row r="653" spans="1:108" s="61" customFormat="1" ht="12.75" hidden="1">
      <c r="A653" s="139" t="s">
        <v>372</v>
      </c>
      <c r="B653" s="276"/>
      <c r="C653" s="276"/>
      <c r="D653" s="210"/>
      <c r="E653" s="210"/>
      <c r="F653" s="210"/>
      <c r="G653" s="210"/>
      <c r="H653" s="210"/>
      <c r="I653" s="210"/>
      <c r="J653" s="210"/>
      <c r="K653" s="210"/>
      <c r="L653" s="210"/>
      <c r="M653" s="210"/>
      <c r="N653" s="210"/>
      <c r="O653" s="210"/>
      <c r="P653" s="210"/>
      <c r="CY653" s="62"/>
      <c r="CZ653" s="62"/>
      <c r="DA653" s="62"/>
      <c r="DB653" s="62"/>
      <c r="DC653" s="62"/>
      <c r="DD653" s="62"/>
    </row>
    <row r="654" spans="1:108" s="61" customFormat="1" ht="25.5" hidden="1">
      <c r="A654" s="138" t="s">
        <v>562</v>
      </c>
      <c r="B654" s="276"/>
      <c r="C654" s="276"/>
      <c r="D654" s="210"/>
      <c r="E654" s="210"/>
      <c r="F654" s="210"/>
      <c r="G654" s="210">
        <f>G650/G652</f>
        <v>2523700</v>
      </c>
      <c r="H654" s="210"/>
      <c r="I654" s="210"/>
      <c r="J654" s="210">
        <f t="shared" si="42"/>
        <v>2523700</v>
      </c>
      <c r="K654" s="210"/>
      <c r="L654" s="210"/>
      <c r="M654" s="210"/>
      <c r="N654" s="210"/>
      <c r="O654" s="210"/>
      <c r="P654" s="210"/>
      <c r="CY654" s="62"/>
      <c r="CZ654" s="62"/>
      <c r="DA654" s="62"/>
      <c r="DB654" s="62"/>
      <c r="DC654" s="62"/>
      <c r="DD654" s="62"/>
    </row>
    <row r="655" spans="1:188" s="56" customFormat="1" ht="27.75" customHeight="1" hidden="1">
      <c r="A655" s="113" t="s">
        <v>45</v>
      </c>
      <c r="B655" s="211"/>
      <c r="C655" s="211"/>
      <c r="D655" s="271">
        <f>D657+D670</f>
        <v>318730</v>
      </c>
      <c r="E655" s="271">
        <f>E693+E709</f>
        <v>636370</v>
      </c>
      <c r="F655" s="271">
        <f>D655+E655</f>
        <v>955100</v>
      </c>
      <c r="G655" s="271">
        <f>G657+G670</f>
        <v>328452</v>
      </c>
      <c r="H655" s="271">
        <f>H693+H709</f>
        <v>676380</v>
      </c>
      <c r="I655" s="271"/>
      <c r="J655" s="271">
        <f>G655+H655</f>
        <v>1004832</v>
      </c>
      <c r="K655" s="271" t="e">
        <f>#REF!+#REF!</f>
        <v>#REF!</v>
      </c>
      <c r="L655" s="271" t="e">
        <f>#REF!+#REF!</f>
        <v>#REF!</v>
      </c>
      <c r="M655" s="271" t="e">
        <f>#REF!+#REF!</f>
        <v>#REF!</v>
      </c>
      <c r="N655" s="271">
        <f>N657+N670</f>
        <v>344360</v>
      </c>
      <c r="O655" s="271">
        <f>O693+O709</f>
        <v>733240</v>
      </c>
      <c r="P655" s="271">
        <f>N655+O655</f>
        <v>1077600</v>
      </c>
      <c r="Q655" s="48"/>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8"/>
      <c r="BB655" s="48"/>
      <c r="BC655" s="48"/>
      <c r="BD655" s="48"/>
      <c r="BE655" s="48"/>
      <c r="BF655" s="48"/>
      <c r="BG655" s="48"/>
      <c r="BH655" s="48"/>
      <c r="BI655" s="48"/>
      <c r="BJ655" s="48"/>
      <c r="BK655" s="48"/>
      <c r="BL655" s="48"/>
      <c r="BM655" s="48"/>
      <c r="BN655" s="48"/>
      <c r="BO655" s="48"/>
      <c r="BP655" s="48"/>
      <c r="BQ655" s="48"/>
      <c r="BR655" s="48"/>
      <c r="BS655" s="48"/>
      <c r="BT655" s="48"/>
      <c r="BU655" s="48"/>
      <c r="BV655" s="48"/>
      <c r="BW655" s="48"/>
      <c r="BX655" s="48"/>
      <c r="BY655" s="48"/>
      <c r="BZ655" s="48"/>
      <c r="CA655" s="48"/>
      <c r="CB655" s="48"/>
      <c r="CC655" s="48"/>
      <c r="CD655" s="48"/>
      <c r="CE655" s="48"/>
      <c r="CF655" s="48"/>
      <c r="CG655" s="48"/>
      <c r="CH655" s="48"/>
      <c r="CI655" s="48"/>
      <c r="CJ655" s="48"/>
      <c r="CK655" s="48"/>
      <c r="CL655" s="48"/>
      <c r="CM655" s="48"/>
      <c r="CN655" s="48"/>
      <c r="CO655" s="48"/>
      <c r="CP655" s="48"/>
      <c r="CQ655" s="48"/>
      <c r="CR655" s="48"/>
      <c r="CS655" s="48"/>
      <c r="CT655" s="48"/>
      <c r="CU655" s="48"/>
      <c r="CV655" s="48"/>
      <c r="CW655" s="48"/>
      <c r="CX655" s="48"/>
      <c r="CY655" s="48"/>
      <c r="CZ655" s="48"/>
      <c r="DA655" s="48"/>
      <c r="DB655" s="48"/>
      <c r="DC655" s="48"/>
      <c r="DD655" s="48"/>
      <c r="DE655" s="48"/>
      <c r="DF655" s="48"/>
      <c r="DG655" s="48"/>
      <c r="DH655" s="48"/>
      <c r="DI655" s="48"/>
      <c r="DJ655" s="48"/>
      <c r="DK655" s="48"/>
      <c r="DL655" s="48"/>
      <c r="DM655" s="48"/>
      <c r="DN655" s="48"/>
      <c r="DO655" s="48"/>
      <c r="DP655" s="48"/>
      <c r="DQ655" s="48"/>
      <c r="DR655" s="48"/>
      <c r="DS655" s="48"/>
      <c r="DT655" s="48"/>
      <c r="DU655" s="48"/>
      <c r="DV655" s="48"/>
      <c r="DW655" s="48"/>
      <c r="DX655" s="48"/>
      <c r="DY655" s="48"/>
      <c r="DZ655" s="48"/>
      <c r="EA655" s="48"/>
      <c r="EB655" s="48"/>
      <c r="EC655" s="48"/>
      <c r="ED655" s="48"/>
      <c r="EE655" s="48"/>
      <c r="EF655" s="48"/>
      <c r="EG655" s="48"/>
      <c r="EH655" s="48"/>
      <c r="EI655" s="48"/>
      <c r="EJ655" s="48"/>
      <c r="EK655" s="48"/>
      <c r="EL655" s="48"/>
      <c r="EM655" s="48"/>
      <c r="EN655" s="48"/>
      <c r="EO655" s="48"/>
      <c r="EP655" s="48"/>
      <c r="EQ655" s="48"/>
      <c r="ER655" s="48"/>
      <c r="ES655" s="48"/>
      <c r="ET655" s="48"/>
      <c r="EU655" s="48"/>
      <c r="EV655" s="48"/>
      <c r="EW655" s="48"/>
      <c r="EX655" s="48"/>
      <c r="EY655" s="48"/>
      <c r="EZ655" s="48"/>
      <c r="FA655" s="48"/>
      <c r="FB655" s="48"/>
      <c r="FC655" s="48"/>
      <c r="FD655" s="48"/>
      <c r="FE655" s="48"/>
      <c r="FF655" s="48"/>
      <c r="FG655" s="48"/>
      <c r="FH655" s="48"/>
      <c r="FI655" s="48"/>
      <c r="FJ655" s="48"/>
      <c r="FK655" s="48"/>
      <c r="FL655" s="48"/>
      <c r="FM655" s="48"/>
      <c r="FN655" s="48"/>
      <c r="FO655" s="48"/>
      <c r="FP655" s="48"/>
      <c r="FQ655" s="48"/>
      <c r="FR655" s="48"/>
      <c r="FS655" s="48"/>
      <c r="FT655" s="48"/>
      <c r="FU655" s="48"/>
      <c r="FV655" s="48"/>
      <c r="FW655" s="48"/>
      <c r="FX655" s="48"/>
      <c r="FY655" s="48"/>
      <c r="FZ655" s="48"/>
      <c r="GA655" s="48"/>
      <c r="GB655" s="48"/>
      <c r="GC655" s="48"/>
      <c r="GD655" s="48"/>
      <c r="GE655" s="48"/>
      <c r="GF655" s="48"/>
    </row>
    <row r="656" spans="1:188" s="55" customFormat="1" ht="25.5" hidden="1">
      <c r="A656" s="138" t="s">
        <v>350</v>
      </c>
      <c r="B656" s="162"/>
      <c r="C656" s="162"/>
      <c r="D656" s="160"/>
      <c r="E656" s="160"/>
      <c r="F656" s="160"/>
      <c r="G656" s="160"/>
      <c r="H656" s="160"/>
      <c r="I656" s="160"/>
      <c r="J656" s="160"/>
      <c r="K656" s="212"/>
      <c r="L656" s="159"/>
      <c r="M656" s="160"/>
      <c r="N656" s="160"/>
      <c r="O656" s="160"/>
      <c r="P656" s="160"/>
      <c r="Q656" s="36"/>
      <c r="R656" s="36"/>
      <c r="S656" s="36"/>
      <c r="T656" s="36"/>
      <c r="U656" s="36"/>
      <c r="V656" s="36"/>
      <c r="W656" s="36"/>
      <c r="X656" s="36"/>
      <c r="Y656" s="36"/>
      <c r="Z656" s="36"/>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c r="BE656" s="36"/>
      <c r="BF656" s="36"/>
      <c r="BG656" s="36"/>
      <c r="BH656" s="36"/>
      <c r="BI656" s="36"/>
      <c r="BJ656" s="36"/>
      <c r="BK656" s="36"/>
      <c r="BL656" s="36"/>
      <c r="BM656" s="36"/>
      <c r="BN656" s="36"/>
      <c r="BO656" s="36"/>
      <c r="BP656" s="36"/>
      <c r="BQ656" s="36"/>
      <c r="BR656" s="36"/>
      <c r="BS656" s="36"/>
      <c r="BT656" s="36"/>
      <c r="BU656" s="36"/>
      <c r="BV656" s="36"/>
      <c r="BW656" s="36"/>
      <c r="BX656" s="36"/>
      <c r="BY656" s="36"/>
      <c r="BZ656" s="36"/>
      <c r="CA656" s="36"/>
      <c r="CB656" s="36"/>
      <c r="CC656" s="36"/>
      <c r="CD656" s="36"/>
      <c r="CE656" s="36"/>
      <c r="CF656" s="36"/>
      <c r="CG656" s="36"/>
      <c r="CH656" s="36"/>
      <c r="CI656" s="36"/>
      <c r="CJ656" s="36"/>
      <c r="CK656" s="36"/>
      <c r="CL656" s="36"/>
      <c r="CM656" s="36"/>
      <c r="CN656" s="36"/>
      <c r="CO656" s="36"/>
      <c r="CP656" s="36"/>
      <c r="CQ656" s="36"/>
      <c r="CR656" s="36"/>
      <c r="CS656" s="36"/>
      <c r="CT656" s="36"/>
      <c r="CU656" s="36"/>
      <c r="CV656" s="36"/>
      <c r="CW656" s="36"/>
      <c r="CX656" s="36"/>
      <c r="CY656" s="36"/>
      <c r="CZ656" s="36"/>
      <c r="DA656" s="36"/>
      <c r="DB656" s="36"/>
      <c r="DC656" s="36"/>
      <c r="DD656" s="36"/>
      <c r="DE656" s="36"/>
      <c r="DF656" s="36"/>
      <c r="DG656" s="36"/>
      <c r="DH656" s="36"/>
      <c r="DI656" s="36"/>
      <c r="DJ656" s="36"/>
      <c r="DK656" s="36"/>
      <c r="DL656" s="36"/>
      <c r="DM656" s="36"/>
      <c r="DN656" s="36"/>
      <c r="DO656" s="36"/>
      <c r="DP656" s="36"/>
      <c r="DQ656" s="36"/>
      <c r="DR656" s="36"/>
      <c r="DS656" s="36"/>
      <c r="DT656" s="36"/>
      <c r="DU656" s="36"/>
      <c r="DV656" s="36"/>
      <c r="DW656" s="36"/>
      <c r="DX656" s="36"/>
      <c r="DY656" s="36"/>
      <c r="DZ656" s="36"/>
      <c r="EA656" s="36"/>
      <c r="EB656" s="36"/>
      <c r="EC656" s="36"/>
      <c r="ED656" s="36"/>
      <c r="EE656" s="36"/>
      <c r="EF656" s="36"/>
      <c r="EG656" s="36"/>
      <c r="EH656" s="36"/>
      <c r="EI656" s="36"/>
      <c r="EJ656" s="36"/>
      <c r="EK656" s="36"/>
      <c r="EL656" s="36"/>
      <c r="EM656" s="36"/>
      <c r="EN656" s="36"/>
      <c r="EO656" s="36"/>
      <c r="EP656" s="36"/>
      <c r="EQ656" s="36"/>
      <c r="ER656" s="36"/>
      <c r="ES656" s="36"/>
      <c r="ET656" s="36"/>
      <c r="EU656" s="36"/>
      <c r="EV656" s="36"/>
      <c r="EW656" s="36"/>
      <c r="EX656" s="36"/>
      <c r="EY656" s="36"/>
      <c r="EZ656" s="36"/>
      <c r="FA656" s="36"/>
      <c r="FB656" s="36"/>
      <c r="FC656" s="36"/>
      <c r="FD656" s="36"/>
      <c r="FE656" s="36"/>
      <c r="FF656" s="36"/>
      <c r="FG656" s="36"/>
      <c r="FH656" s="36"/>
      <c r="FI656" s="36"/>
      <c r="FJ656" s="36"/>
      <c r="FK656" s="36"/>
      <c r="FL656" s="36"/>
      <c r="FM656" s="36"/>
      <c r="FN656" s="36"/>
      <c r="FO656" s="36"/>
      <c r="FP656" s="36"/>
      <c r="FQ656" s="36"/>
      <c r="FR656" s="36"/>
      <c r="FS656" s="36"/>
      <c r="FT656" s="36"/>
      <c r="FU656" s="36"/>
      <c r="FV656" s="36"/>
      <c r="FW656" s="36"/>
      <c r="FX656" s="36"/>
      <c r="FY656" s="36"/>
      <c r="FZ656" s="36"/>
      <c r="GA656" s="36"/>
      <c r="GB656" s="36"/>
      <c r="GC656" s="36"/>
      <c r="GD656" s="36"/>
      <c r="GE656" s="36"/>
      <c r="GF656" s="36"/>
    </row>
    <row r="657" spans="1:188" s="43" customFormat="1" ht="27" hidden="1">
      <c r="A657" s="141" t="s">
        <v>46</v>
      </c>
      <c r="B657" s="141"/>
      <c r="C657" s="141"/>
      <c r="D657" s="213">
        <f>D659+D660+D661</f>
        <v>182500</v>
      </c>
      <c r="E657" s="213"/>
      <c r="F657" s="213">
        <f>F659+F660+F661</f>
        <v>182500</v>
      </c>
      <c r="G657" s="213">
        <f>G659+G660+G661</f>
        <v>183750</v>
      </c>
      <c r="H657" s="213"/>
      <c r="I657" s="213"/>
      <c r="J657" s="213">
        <f>J659+J660+J661</f>
        <v>183750</v>
      </c>
      <c r="K657" s="213"/>
      <c r="L657" s="214"/>
      <c r="M657" s="214"/>
      <c r="N657" s="213">
        <f>N659+N660+N661</f>
        <v>185000</v>
      </c>
      <c r="O657" s="213"/>
      <c r="P657" s="213">
        <f>P659+P660+P661</f>
        <v>185000</v>
      </c>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52"/>
      <c r="CD657" s="52"/>
      <c r="CE657" s="52"/>
      <c r="CF657" s="52"/>
      <c r="CG657" s="52"/>
      <c r="CH657" s="52"/>
      <c r="CI657" s="52"/>
      <c r="CJ657" s="52"/>
      <c r="CK657" s="52"/>
      <c r="CL657" s="52"/>
      <c r="CM657" s="52"/>
      <c r="CN657" s="52"/>
      <c r="CO657" s="52"/>
      <c r="CP657" s="52"/>
      <c r="CQ657" s="52"/>
      <c r="CR657" s="52"/>
      <c r="CS657" s="52"/>
      <c r="CT657" s="52"/>
      <c r="CU657" s="52"/>
      <c r="CV657" s="52"/>
      <c r="CW657" s="52"/>
      <c r="CX657" s="52"/>
      <c r="CY657" s="52"/>
      <c r="CZ657" s="52"/>
      <c r="DA657" s="52"/>
      <c r="DB657" s="52"/>
      <c r="DC657" s="52"/>
      <c r="DD657" s="52"/>
      <c r="DE657" s="52"/>
      <c r="DF657" s="52"/>
      <c r="DG657" s="52"/>
      <c r="DH657" s="52"/>
      <c r="DI657" s="52"/>
      <c r="DJ657" s="52"/>
      <c r="DK657" s="52"/>
      <c r="DL657" s="52"/>
      <c r="DM657" s="52"/>
      <c r="DN657" s="52"/>
      <c r="DO657" s="52"/>
      <c r="DP657" s="52"/>
      <c r="DQ657" s="52"/>
      <c r="DR657" s="52"/>
      <c r="DS657" s="52"/>
      <c r="DT657" s="52"/>
      <c r="DU657" s="52"/>
      <c r="DV657" s="52"/>
      <c r="DW657" s="52"/>
      <c r="DX657" s="52"/>
      <c r="DY657" s="52"/>
      <c r="DZ657" s="52"/>
      <c r="EA657" s="52"/>
      <c r="EB657" s="52"/>
      <c r="EC657" s="52"/>
      <c r="ED657" s="52"/>
      <c r="EE657" s="52"/>
      <c r="EF657" s="52"/>
      <c r="EG657" s="52"/>
      <c r="EH657" s="52"/>
      <c r="EI657" s="52"/>
      <c r="EJ657" s="52"/>
      <c r="EK657" s="52"/>
      <c r="EL657" s="52"/>
      <c r="EM657" s="52"/>
      <c r="EN657" s="52"/>
      <c r="EO657" s="52"/>
      <c r="EP657" s="52"/>
      <c r="EQ657" s="52"/>
      <c r="ER657" s="52"/>
      <c r="ES657" s="52"/>
      <c r="ET657" s="52"/>
      <c r="EU657" s="52"/>
      <c r="EV657" s="52"/>
      <c r="EW657" s="52"/>
      <c r="EX657" s="52"/>
      <c r="EY657" s="52"/>
      <c r="EZ657" s="52"/>
      <c r="FA657" s="52"/>
      <c r="FB657" s="52"/>
      <c r="FC657" s="52"/>
      <c r="FD657" s="52"/>
      <c r="FE657" s="52"/>
      <c r="FF657" s="52"/>
      <c r="FG657" s="52"/>
      <c r="FH657" s="52"/>
      <c r="FI657" s="52"/>
      <c r="FJ657" s="52"/>
      <c r="FK657" s="52"/>
      <c r="FL657" s="52"/>
      <c r="FM657" s="52"/>
      <c r="FN657" s="52"/>
      <c r="FO657" s="52"/>
      <c r="FP657" s="52"/>
      <c r="FQ657" s="52"/>
      <c r="FR657" s="52"/>
      <c r="FS657" s="52"/>
      <c r="FT657" s="52"/>
      <c r="FU657" s="52"/>
      <c r="FV657" s="52"/>
      <c r="FW657" s="52"/>
      <c r="FX657" s="52"/>
      <c r="FY657" s="52"/>
      <c r="FZ657" s="52"/>
      <c r="GA657" s="52"/>
      <c r="GB657" s="52"/>
      <c r="GC657" s="52"/>
      <c r="GD657" s="52"/>
      <c r="GE657" s="52"/>
      <c r="GF657" s="52"/>
    </row>
    <row r="658" spans="1:188" s="55" customFormat="1" ht="12.75" hidden="1">
      <c r="A658" s="142" t="s">
        <v>183</v>
      </c>
      <c r="B658" s="142"/>
      <c r="C658" s="142"/>
      <c r="D658" s="215"/>
      <c r="E658" s="215"/>
      <c r="F658" s="215"/>
      <c r="G658" s="215"/>
      <c r="H658" s="215"/>
      <c r="I658" s="215"/>
      <c r="J658" s="215"/>
      <c r="K658" s="216"/>
      <c r="L658" s="215"/>
      <c r="M658" s="215"/>
      <c r="N658" s="215"/>
      <c r="O658" s="215"/>
      <c r="P658" s="215"/>
      <c r="Q658" s="36"/>
      <c r="R658" s="36"/>
      <c r="S658" s="36"/>
      <c r="T658" s="36"/>
      <c r="U658" s="36"/>
      <c r="V658" s="36"/>
      <c r="W658" s="36"/>
      <c r="X658" s="36"/>
      <c r="Y658" s="36"/>
      <c r="Z658" s="36"/>
      <c r="AA658" s="36"/>
      <c r="AB658" s="36"/>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c r="BC658" s="36"/>
      <c r="BD658" s="36"/>
      <c r="BE658" s="36"/>
      <c r="BF658" s="36"/>
      <c r="BG658" s="36"/>
      <c r="BH658" s="36"/>
      <c r="BI658" s="36"/>
      <c r="BJ658" s="36"/>
      <c r="BK658" s="36"/>
      <c r="BL658" s="36"/>
      <c r="BM658" s="36"/>
      <c r="BN658" s="36"/>
      <c r="BO658" s="36"/>
      <c r="BP658" s="36"/>
      <c r="BQ658" s="36"/>
      <c r="BR658" s="36"/>
      <c r="BS658" s="36"/>
      <c r="BT658" s="36"/>
      <c r="BU658" s="36"/>
      <c r="BV658" s="36"/>
      <c r="BW658" s="36"/>
      <c r="BX658" s="36"/>
      <c r="BY658" s="36"/>
      <c r="BZ658" s="36"/>
      <c r="CA658" s="36"/>
      <c r="CB658" s="36"/>
      <c r="CC658" s="36"/>
      <c r="CD658" s="36"/>
      <c r="CE658" s="36"/>
      <c r="CF658" s="36"/>
      <c r="CG658" s="36"/>
      <c r="CH658" s="36"/>
      <c r="CI658" s="36"/>
      <c r="CJ658" s="36"/>
      <c r="CK658" s="36"/>
      <c r="CL658" s="36"/>
      <c r="CM658" s="36"/>
      <c r="CN658" s="36"/>
      <c r="CO658" s="36"/>
      <c r="CP658" s="36"/>
      <c r="CQ658" s="36"/>
      <c r="CR658" s="36"/>
      <c r="CS658" s="36"/>
      <c r="CT658" s="36"/>
      <c r="CU658" s="36"/>
      <c r="CV658" s="36"/>
      <c r="CW658" s="36"/>
      <c r="CX658" s="36"/>
      <c r="CY658" s="36"/>
      <c r="CZ658" s="36"/>
      <c r="DA658" s="36"/>
      <c r="DB658" s="36"/>
      <c r="DC658" s="36"/>
      <c r="DD658" s="36"/>
      <c r="DE658" s="36"/>
      <c r="DF658" s="36"/>
      <c r="DG658" s="36"/>
      <c r="DH658" s="36"/>
      <c r="DI658" s="36"/>
      <c r="DJ658" s="36"/>
      <c r="DK658" s="36"/>
      <c r="DL658" s="36"/>
      <c r="DM658" s="36"/>
      <c r="DN658" s="36"/>
      <c r="DO658" s="36"/>
      <c r="DP658" s="36"/>
      <c r="DQ658" s="36"/>
      <c r="DR658" s="36"/>
      <c r="DS658" s="36"/>
      <c r="DT658" s="36"/>
      <c r="DU658" s="36"/>
      <c r="DV658" s="36"/>
      <c r="DW658" s="36"/>
      <c r="DX658" s="36"/>
      <c r="DY658" s="36"/>
      <c r="DZ658" s="36"/>
      <c r="EA658" s="36"/>
      <c r="EB658" s="36"/>
      <c r="EC658" s="36"/>
      <c r="ED658" s="36"/>
      <c r="EE658" s="36"/>
      <c r="EF658" s="36"/>
      <c r="EG658" s="36"/>
      <c r="EH658" s="36"/>
      <c r="EI658" s="36"/>
      <c r="EJ658" s="36"/>
      <c r="EK658" s="36"/>
      <c r="EL658" s="36"/>
      <c r="EM658" s="36"/>
      <c r="EN658" s="36"/>
      <c r="EO658" s="36"/>
      <c r="EP658" s="36"/>
      <c r="EQ658" s="36"/>
      <c r="ER658" s="36"/>
      <c r="ES658" s="36"/>
      <c r="ET658" s="36"/>
      <c r="EU658" s="36"/>
      <c r="EV658" s="36"/>
      <c r="EW658" s="36"/>
      <c r="EX658" s="36"/>
      <c r="EY658" s="36"/>
      <c r="EZ658" s="36"/>
      <c r="FA658" s="36"/>
      <c r="FB658" s="36"/>
      <c r="FC658" s="36"/>
      <c r="FD658" s="36"/>
      <c r="FE658" s="36"/>
      <c r="FF658" s="36"/>
      <c r="FG658" s="36"/>
      <c r="FH658" s="36"/>
      <c r="FI658" s="36"/>
      <c r="FJ658" s="36"/>
      <c r="FK658" s="36"/>
      <c r="FL658" s="36"/>
      <c r="FM658" s="36"/>
      <c r="FN658" s="36"/>
      <c r="FO658" s="36"/>
      <c r="FP658" s="36"/>
      <c r="FQ658" s="36"/>
      <c r="FR658" s="36"/>
      <c r="FS658" s="36"/>
      <c r="FT658" s="36"/>
      <c r="FU658" s="36"/>
      <c r="FV658" s="36"/>
      <c r="FW658" s="36"/>
      <c r="FX658" s="36"/>
      <c r="FY658" s="36"/>
      <c r="FZ658" s="36"/>
      <c r="GA658" s="36"/>
      <c r="GB658" s="36"/>
      <c r="GC658" s="36"/>
      <c r="GD658" s="36"/>
      <c r="GE658" s="36"/>
      <c r="GF658" s="36"/>
    </row>
    <row r="659" spans="1:188" s="55" customFormat="1" ht="29.25" customHeight="1" hidden="1">
      <c r="A659" s="138" t="s">
        <v>351</v>
      </c>
      <c r="B659" s="142"/>
      <c r="C659" s="142"/>
      <c r="D659" s="216">
        <f>D663*D667</f>
        <v>150000</v>
      </c>
      <c r="E659" s="216"/>
      <c r="F659" s="216">
        <f>D659</f>
        <v>150000</v>
      </c>
      <c r="G659" s="216">
        <f>G663*G667</f>
        <v>150000</v>
      </c>
      <c r="H659" s="216"/>
      <c r="I659" s="216"/>
      <c r="J659" s="216">
        <f>G659</f>
        <v>150000</v>
      </c>
      <c r="K659" s="216"/>
      <c r="L659" s="216"/>
      <c r="M659" s="216"/>
      <c r="N659" s="216">
        <f>N663*N667</f>
        <v>150000</v>
      </c>
      <c r="O659" s="216"/>
      <c r="P659" s="91">
        <f>N659</f>
        <v>150000</v>
      </c>
      <c r="Q659" s="36"/>
      <c r="R659" s="36"/>
      <c r="S659" s="36"/>
      <c r="T659" s="36"/>
      <c r="U659" s="36"/>
      <c r="V659" s="36"/>
      <c r="W659" s="36"/>
      <c r="X659" s="36"/>
      <c r="Y659" s="36"/>
      <c r="Z659" s="36"/>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c r="BE659" s="36"/>
      <c r="BF659" s="36"/>
      <c r="BG659" s="36"/>
      <c r="BH659" s="36"/>
      <c r="BI659" s="36"/>
      <c r="BJ659" s="36"/>
      <c r="BK659" s="36"/>
      <c r="BL659" s="36"/>
      <c r="BM659" s="36"/>
      <c r="BN659" s="36"/>
      <c r="BO659" s="36"/>
      <c r="BP659" s="36"/>
      <c r="BQ659" s="36"/>
      <c r="BR659" s="36"/>
      <c r="BS659" s="36"/>
      <c r="BT659" s="36"/>
      <c r="BU659" s="36"/>
      <c r="BV659" s="36"/>
      <c r="BW659" s="36"/>
      <c r="BX659" s="36"/>
      <c r="BY659" s="36"/>
      <c r="BZ659" s="36"/>
      <c r="CA659" s="36"/>
      <c r="CB659" s="36"/>
      <c r="CC659" s="36"/>
      <c r="CD659" s="36"/>
      <c r="CE659" s="36"/>
      <c r="CF659" s="36"/>
      <c r="CG659" s="36"/>
      <c r="CH659" s="36"/>
      <c r="CI659" s="36"/>
      <c r="CJ659" s="36"/>
      <c r="CK659" s="36"/>
      <c r="CL659" s="36"/>
      <c r="CM659" s="36"/>
      <c r="CN659" s="36"/>
      <c r="CO659" s="36"/>
      <c r="CP659" s="36"/>
      <c r="CQ659" s="36"/>
      <c r="CR659" s="36"/>
      <c r="CS659" s="36"/>
      <c r="CT659" s="36"/>
      <c r="CU659" s="36"/>
      <c r="CV659" s="36"/>
      <c r="CW659" s="36"/>
      <c r="CX659" s="36"/>
      <c r="CY659" s="36"/>
      <c r="CZ659" s="36"/>
      <c r="DA659" s="36"/>
      <c r="DB659" s="36"/>
      <c r="DC659" s="36"/>
      <c r="DD659" s="36"/>
      <c r="DE659" s="36"/>
      <c r="DF659" s="36"/>
      <c r="DG659" s="36"/>
      <c r="DH659" s="36"/>
      <c r="DI659" s="36"/>
      <c r="DJ659" s="36"/>
      <c r="DK659" s="36"/>
      <c r="DL659" s="36"/>
      <c r="DM659" s="36"/>
      <c r="DN659" s="36"/>
      <c r="DO659" s="36"/>
      <c r="DP659" s="36"/>
      <c r="DQ659" s="36"/>
      <c r="DR659" s="36"/>
      <c r="DS659" s="36"/>
      <c r="DT659" s="36"/>
      <c r="DU659" s="36"/>
      <c r="DV659" s="36"/>
      <c r="DW659" s="36"/>
      <c r="DX659" s="36"/>
      <c r="DY659" s="36"/>
      <c r="DZ659" s="36"/>
      <c r="EA659" s="36"/>
      <c r="EB659" s="36"/>
      <c r="EC659" s="36"/>
      <c r="ED659" s="36"/>
      <c r="EE659" s="36"/>
      <c r="EF659" s="36"/>
      <c r="EG659" s="36"/>
      <c r="EH659" s="36"/>
      <c r="EI659" s="36"/>
      <c r="EJ659" s="36"/>
      <c r="EK659" s="36"/>
      <c r="EL659" s="36"/>
      <c r="EM659" s="36"/>
      <c r="EN659" s="36"/>
      <c r="EO659" s="36"/>
      <c r="EP659" s="36"/>
      <c r="EQ659" s="36"/>
      <c r="ER659" s="36"/>
      <c r="ES659" s="36"/>
      <c r="ET659" s="36"/>
      <c r="EU659" s="36"/>
      <c r="EV659" s="36"/>
      <c r="EW659" s="36"/>
      <c r="EX659" s="36"/>
      <c r="EY659" s="36"/>
      <c r="EZ659" s="36"/>
      <c r="FA659" s="36"/>
      <c r="FB659" s="36"/>
      <c r="FC659" s="36"/>
      <c r="FD659" s="36"/>
      <c r="FE659" s="36"/>
      <c r="FF659" s="36"/>
      <c r="FG659" s="36"/>
      <c r="FH659" s="36"/>
      <c r="FI659" s="36"/>
      <c r="FJ659" s="36"/>
      <c r="FK659" s="36"/>
      <c r="FL659" s="36"/>
      <c r="FM659" s="36"/>
      <c r="FN659" s="36"/>
      <c r="FO659" s="36"/>
      <c r="FP659" s="36"/>
      <c r="FQ659" s="36"/>
      <c r="FR659" s="36"/>
      <c r="FS659" s="36"/>
      <c r="FT659" s="36"/>
      <c r="FU659" s="36"/>
      <c r="FV659" s="36"/>
      <c r="FW659" s="36"/>
      <c r="FX659" s="36"/>
      <c r="FY659" s="36"/>
      <c r="FZ659" s="36"/>
      <c r="GA659" s="36"/>
      <c r="GB659" s="36"/>
      <c r="GC659" s="36"/>
      <c r="GD659" s="36"/>
      <c r="GE659" s="36"/>
      <c r="GF659" s="36"/>
    </row>
    <row r="660" spans="1:188" s="55" customFormat="1" ht="25.5" customHeight="1" hidden="1">
      <c r="A660" s="138" t="s">
        <v>352</v>
      </c>
      <c r="B660" s="90"/>
      <c r="C660" s="90"/>
      <c r="D660" s="216">
        <f>D664*D668</f>
        <v>20000</v>
      </c>
      <c r="E660" s="216"/>
      <c r="F660" s="216">
        <f>D660</f>
        <v>20000</v>
      </c>
      <c r="G660" s="216">
        <f>G664*G668</f>
        <v>20000</v>
      </c>
      <c r="H660" s="216"/>
      <c r="I660" s="216"/>
      <c r="J660" s="216">
        <f>G660</f>
        <v>20000</v>
      </c>
      <c r="K660" s="216">
        <f>G660/D660*100</f>
        <v>100</v>
      </c>
      <c r="L660" s="216"/>
      <c r="M660" s="216"/>
      <c r="N660" s="216">
        <f>N664*N668</f>
        <v>20000</v>
      </c>
      <c r="O660" s="216"/>
      <c r="P660" s="91">
        <f>N660</f>
        <v>20000</v>
      </c>
      <c r="Q660" s="36"/>
      <c r="R660" s="36"/>
      <c r="S660" s="36"/>
      <c r="T660" s="36"/>
      <c r="U660" s="36"/>
      <c r="V660" s="36"/>
      <c r="W660" s="36"/>
      <c r="X660" s="36"/>
      <c r="Y660" s="36"/>
      <c r="Z660" s="36"/>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c r="BE660" s="36"/>
      <c r="BF660" s="36"/>
      <c r="BG660" s="36"/>
      <c r="BH660" s="36"/>
      <c r="BI660" s="36"/>
      <c r="BJ660" s="36"/>
      <c r="BK660" s="36"/>
      <c r="BL660" s="36"/>
      <c r="BM660" s="36"/>
      <c r="BN660" s="36"/>
      <c r="BO660" s="36"/>
      <c r="BP660" s="36"/>
      <c r="BQ660" s="36"/>
      <c r="BR660" s="36"/>
      <c r="BS660" s="36"/>
      <c r="BT660" s="36"/>
      <c r="BU660" s="36"/>
      <c r="BV660" s="36"/>
      <c r="BW660" s="36"/>
      <c r="BX660" s="36"/>
      <c r="BY660" s="36"/>
      <c r="BZ660" s="36"/>
      <c r="CA660" s="36"/>
      <c r="CB660" s="36"/>
      <c r="CC660" s="36"/>
      <c r="CD660" s="36"/>
      <c r="CE660" s="36"/>
      <c r="CF660" s="36"/>
      <c r="CG660" s="36"/>
      <c r="CH660" s="36"/>
      <c r="CI660" s="36"/>
      <c r="CJ660" s="36"/>
      <c r="CK660" s="36"/>
      <c r="CL660" s="36"/>
      <c r="CM660" s="36"/>
      <c r="CN660" s="36"/>
      <c r="CO660" s="36"/>
      <c r="CP660" s="36"/>
      <c r="CQ660" s="36"/>
      <c r="CR660" s="36"/>
      <c r="CS660" s="36"/>
      <c r="CT660" s="36"/>
      <c r="CU660" s="36"/>
      <c r="CV660" s="36"/>
      <c r="CW660" s="36"/>
      <c r="CX660" s="36"/>
      <c r="CY660" s="36"/>
      <c r="CZ660" s="36"/>
      <c r="DA660" s="36"/>
      <c r="DB660" s="36"/>
      <c r="DC660" s="36"/>
      <c r="DD660" s="36"/>
      <c r="DE660" s="36"/>
      <c r="DF660" s="36"/>
      <c r="DG660" s="36"/>
      <c r="DH660" s="36"/>
      <c r="DI660" s="36"/>
      <c r="DJ660" s="36"/>
      <c r="DK660" s="36"/>
      <c r="DL660" s="36"/>
      <c r="DM660" s="36"/>
      <c r="DN660" s="36"/>
      <c r="DO660" s="36"/>
      <c r="DP660" s="36"/>
      <c r="DQ660" s="36"/>
      <c r="DR660" s="36"/>
      <c r="DS660" s="36"/>
      <c r="DT660" s="36"/>
      <c r="DU660" s="36"/>
      <c r="DV660" s="36"/>
      <c r="DW660" s="36"/>
      <c r="DX660" s="36"/>
      <c r="DY660" s="36"/>
      <c r="DZ660" s="36"/>
      <c r="EA660" s="36"/>
      <c r="EB660" s="36"/>
      <c r="EC660" s="36"/>
      <c r="ED660" s="36"/>
      <c r="EE660" s="36"/>
      <c r="EF660" s="36"/>
      <c r="EG660" s="36"/>
      <c r="EH660" s="36"/>
      <c r="EI660" s="36"/>
      <c r="EJ660" s="36"/>
      <c r="EK660" s="36"/>
      <c r="EL660" s="36"/>
      <c r="EM660" s="36"/>
      <c r="EN660" s="36"/>
      <c r="EO660" s="36"/>
      <c r="EP660" s="36"/>
      <c r="EQ660" s="36"/>
      <c r="ER660" s="36"/>
      <c r="ES660" s="36"/>
      <c r="ET660" s="36"/>
      <c r="EU660" s="36"/>
      <c r="EV660" s="36"/>
      <c r="EW660" s="36"/>
      <c r="EX660" s="36"/>
      <c r="EY660" s="36"/>
      <c r="EZ660" s="36"/>
      <c r="FA660" s="36"/>
      <c r="FB660" s="36"/>
      <c r="FC660" s="36"/>
      <c r="FD660" s="36"/>
      <c r="FE660" s="36"/>
      <c r="FF660" s="36"/>
      <c r="FG660" s="36"/>
      <c r="FH660" s="36"/>
      <c r="FI660" s="36"/>
      <c r="FJ660" s="36"/>
      <c r="FK660" s="36"/>
      <c r="FL660" s="36"/>
      <c r="FM660" s="36"/>
      <c r="FN660" s="36"/>
      <c r="FO660" s="36"/>
      <c r="FP660" s="36"/>
      <c r="FQ660" s="36"/>
      <c r="FR660" s="36"/>
      <c r="FS660" s="36"/>
      <c r="FT660" s="36"/>
      <c r="FU660" s="36"/>
      <c r="FV660" s="36"/>
      <c r="FW660" s="36"/>
      <c r="FX660" s="36"/>
      <c r="FY660" s="36"/>
      <c r="FZ660" s="36"/>
      <c r="GA660" s="36"/>
      <c r="GB660" s="36"/>
      <c r="GC660" s="36"/>
      <c r="GD660" s="36"/>
      <c r="GE660" s="36"/>
      <c r="GF660" s="36"/>
    </row>
    <row r="661" spans="1:188" s="55" customFormat="1" ht="25.5" hidden="1">
      <c r="A661" s="138" t="s">
        <v>561</v>
      </c>
      <c r="B661" s="90"/>
      <c r="C661" s="90"/>
      <c r="D661" s="216">
        <f>D665*D669</f>
        <v>12500</v>
      </c>
      <c r="E661" s="216"/>
      <c r="F661" s="216">
        <f>F665*F669</f>
        <v>12500</v>
      </c>
      <c r="G661" s="216">
        <f>G665*G669</f>
        <v>13750</v>
      </c>
      <c r="H661" s="216"/>
      <c r="I661" s="216"/>
      <c r="J661" s="216">
        <f>J665*J669</f>
        <v>13750</v>
      </c>
      <c r="K661" s="216"/>
      <c r="L661" s="216"/>
      <c r="M661" s="216"/>
      <c r="N661" s="216">
        <f>N665*N669</f>
        <v>15000</v>
      </c>
      <c r="O661" s="216"/>
      <c r="P661" s="216">
        <f>P665*P669</f>
        <v>15000</v>
      </c>
      <c r="Q661" s="36"/>
      <c r="R661" s="36"/>
      <c r="S661" s="36"/>
      <c r="T661" s="36"/>
      <c r="U661" s="36"/>
      <c r="V661" s="36"/>
      <c r="W661" s="36"/>
      <c r="X661" s="36"/>
      <c r="Y661" s="36"/>
      <c r="Z661" s="36"/>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c r="BC661" s="36"/>
      <c r="BD661" s="36"/>
      <c r="BE661" s="36"/>
      <c r="BF661" s="36"/>
      <c r="BG661" s="36"/>
      <c r="BH661" s="36"/>
      <c r="BI661" s="36"/>
      <c r="BJ661" s="36"/>
      <c r="BK661" s="36"/>
      <c r="BL661" s="36"/>
      <c r="BM661" s="36"/>
      <c r="BN661" s="36"/>
      <c r="BO661" s="36"/>
      <c r="BP661" s="36"/>
      <c r="BQ661" s="36"/>
      <c r="BR661" s="36"/>
      <c r="BS661" s="36"/>
      <c r="BT661" s="36"/>
      <c r="BU661" s="36"/>
      <c r="BV661" s="36"/>
      <c r="BW661" s="36"/>
      <c r="BX661" s="36"/>
      <c r="BY661" s="36"/>
      <c r="BZ661" s="36"/>
      <c r="CA661" s="36"/>
      <c r="CB661" s="36"/>
      <c r="CC661" s="36"/>
      <c r="CD661" s="36"/>
      <c r="CE661" s="36"/>
      <c r="CF661" s="36"/>
      <c r="CG661" s="36"/>
      <c r="CH661" s="36"/>
      <c r="CI661" s="36"/>
      <c r="CJ661" s="36"/>
      <c r="CK661" s="36"/>
      <c r="CL661" s="36"/>
      <c r="CM661" s="36"/>
      <c r="CN661" s="36"/>
      <c r="CO661" s="36"/>
      <c r="CP661" s="36"/>
      <c r="CQ661" s="36"/>
      <c r="CR661" s="36"/>
      <c r="CS661" s="36"/>
      <c r="CT661" s="36"/>
      <c r="CU661" s="36"/>
      <c r="CV661" s="36"/>
      <c r="CW661" s="36"/>
      <c r="CX661" s="36"/>
      <c r="CY661" s="36"/>
      <c r="CZ661" s="36"/>
      <c r="DA661" s="36"/>
      <c r="DB661" s="36"/>
      <c r="DC661" s="36"/>
      <c r="DD661" s="36"/>
      <c r="DE661" s="36"/>
      <c r="DF661" s="36"/>
      <c r="DG661" s="36"/>
      <c r="DH661" s="36"/>
      <c r="DI661" s="36"/>
      <c r="DJ661" s="36"/>
      <c r="DK661" s="36"/>
      <c r="DL661" s="36"/>
      <c r="DM661" s="36"/>
      <c r="DN661" s="36"/>
      <c r="DO661" s="36"/>
      <c r="DP661" s="36"/>
      <c r="DQ661" s="36"/>
      <c r="DR661" s="36"/>
      <c r="DS661" s="36"/>
      <c r="DT661" s="36"/>
      <c r="DU661" s="36"/>
      <c r="DV661" s="36"/>
      <c r="DW661" s="36"/>
      <c r="DX661" s="36"/>
      <c r="DY661" s="36"/>
      <c r="DZ661" s="36"/>
      <c r="EA661" s="36"/>
      <c r="EB661" s="36"/>
      <c r="EC661" s="36"/>
      <c r="ED661" s="36"/>
      <c r="EE661" s="36"/>
      <c r="EF661" s="36"/>
      <c r="EG661" s="36"/>
      <c r="EH661" s="36"/>
      <c r="EI661" s="36"/>
      <c r="EJ661" s="36"/>
      <c r="EK661" s="36"/>
      <c r="EL661" s="36"/>
      <c r="EM661" s="36"/>
      <c r="EN661" s="36"/>
      <c r="EO661" s="36"/>
      <c r="EP661" s="36"/>
      <c r="EQ661" s="36"/>
      <c r="ER661" s="36"/>
      <c r="ES661" s="36"/>
      <c r="ET661" s="36"/>
      <c r="EU661" s="36"/>
      <c r="EV661" s="36"/>
      <c r="EW661" s="36"/>
      <c r="EX661" s="36"/>
      <c r="EY661" s="36"/>
      <c r="EZ661" s="36"/>
      <c r="FA661" s="36"/>
      <c r="FB661" s="36"/>
      <c r="FC661" s="36"/>
      <c r="FD661" s="36"/>
      <c r="FE661" s="36"/>
      <c r="FF661" s="36"/>
      <c r="FG661" s="36"/>
      <c r="FH661" s="36"/>
      <c r="FI661" s="36"/>
      <c r="FJ661" s="36"/>
      <c r="FK661" s="36"/>
      <c r="FL661" s="36"/>
      <c r="FM661" s="36"/>
      <c r="FN661" s="36"/>
      <c r="FO661" s="36"/>
      <c r="FP661" s="36"/>
      <c r="FQ661" s="36"/>
      <c r="FR661" s="36"/>
      <c r="FS661" s="36"/>
      <c r="FT661" s="36"/>
      <c r="FU661" s="36"/>
      <c r="FV661" s="36"/>
      <c r="FW661" s="36"/>
      <c r="FX661" s="36"/>
      <c r="FY661" s="36"/>
      <c r="FZ661" s="36"/>
      <c r="GA661" s="36"/>
      <c r="GB661" s="36"/>
      <c r="GC661" s="36"/>
      <c r="GD661" s="36"/>
      <c r="GE661" s="36"/>
      <c r="GF661" s="36"/>
    </row>
    <row r="662" spans="1:188" s="55" customFormat="1" ht="13.5" hidden="1">
      <c r="A662" s="142" t="s">
        <v>184</v>
      </c>
      <c r="B662" s="142"/>
      <c r="C662" s="142"/>
      <c r="D662" s="217"/>
      <c r="E662" s="217"/>
      <c r="F662" s="218"/>
      <c r="G662" s="217"/>
      <c r="H662" s="217"/>
      <c r="I662" s="217"/>
      <c r="J662" s="218"/>
      <c r="K662" s="218"/>
      <c r="L662" s="217"/>
      <c r="M662" s="217"/>
      <c r="N662" s="217"/>
      <c r="O662" s="217"/>
      <c r="P662" s="218"/>
      <c r="Q662" s="36"/>
      <c r="R662" s="36"/>
      <c r="S662" s="36"/>
      <c r="T662" s="36"/>
      <c r="U662" s="36"/>
      <c r="V662" s="36"/>
      <c r="W662" s="36"/>
      <c r="X662" s="36"/>
      <c r="Y662" s="36"/>
      <c r="Z662" s="36"/>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c r="BE662" s="36"/>
      <c r="BF662" s="36"/>
      <c r="BG662" s="36"/>
      <c r="BH662" s="36"/>
      <c r="BI662" s="36"/>
      <c r="BJ662" s="36"/>
      <c r="BK662" s="36"/>
      <c r="BL662" s="36"/>
      <c r="BM662" s="36"/>
      <c r="BN662" s="36"/>
      <c r="BO662" s="36"/>
      <c r="BP662" s="36"/>
      <c r="BQ662" s="36"/>
      <c r="BR662" s="36"/>
      <c r="BS662" s="36"/>
      <c r="BT662" s="36"/>
      <c r="BU662" s="36"/>
      <c r="BV662" s="36"/>
      <c r="BW662" s="36"/>
      <c r="BX662" s="36"/>
      <c r="BY662" s="36"/>
      <c r="BZ662" s="36"/>
      <c r="CA662" s="36"/>
      <c r="CB662" s="36"/>
      <c r="CC662" s="36"/>
      <c r="CD662" s="36"/>
      <c r="CE662" s="36"/>
      <c r="CF662" s="36"/>
      <c r="CG662" s="36"/>
      <c r="CH662" s="36"/>
      <c r="CI662" s="36"/>
      <c r="CJ662" s="36"/>
      <c r="CK662" s="36"/>
      <c r="CL662" s="36"/>
      <c r="CM662" s="36"/>
      <c r="CN662" s="36"/>
      <c r="CO662" s="36"/>
      <c r="CP662" s="36"/>
      <c r="CQ662" s="36"/>
      <c r="CR662" s="36"/>
      <c r="CS662" s="36"/>
      <c r="CT662" s="36"/>
      <c r="CU662" s="36"/>
      <c r="CV662" s="36"/>
      <c r="CW662" s="36"/>
      <c r="CX662" s="36"/>
      <c r="CY662" s="36"/>
      <c r="CZ662" s="36"/>
      <c r="DA662" s="36"/>
      <c r="DB662" s="36"/>
      <c r="DC662" s="36"/>
      <c r="DD662" s="36"/>
      <c r="DE662" s="36"/>
      <c r="DF662" s="36"/>
      <c r="DG662" s="36"/>
      <c r="DH662" s="36"/>
      <c r="DI662" s="36"/>
      <c r="DJ662" s="36"/>
      <c r="DK662" s="36"/>
      <c r="DL662" s="36"/>
      <c r="DM662" s="36"/>
      <c r="DN662" s="36"/>
      <c r="DO662" s="36"/>
      <c r="DP662" s="36"/>
      <c r="DQ662" s="36"/>
      <c r="DR662" s="36"/>
      <c r="DS662" s="36"/>
      <c r="DT662" s="36"/>
      <c r="DU662" s="36"/>
      <c r="DV662" s="36"/>
      <c r="DW662" s="36"/>
      <c r="DX662" s="36"/>
      <c r="DY662" s="36"/>
      <c r="DZ662" s="36"/>
      <c r="EA662" s="36"/>
      <c r="EB662" s="36"/>
      <c r="EC662" s="36"/>
      <c r="ED662" s="36"/>
      <c r="EE662" s="36"/>
      <c r="EF662" s="36"/>
      <c r="EG662" s="36"/>
      <c r="EH662" s="36"/>
      <c r="EI662" s="36"/>
      <c r="EJ662" s="36"/>
      <c r="EK662" s="36"/>
      <c r="EL662" s="36"/>
      <c r="EM662" s="36"/>
      <c r="EN662" s="36"/>
      <c r="EO662" s="36"/>
      <c r="EP662" s="36"/>
      <c r="EQ662" s="36"/>
      <c r="ER662" s="36"/>
      <c r="ES662" s="36"/>
      <c r="ET662" s="36"/>
      <c r="EU662" s="36"/>
      <c r="EV662" s="36"/>
      <c r="EW662" s="36"/>
      <c r="EX662" s="36"/>
      <c r="EY662" s="36"/>
      <c r="EZ662" s="36"/>
      <c r="FA662" s="36"/>
      <c r="FB662" s="36"/>
      <c r="FC662" s="36"/>
      <c r="FD662" s="36"/>
      <c r="FE662" s="36"/>
      <c r="FF662" s="36"/>
      <c r="FG662" s="36"/>
      <c r="FH662" s="36"/>
      <c r="FI662" s="36"/>
      <c r="FJ662" s="36"/>
      <c r="FK662" s="36"/>
      <c r="FL662" s="36"/>
      <c r="FM662" s="36"/>
      <c r="FN662" s="36"/>
      <c r="FO662" s="36"/>
      <c r="FP662" s="36"/>
      <c r="FQ662" s="36"/>
      <c r="FR662" s="36"/>
      <c r="FS662" s="36"/>
      <c r="FT662" s="36"/>
      <c r="FU662" s="36"/>
      <c r="FV662" s="36"/>
      <c r="FW662" s="36"/>
      <c r="FX662" s="36"/>
      <c r="FY662" s="36"/>
      <c r="FZ662" s="36"/>
      <c r="GA662" s="36"/>
      <c r="GB662" s="36"/>
      <c r="GC662" s="36"/>
      <c r="GD662" s="36"/>
      <c r="GE662" s="36"/>
      <c r="GF662" s="36"/>
    </row>
    <row r="663" spans="1:188" s="55" customFormat="1" ht="30" customHeight="1" hidden="1">
      <c r="A663" s="138" t="s">
        <v>353</v>
      </c>
      <c r="B663" s="142"/>
      <c r="C663" s="142"/>
      <c r="D663" s="219">
        <v>15</v>
      </c>
      <c r="E663" s="217"/>
      <c r="F663" s="219">
        <f>D663</f>
        <v>15</v>
      </c>
      <c r="G663" s="219">
        <v>15</v>
      </c>
      <c r="H663" s="217"/>
      <c r="I663" s="217"/>
      <c r="J663" s="219">
        <f>G663</f>
        <v>15</v>
      </c>
      <c r="K663" s="218"/>
      <c r="L663" s="217"/>
      <c r="M663" s="217"/>
      <c r="N663" s="219">
        <v>15</v>
      </c>
      <c r="O663" s="217"/>
      <c r="P663" s="219">
        <f>N663</f>
        <v>15</v>
      </c>
      <c r="Q663" s="36"/>
      <c r="R663" s="36"/>
      <c r="S663" s="36"/>
      <c r="T663" s="36"/>
      <c r="U663" s="36"/>
      <c r="V663" s="36"/>
      <c r="W663" s="36"/>
      <c r="X663" s="36"/>
      <c r="Y663" s="36"/>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36"/>
      <c r="BH663" s="36"/>
      <c r="BI663" s="36"/>
      <c r="BJ663" s="36"/>
      <c r="BK663" s="36"/>
      <c r="BL663" s="36"/>
      <c r="BM663" s="36"/>
      <c r="BN663" s="36"/>
      <c r="BO663" s="36"/>
      <c r="BP663" s="36"/>
      <c r="BQ663" s="36"/>
      <c r="BR663" s="36"/>
      <c r="BS663" s="36"/>
      <c r="BT663" s="36"/>
      <c r="BU663" s="36"/>
      <c r="BV663" s="36"/>
      <c r="BW663" s="36"/>
      <c r="BX663" s="36"/>
      <c r="BY663" s="36"/>
      <c r="BZ663" s="36"/>
      <c r="CA663" s="36"/>
      <c r="CB663" s="36"/>
      <c r="CC663" s="36"/>
      <c r="CD663" s="36"/>
      <c r="CE663" s="36"/>
      <c r="CF663" s="36"/>
      <c r="CG663" s="36"/>
      <c r="CH663" s="36"/>
      <c r="CI663" s="36"/>
      <c r="CJ663" s="36"/>
      <c r="CK663" s="36"/>
      <c r="CL663" s="36"/>
      <c r="CM663" s="36"/>
      <c r="CN663" s="36"/>
      <c r="CO663" s="36"/>
      <c r="CP663" s="36"/>
      <c r="CQ663" s="36"/>
      <c r="CR663" s="36"/>
      <c r="CS663" s="36"/>
      <c r="CT663" s="36"/>
      <c r="CU663" s="36"/>
      <c r="CV663" s="36"/>
      <c r="CW663" s="36"/>
      <c r="CX663" s="36"/>
      <c r="CY663" s="36"/>
      <c r="CZ663" s="36"/>
      <c r="DA663" s="36"/>
      <c r="DB663" s="36"/>
      <c r="DC663" s="36"/>
      <c r="DD663" s="36"/>
      <c r="DE663" s="36"/>
      <c r="DF663" s="36"/>
      <c r="DG663" s="36"/>
      <c r="DH663" s="36"/>
      <c r="DI663" s="36"/>
      <c r="DJ663" s="36"/>
      <c r="DK663" s="36"/>
      <c r="DL663" s="36"/>
      <c r="DM663" s="36"/>
      <c r="DN663" s="36"/>
      <c r="DO663" s="36"/>
      <c r="DP663" s="36"/>
      <c r="DQ663" s="36"/>
      <c r="DR663" s="36"/>
      <c r="DS663" s="36"/>
      <c r="DT663" s="36"/>
      <c r="DU663" s="36"/>
      <c r="DV663" s="36"/>
      <c r="DW663" s="36"/>
      <c r="DX663" s="36"/>
      <c r="DY663" s="36"/>
      <c r="DZ663" s="36"/>
      <c r="EA663" s="36"/>
      <c r="EB663" s="36"/>
      <c r="EC663" s="36"/>
      <c r="ED663" s="36"/>
      <c r="EE663" s="36"/>
      <c r="EF663" s="36"/>
      <c r="EG663" s="36"/>
      <c r="EH663" s="36"/>
      <c r="EI663" s="36"/>
      <c r="EJ663" s="36"/>
      <c r="EK663" s="36"/>
      <c r="EL663" s="36"/>
      <c r="EM663" s="36"/>
      <c r="EN663" s="36"/>
      <c r="EO663" s="36"/>
      <c r="EP663" s="36"/>
      <c r="EQ663" s="36"/>
      <c r="ER663" s="36"/>
      <c r="ES663" s="36"/>
      <c r="ET663" s="36"/>
      <c r="EU663" s="36"/>
      <c r="EV663" s="36"/>
      <c r="EW663" s="36"/>
      <c r="EX663" s="36"/>
      <c r="EY663" s="36"/>
      <c r="EZ663" s="36"/>
      <c r="FA663" s="36"/>
      <c r="FB663" s="36"/>
      <c r="FC663" s="36"/>
      <c r="FD663" s="36"/>
      <c r="FE663" s="36"/>
      <c r="FF663" s="36"/>
      <c r="FG663" s="36"/>
      <c r="FH663" s="36"/>
      <c r="FI663" s="36"/>
      <c r="FJ663" s="36"/>
      <c r="FK663" s="36"/>
      <c r="FL663" s="36"/>
      <c r="FM663" s="36"/>
      <c r="FN663" s="36"/>
      <c r="FO663" s="36"/>
      <c r="FP663" s="36"/>
      <c r="FQ663" s="36"/>
      <c r="FR663" s="36"/>
      <c r="FS663" s="36"/>
      <c r="FT663" s="36"/>
      <c r="FU663" s="36"/>
      <c r="FV663" s="36"/>
      <c r="FW663" s="36"/>
      <c r="FX663" s="36"/>
      <c r="FY663" s="36"/>
      <c r="FZ663" s="36"/>
      <c r="GA663" s="36"/>
      <c r="GB663" s="36"/>
      <c r="GC663" s="36"/>
      <c r="GD663" s="36"/>
      <c r="GE663" s="36"/>
      <c r="GF663" s="36"/>
    </row>
    <row r="664" spans="1:188" s="55" customFormat="1" ht="12.75" hidden="1">
      <c r="A664" s="138" t="s">
        <v>354</v>
      </c>
      <c r="B664" s="90"/>
      <c r="C664" s="90"/>
      <c r="D664" s="219">
        <v>20</v>
      </c>
      <c r="E664" s="218"/>
      <c r="F664" s="219">
        <f>D664</f>
        <v>20</v>
      </c>
      <c r="G664" s="219">
        <v>20</v>
      </c>
      <c r="H664" s="218"/>
      <c r="I664" s="218"/>
      <c r="J664" s="219">
        <f>G664</f>
        <v>20</v>
      </c>
      <c r="K664" s="218">
        <f>G664/D664*100</f>
        <v>100</v>
      </c>
      <c r="L664" s="218"/>
      <c r="M664" s="218"/>
      <c r="N664" s="219">
        <v>20</v>
      </c>
      <c r="O664" s="218"/>
      <c r="P664" s="219">
        <f>N664</f>
        <v>20</v>
      </c>
      <c r="Q664" s="36"/>
      <c r="R664" s="36"/>
      <c r="S664" s="36"/>
      <c r="T664" s="36"/>
      <c r="U664" s="36"/>
      <c r="V664" s="36"/>
      <c r="W664" s="36"/>
      <c r="X664" s="36"/>
      <c r="Y664" s="36"/>
      <c r="Z664" s="36"/>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36"/>
      <c r="BF664" s="36"/>
      <c r="BG664" s="36"/>
      <c r="BH664" s="36"/>
      <c r="BI664" s="36"/>
      <c r="BJ664" s="36"/>
      <c r="BK664" s="36"/>
      <c r="BL664" s="36"/>
      <c r="BM664" s="36"/>
      <c r="BN664" s="36"/>
      <c r="BO664" s="36"/>
      <c r="BP664" s="36"/>
      <c r="BQ664" s="36"/>
      <c r="BR664" s="36"/>
      <c r="BS664" s="36"/>
      <c r="BT664" s="36"/>
      <c r="BU664" s="36"/>
      <c r="BV664" s="36"/>
      <c r="BW664" s="36"/>
      <c r="BX664" s="36"/>
      <c r="BY664" s="36"/>
      <c r="BZ664" s="36"/>
      <c r="CA664" s="36"/>
      <c r="CB664" s="36"/>
      <c r="CC664" s="36"/>
      <c r="CD664" s="36"/>
      <c r="CE664" s="36"/>
      <c r="CF664" s="36"/>
      <c r="CG664" s="36"/>
      <c r="CH664" s="36"/>
      <c r="CI664" s="36"/>
      <c r="CJ664" s="36"/>
      <c r="CK664" s="36"/>
      <c r="CL664" s="36"/>
      <c r="CM664" s="36"/>
      <c r="CN664" s="36"/>
      <c r="CO664" s="36"/>
      <c r="CP664" s="36"/>
      <c r="CQ664" s="36"/>
      <c r="CR664" s="36"/>
      <c r="CS664" s="36"/>
      <c r="CT664" s="36"/>
      <c r="CU664" s="36"/>
      <c r="CV664" s="36"/>
      <c r="CW664" s="36"/>
      <c r="CX664" s="36"/>
      <c r="CY664" s="36"/>
      <c r="CZ664" s="36"/>
      <c r="DA664" s="36"/>
      <c r="DB664" s="36"/>
      <c r="DC664" s="36"/>
      <c r="DD664" s="36"/>
      <c r="DE664" s="36"/>
      <c r="DF664" s="36"/>
      <c r="DG664" s="36"/>
      <c r="DH664" s="36"/>
      <c r="DI664" s="36"/>
      <c r="DJ664" s="36"/>
      <c r="DK664" s="36"/>
      <c r="DL664" s="36"/>
      <c r="DM664" s="36"/>
      <c r="DN664" s="36"/>
      <c r="DO664" s="36"/>
      <c r="DP664" s="36"/>
      <c r="DQ664" s="36"/>
      <c r="DR664" s="36"/>
      <c r="DS664" s="36"/>
      <c r="DT664" s="36"/>
      <c r="DU664" s="36"/>
      <c r="DV664" s="36"/>
      <c r="DW664" s="36"/>
      <c r="DX664" s="36"/>
      <c r="DY664" s="36"/>
      <c r="DZ664" s="36"/>
      <c r="EA664" s="36"/>
      <c r="EB664" s="36"/>
      <c r="EC664" s="36"/>
      <c r="ED664" s="36"/>
      <c r="EE664" s="36"/>
      <c r="EF664" s="36"/>
      <c r="EG664" s="36"/>
      <c r="EH664" s="36"/>
      <c r="EI664" s="36"/>
      <c r="EJ664" s="36"/>
      <c r="EK664" s="36"/>
      <c r="EL664" s="36"/>
      <c r="EM664" s="36"/>
      <c r="EN664" s="36"/>
      <c r="EO664" s="36"/>
      <c r="EP664" s="36"/>
      <c r="EQ664" s="36"/>
      <c r="ER664" s="36"/>
      <c r="ES664" s="36"/>
      <c r="ET664" s="36"/>
      <c r="EU664" s="36"/>
      <c r="EV664" s="36"/>
      <c r="EW664" s="36"/>
      <c r="EX664" s="36"/>
      <c r="EY664" s="36"/>
      <c r="EZ664" s="36"/>
      <c r="FA664" s="36"/>
      <c r="FB664" s="36"/>
      <c r="FC664" s="36"/>
      <c r="FD664" s="36"/>
      <c r="FE664" s="36"/>
      <c r="FF664" s="36"/>
      <c r="FG664" s="36"/>
      <c r="FH664" s="36"/>
      <c r="FI664" s="36"/>
      <c r="FJ664" s="36"/>
      <c r="FK664" s="36"/>
      <c r="FL664" s="36"/>
      <c r="FM664" s="36"/>
      <c r="FN664" s="36"/>
      <c r="FO664" s="36"/>
      <c r="FP664" s="36"/>
      <c r="FQ664" s="36"/>
      <c r="FR664" s="36"/>
      <c r="FS664" s="36"/>
      <c r="FT664" s="36"/>
      <c r="FU664" s="36"/>
      <c r="FV664" s="36"/>
      <c r="FW664" s="36"/>
      <c r="FX664" s="36"/>
      <c r="FY664" s="36"/>
      <c r="FZ664" s="36"/>
      <c r="GA664" s="36"/>
      <c r="GB664" s="36"/>
      <c r="GC664" s="36"/>
      <c r="GD664" s="36"/>
      <c r="GE664" s="36"/>
      <c r="GF664" s="36"/>
    </row>
    <row r="665" spans="1:188" s="55" customFormat="1" ht="24" customHeight="1" hidden="1">
      <c r="A665" s="138" t="s">
        <v>355</v>
      </c>
      <c r="B665" s="90"/>
      <c r="C665" s="90"/>
      <c r="D665" s="219">
        <v>25</v>
      </c>
      <c r="E665" s="218"/>
      <c r="F665" s="219">
        <v>25</v>
      </c>
      <c r="G665" s="219">
        <v>25</v>
      </c>
      <c r="H665" s="218"/>
      <c r="I665" s="218"/>
      <c r="J665" s="219">
        <v>25</v>
      </c>
      <c r="K665" s="218"/>
      <c r="L665" s="218"/>
      <c r="M665" s="218"/>
      <c r="N665" s="219">
        <v>25</v>
      </c>
      <c r="O665" s="218"/>
      <c r="P665" s="219">
        <v>25</v>
      </c>
      <c r="Q665" s="36"/>
      <c r="R665" s="36"/>
      <c r="S665" s="36"/>
      <c r="T665" s="36"/>
      <c r="U665" s="36"/>
      <c r="V665" s="36"/>
      <c r="W665" s="36"/>
      <c r="X665" s="36"/>
      <c r="Y665" s="36"/>
      <c r="Z665" s="36"/>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c r="BE665" s="36"/>
      <c r="BF665" s="36"/>
      <c r="BG665" s="36"/>
      <c r="BH665" s="36"/>
      <c r="BI665" s="36"/>
      <c r="BJ665" s="36"/>
      <c r="BK665" s="36"/>
      <c r="BL665" s="36"/>
      <c r="BM665" s="36"/>
      <c r="BN665" s="36"/>
      <c r="BO665" s="36"/>
      <c r="BP665" s="36"/>
      <c r="BQ665" s="36"/>
      <c r="BR665" s="36"/>
      <c r="BS665" s="36"/>
      <c r="BT665" s="36"/>
      <c r="BU665" s="36"/>
      <c r="BV665" s="36"/>
      <c r="BW665" s="36"/>
      <c r="BX665" s="36"/>
      <c r="BY665" s="36"/>
      <c r="BZ665" s="36"/>
      <c r="CA665" s="36"/>
      <c r="CB665" s="36"/>
      <c r="CC665" s="36"/>
      <c r="CD665" s="36"/>
      <c r="CE665" s="36"/>
      <c r="CF665" s="36"/>
      <c r="CG665" s="36"/>
      <c r="CH665" s="36"/>
      <c r="CI665" s="36"/>
      <c r="CJ665" s="36"/>
      <c r="CK665" s="36"/>
      <c r="CL665" s="36"/>
      <c r="CM665" s="36"/>
      <c r="CN665" s="36"/>
      <c r="CO665" s="36"/>
      <c r="CP665" s="36"/>
      <c r="CQ665" s="36"/>
      <c r="CR665" s="36"/>
      <c r="CS665" s="36"/>
      <c r="CT665" s="36"/>
      <c r="CU665" s="36"/>
      <c r="CV665" s="36"/>
      <c r="CW665" s="36"/>
      <c r="CX665" s="36"/>
      <c r="CY665" s="36"/>
      <c r="CZ665" s="36"/>
      <c r="DA665" s="36"/>
      <c r="DB665" s="36"/>
      <c r="DC665" s="36"/>
      <c r="DD665" s="36"/>
      <c r="DE665" s="36"/>
      <c r="DF665" s="36"/>
      <c r="DG665" s="36"/>
      <c r="DH665" s="36"/>
      <c r="DI665" s="36"/>
      <c r="DJ665" s="36"/>
      <c r="DK665" s="36"/>
      <c r="DL665" s="36"/>
      <c r="DM665" s="36"/>
      <c r="DN665" s="36"/>
      <c r="DO665" s="36"/>
      <c r="DP665" s="36"/>
      <c r="DQ665" s="36"/>
      <c r="DR665" s="36"/>
      <c r="DS665" s="36"/>
      <c r="DT665" s="36"/>
      <c r="DU665" s="36"/>
      <c r="DV665" s="36"/>
      <c r="DW665" s="36"/>
      <c r="DX665" s="36"/>
      <c r="DY665" s="36"/>
      <c r="DZ665" s="36"/>
      <c r="EA665" s="36"/>
      <c r="EB665" s="36"/>
      <c r="EC665" s="36"/>
      <c r="ED665" s="36"/>
      <c r="EE665" s="36"/>
      <c r="EF665" s="36"/>
      <c r="EG665" s="36"/>
      <c r="EH665" s="36"/>
      <c r="EI665" s="36"/>
      <c r="EJ665" s="36"/>
      <c r="EK665" s="36"/>
      <c r="EL665" s="36"/>
      <c r="EM665" s="36"/>
      <c r="EN665" s="36"/>
      <c r="EO665" s="36"/>
      <c r="EP665" s="36"/>
      <c r="EQ665" s="36"/>
      <c r="ER665" s="36"/>
      <c r="ES665" s="36"/>
      <c r="ET665" s="36"/>
      <c r="EU665" s="36"/>
      <c r="EV665" s="36"/>
      <c r="EW665" s="36"/>
      <c r="EX665" s="36"/>
      <c r="EY665" s="36"/>
      <c r="EZ665" s="36"/>
      <c r="FA665" s="36"/>
      <c r="FB665" s="36"/>
      <c r="FC665" s="36"/>
      <c r="FD665" s="36"/>
      <c r="FE665" s="36"/>
      <c r="FF665" s="36"/>
      <c r="FG665" s="36"/>
      <c r="FH665" s="36"/>
      <c r="FI665" s="36"/>
      <c r="FJ665" s="36"/>
      <c r="FK665" s="36"/>
      <c r="FL665" s="36"/>
      <c r="FM665" s="36"/>
      <c r="FN665" s="36"/>
      <c r="FO665" s="36"/>
      <c r="FP665" s="36"/>
      <c r="FQ665" s="36"/>
      <c r="FR665" s="36"/>
      <c r="FS665" s="36"/>
      <c r="FT665" s="36"/>
      <c r="FU665" s="36"/>
      <c r="FV665" s="36"/>
      <c r="FW665" s="36"/>
      <c r="FX665" s="36"/>
      <c r="FY665" s="36"/>
      <c r="FZ665" s="36"/>
      <c r="GA665" s="36"/>
      <c r="GB665" s="36"/>
      <c r="GC665" s="36"/>
      <c r="GD665" s="36"/>
      <c r="GE665" s="36"/>
      <c r="GF665" s="36"/>
    </row>
    <row r="666" spans="1:188" s="55" customFormat="1" ht="12.75" hidden="1">
      <c r="A666" s="142" t="s">
        <v>186</v>
      </c>
      <c r="B666" s="142"/>
      <c r="C666" s="142"/>
      <c r="D666" s="215"/>
      <c r="E666" s="215"/>
      <c r="F666" s="216"/>
      <c r="G666" s="215"/>
      <c r="H666" s="215"/>
      <c r="I666" s="215"/>
      <c r="J666" s="216"/>
      <c r="K666" s="216"/>
      <c r="L666" s="215"/>
      <c r="M666" s="215"/>
      <c r="N666" s="215"/>
      <c r="O666" s="215"/>
      <c r="P666" s="216"/>
      <c r="Q666" s="36"/>
      <c r="R666" s="36"/>
      <c r="S666" s="36"/>
      <c r="T666" s="36"/>
      <c r="U666" s="36"/>
      <c r="V666" s="3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c r="BT666" s="36"/>
      <c r="BU666" s="36"/>
      <c r="BV666" s="36"/>
      <c r="BW666" s="36"/>
      <c r="BX666" s="36"/>
      <c r="BY666" s="36"/>
      <c r="BZ666" s="36"/>
      <c r="CA666" s="36"/>
      <c r="CB666" s="36"/>
      <c r="CC666" s="36"/>
      <c r="CD666" s="36"/>
      <c r="CE666" s="36"/>
      <c r="CF666" s="36"/>
      <c r="CG666" s="36"/>
      <c r="CH666" s="36"/>
      <c r="CI666" s="36"/>
      <c r="CJ666" s="36"/>
      <c r="CK666" s="36"/>
      <c r="CL666" s="36"/>
      <c r="CM666" s="36"/>
      <c r="CN666" s="36"/>
      <c r="CO666" s="36"/>
      <c r="CP666" s="36"/>
      <c r="CQ666" s="36"/>
      <c r="CR666" s="36"/>
      <c r="CS666" s="36"/>
      <c r="CT666" s="36"/>
      <c r="CU666" s="36"/>
      <c r="CV666" s="36"/>
      <c r="CW666" s="36"/>
      <c r="CX666" s="36"/>
      <c r="CY666" s="36"/>
      <c r="CZ666" s="36"/>
      <c r="DA666" s="36"/>
      <c r="DB666" s="36"/>
      <c r="DC666" s="36"/>
      <c r="DD666" s="36"/>
      <c r="DE666" s="36"/>
      <c r="DF666" s="36"/>
      <c r="DG666" s="36"/>
      <c r="DH666" s="36"/>
      <c r="DI666" s="36"/>
      <c r="DJ666" s="36"/>
      <c r="DK666" s="36"/>
      <c r="DL666" s="36"/>
      <c r="DM666" s="36"/>
      <c r="DN666" s="36"/>
      <c r="DO666" s="36"/>
      <c r="DP666" s="36"/>
      <c r="DQ666" s="36"/>
      <c r="DR666" s="36"/>
      <c r="DS666" s="36"/>
      <c r="DT666" s="36"/>
      <c r="DU666" s="36"/>
      <c r="DV666" s="36"/>
      <c r="DW666" s="36"/>
      <c r="DX666" s="36"/>
      <c r="DY666" s="36"/>
      <c r="DZ666" s="36"/>
      <c r="EA666" s="36"/>
      <c r="EB666" s="36"/>
      <c r="EC666" s="36"/>
      <c r="ED666" s="36"/>
      <c r="EE666" s="36"/>
      <c r="EF666" s="36"/>
      <c r="EG666" s="36"/>
      <c r="EH666" s="36"/>
      <c r="EI666" s="36"/>
      <c r="EJ666" s="36"/>
      <c r="EK666" s="36"/>
      <c r="EL666" s="36"/>
      <c r="EM666" s="36"/>
      <c r="EN666" s="36"/>
      <c r="EO666" s="36"/>
      <c r="EP666" s="36"/>
      <c r="EQ666" s="36"/>
      <c r="ER666" s="36"/>
      <c r="ES666" s="36"/>
      <c r="ET666" s="36"/>
      <c r="EU666" s="36"/>
      <c r="EV666" s="36"/>
      <c r="EW666" s="36"/>
      <c r="EX666" s="36"/>
      <c r="EY666" s="36"/>
      <c r="EZ666" s="36"/>
      <c r="FA666" s="36"/>
      <c r="FB666" s="36"/>
      <c r="FC666" s="36"/>
      <c r="FD666" s="36"/>
      <c r="FE666" s="36"/>
      <c r="FF666" s="36"/>
      <c r="FG666" s="36"/>
      <c r="FH666" s="36"/>
      <c r="FI666" s="36"/>
      <c r="FJ666" s="36"/>
      <c r="FK666" s="36"/>
      <c r="FL666" s="36"/>
      <c r="FM666" s="36"/>
      <c r="FN666" s="36"/>
      <c r="FO666" s="36"/>
      <c r="FP666" s="36"/>
      <c r="FQ666" s="36"/>
      <c r="FR666" s="36"/>
      <c r="FS666" s="36"/>
      <c r="FT666" s="36"/>
      <c r="FU666" s="36"/>
      <c r="FV666" s="36"/>
      <c r="FW666" s="36"/>
      <c r="FX666" s="36"/>
      <c r="FY666" s="36"/>
      <c r="FZ666" s="36"/>
      <c r="GA666" s="36"/>
      <c r="GB666" s="36"/>
      <c r="GC666" s="36"/>
      <c r="GD666" s="36"/>
      <c r="GE666" s="36"/>
      <c r="GF666" s="36"/>
    </row>
    <row r="667" spans="1:188" s="55" customFormat="1" ht="25.5" customHeight="1" hidden="1">
      <c r="A667" s="90" t="s">
        <v>311</v>
      </c>
      <c r="B667" s="90"/>
      <c r="C667" s="90"/>
      <c r="D667" s="91">
        <v>10000</v>
      </c>
      <c r="E667" s="220"/>
      <c r="F667" s="91">
        <f>D667</f>
        <v>10000</v>
      </c>
      <c r="G667" s="91">
        <v>10000</v>
      </c>
      <c r="H667" s="220"/>
      <c r="I667" s="220"/>
      <c r="J667" s="91">
        <f>G667</f>
        <v>10000</v>
      </c>
      <c r="K667" s="216">
        <f>G667/D667*100</f>
        <v>100</v>
      </c>
      <c r="L667" s="220"/>
      <c r="M667" s="91"/>
      <c r="N667" s="91">
        <v>10000</v>
      </c>
      <c r="O667" s="220"/>
      <c r="P667" s="91">
        <f>N667</f>
        <v>10000</v>
      </c>
      <c r="Q667" s="36"/>
      <c r="R667" s="36"/>
      <c r="S667" s="36"/>
      <c r="T667" s="36"/>
      <c r="U667" s="36"/>
      <c r="V667" s="36"/>
      <c r="W667" s="36"/>
      <c r="X667" s="36"/>
      <c r="Y667" s="36"/>
      <c r="Z667" s="36"/>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c r="BC667" s="36"/>
      <c r="BD667" s="36"/>
      <c r="BE667" s="36"/>
      <c r="BF667" s="36"/>
      <c r="BG667" s="36"/>
      <c r="BH667" s="36"/>
      <c r="BI667" s="36"/>
      <c r="BJ667" s="36"/>
      <c r="BK667" s="36"/>
      <c r="BL667" s="36"/>
      <c r="BM667" s="36"/>
      <c r="BN667" s="36"/>
      <c r="BO667" s="36"/>
      <c r="BP667" s="36"/>
      <c r="BQ667" s="36"/>
      <c r="BR667" s="36"/>
      <c r="BS667" s="36"/>
      <c r="BT667" s="36"/>
      <c r="BU667" s="36"/>
      <c r="BV667" s="36"/>
      <c r="BW667" s="36"/>
      <c r="BX667" s="36"/>
      <c r="BY667" s="36"/>
      <c r="BZ667" s="36"/>
      <c r="CA667" s="36"/>
      <c r="CB667" s="36"/>
      <c r="CC667" s="36"/>
      <c r="CD667" s="36"/>
      <c r="CE667" s="36"/>
      <c r="CF667" s="36"/>
      <c r="CG667" s="36"/>
      <c r="CH667" s="36"/>
      <c r="CI667" s="36"/>
      <c r="CJ667" s="36"/>
      <c r="CK667" s="36"/>
      <c r="CL667" s="36"/>
      <c r="CM667" s="36"/>
      <c r="CN667" s="36"/>
      <c r="CO667" s="36"/>
      <c r="CP667" s="36"/>
      <c r="CQ667" s="36"/>
      <c r="CR667" s="36"/>
      <c r="CS667" s="36"/>
      <c r="CT667" s="36"/>
      <c r="CU667" s="36"/>
      <c r="CV667" s="36"/>
      <c r="CW667" s="36"/>
      <c r="CX667" s="36"/>
      <c r="CY667" s="36"/>
      <c r="CZ667" s="36"/>
      <c r="DA667" s="36"/>
      <c r="DB667" s="36"/>
      <c r="DC667" s="36"/>
      <c r="DD667" s="36"/>
      <c r="DE667" s="36"/>
      <c r="DF667" s="36"/>
      <c r="DG667" s="36"/>
      <c r="DH667" s="36"/>
      <c r="DI667" s="36"/>
      <c r="DJ667" s="36"/>
      <c r="DK667" s="36"/>
      <c r="DL667" s="36"/>
      <c r="DM667" s="36"/>
      <c r="DN667" s="36"/>
      <c r="DO667" s="36"/>
      <c r="DP667" s="36"/>
      <c r="DQ667" s="36"/>
      <c r="DR667" s="36"/>
      <c r="DS667" s="36"/>
      <c r="DT667" s="36"/>
      <c r="DU667" s="36"/>
      <c r="DV667" s="36"/>
      <c r="DW667" s="36"/>
      <c r="DX667" s="36"/>
      <c r="DY667" s="36"/>
      <c r="DZ667" s="36"/>
      <c r="EA667" s="36"/>
      <c r="EB667" s="36"/>
      <c r="EC667" s="36"/>
      <c r="ED667" s="36"/>
      <c r="EE667" s="36"/>
      <c r="EF667" s="36"/>
      <c r="EG667" s="36"/>
      <c r="EH667" s="36"/>
      <c r="EI667" s="36"/>
      <c r="EJ667" s="36"/>
      <c r="EK667" s="36"/>
      <c r="EL667" s="36"/>
      <c r="EM667" s="36"/>
      <c r="EN667" s="36"/>
      <c r="EO667" s="36"/>
      <c r="EP667" s="36"/>
      <c r="EQ667" s="36"/>
      <c r="ER667" s="36"/>
      <c r="ES667" s="36"/>
      <c r="ET667" s="36"/>
      <c r="EU667" s="36"/>
      <c r="EV667" s="36"/>
      <c r="EW667" s="36"/>
      <c r="EX667" s="36"/>
      <c r="EY667" s="36"/>
      <c r="EZ667" s="36"/>
      <c r="FA667" s="36"/>
      <c r="FB667" s="36"/>
      <c r="FC667" s="36"/>
      <c r="FD667" s="36"/>
      <c r="FE667" s="36"/>
      <c r="FF667" s="36"/>
      <c r="FG667" s="36"/>
      <c r="FH667" s="36"/>
      <c r="FI667" s="36"/>
      <c r="FJ667" s="36"/>
      <c r="FK667" s="36"/>
      <c r="FL667" s="36"/>
      <c r="FM667" s="36"/>
      <c r="FN667" s="36"/>
      <c r="FO667" s="36"/>
      <c r="FP667" s="36"/>
      <c r="FQ667" s="36"/>
      <c r="FR667" s="36"/>
      <c r="FS667" s="36"/>
      <c r="FT667" s="36"/>
      <c r="FU667" s="36"/>
      <c r="FV667" s="36"/>
      <c r="FW667" s="36"/>
      <c r="FX667" s="36"/>
      <c r="FY667" s="36"/>
      <c r="FZ667" s="36"/>
      <c r="GA667" s="36"/>
      <c r="GB667" s="36"/>
      <c r="GC667" s="36"/>
      <c r="GD667" s="36"/>
      <c r="GE667" s="36"/>
      <c r="GF667" s="36"/>
    </row>
    <row r="668" spans="1:188" s="55" customFormat="1" ht="25.5" hidden="1">
      <c r="A668" s="90" t="s">
        <v>312</v>
      </c>
      <c r="B668" s="90"/>
      <c r="C668" s="90"/>
      <c r="D668" s="91">
        <v>1000</v>
      </c>
      <c r="E668" s="220"/>
      <c r="F668" s="91">
        <f>D668</f>
        <v>1000</v>
      </c>
      <c r="G668" s="91">
        <v>1000</v>
      </c>
      <c r="H668" s="220"/>
      <c r="I668" s="220"/>
      <c r="J668" s="91">
        <f>G668</f>
        <v>1000</v>
      </c>
      <c r="K668" s="216">
        <f>G668/D668*100</f>
        <v>100</v>
      </c>
      <c r="L668" s="220"/>
      <c r="M668" s="91"/>
      <c r="N668" s="91">
        <v>1000</v>
      </c>
      <c r="O668" s="220"/>
      <c r="P668" s="91">
        <f>N668</f>
        <v>1000</v>
      </c>
      <c r="Q668" s="36"/>
      <c r="R668" s="36"/>
      <c r="S668" s="36"/>
      <c r="T668" s="36"/>
      <c r="U668" s="36"/>
      <c r="V668" s="36"/>
      <c r="W668" s="36"/>
      <c r="X668" s="36"/>
      <c r="Y668" s="36"/>
      <c r="Z668" s="36"/>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c r="BE668" s="36"/>
      <c r="BF668" s="36"/>
      <c r="BG668" s="36"/>
      <c r="BH668" s="36"/>
      <c r="BI668" s="36"/>
      <c r="BJ668" s="36"/>
      <c r="BK668" s="36"/>
      <c r="BL668" s="36"/>
      <c r="BM668" s="36"/>
      <c r="BN668" s="36"/>
      <c r="BO668" s="36"/>
      <c r="BP668" s="36"/>
      <c r="BQ668" s="36"/>
      <c r="BR668" s="36"/>
      <c r="BS668" s="36"/>
      <c r="BT668" s="36"/>
      <c r="BU668" s="36"/>
      <c r="BV668" s="36"/>
      <c r="BW668" s="36"/>
      <c r="BX668" s="36"/>
      <c r="BY668" s="36"/>
      <c r="BZ668" s="36"/>
      <c r="CA668" s="36"/>
      <c r="CB668" s="36"/>
      <c r="CC668" s="36"/>
      <c r="CD668" s="36"/>
      <c r="CE668" s="36"/>
      <c r="CF668" s="36"/>
      <c r="CG668" s="36"/>
      <c r="CH668" s="36"/>
      <c r="CI668" s="36"/>
      <c r="CJ668" s="36"/>
      <c r="CK668" s="36"/>
      <c r="CL668" s="36"/>
      <c r="CM668" s="36"/>
      <c r="CN668" s="36"/>
      <c r="CO668" s="36"/>
      <c r="CP668" s="36"/>
      <c r="CQ668" s="36"/>
      <c r="CR668" s="36"/>
      <c r="CS668" s="36"/>
      <c r="CT668" s="36"/>
      <c r="CU668" s="36"/>
      <c r="CV668" s="36"/>
      <c r="CW668" s="36"/>
      <c r="CX668" s="36"/>
      <c r="CY668" s="36"/>
      <c r="CZ668" s="36"/>
      <c r="DA668" s="36"/>
      <c r="DB668" s="36"/>
      <c r="DC668" s="36"/>
      <c r="DD668" s="36"/>
      <c r="DE668" s="36"/>
      <c r="DF668" s="36"/>
      <c r="DG668" s="36"/>
      <c r="DH668" s="36"/>
      <c r="DI668" s="36"/>
      <c r="DJ668" s="36"/>
      <c r="DK668" s="36"/>
      <c r="DL668" s="36"/>
      <c r="DM668" s="36"/>
      <c r="DN668" s="36"/>
      <c r="DO668" s="36"/>
      <c r="DP668" s="36"/>
      <c r="DQ668" s="36"/>
      <c r="DR668" s="36"/>
      <c r="DS668" s="36"/>
      <c r="DT668" s="36"/>
      <c r="DU668" s="36"/>
      <c r="DV668" s="36"/>
      <c r="DW668" s="36"/>
      <c r="DX668" s="36"/>
      <c r="DY668" s="36"/>
      <c r="DZ668" s="36"/>
      <c r="EA668" s="36"/>
      <c r="EB668" s="36"/>
      <c r="EC668" s="36"/>
      <c r="ED668" s="36"/>
      <c r="EE668" s="36"/>
      <c r="EF668" s="36"/>
      <c r="EG668" s="36"/>
      <c r="EH668" s="36"/>
      <c r="EI668" s="36"/>
      <c r="EJ668" s="36"/>
      <c r="EK668" s="36"/>
      <c r="EL668" s="36"/>
      <c r="EM668" s="36"/>
      <c r="EN668" s="36"/>
      <c r="EO668" s="36"/>
      <c r="EP668" s="36"/>
      <c r="EQ668" s="36"/>
      <c r="ER668" s="36"/>
      <c r="ES668" s="36"/>
      <c r="ET668" s="36"/>
      <c r="EU668" s="36"/>
      <c r="EV668" s="36"/>
      <c r="EW668" s="36"/>
      <c r="EX668" s="36"/>
      <c r="EY668" s="36"/>
      <c r="EZ668" s="36"/>
      <c r="FA668" s="36"/>
      <c r="FB668" s="36"/>
      <c r="FC668" s="36"/>
      <c r="FD668" s="36"/>
      <c r="FE668" s="36"/>
      <c r="FF668" s="36"/>
      <c r="FG668" s="36"/>
      <c r="FH668" s="36"/>
      <c r="FI668" s="36"/>
      <c r="FJ668" s="36"/>
      <c r="FK668" s="36"/>
      <c r="FL668" s="36"/>
      <c r="FM668" s="36"/>
      <c r="FN668" s="36"/>
      <c r="FO668" s="36"/>
      <c r="FP668" s="36"/>
      <c r="FQ668" s="36"/>
      <c r="FR668" s="36"/>
      <c r="FS668" s="36"/>
      <c r="FT668" s="36"/>
      <c r="FU668" s="36"/>
      <c r="FV668" s="36"/>
      <c r="FW668" s="36"/>
      <c r="FX668" s="36"/>
      <c r="FY668" s="36"/>
      <c r="FZ668" s="36"/>
      <c r="GA668" s="36"/>
      <c r="GB668" s="36"/>
      <c r="GC668" s="36"/>
      <c r="GD668" s="36"/>
      <c r="GE668" s="36"/>
      <c r="GF668" s="36"/>
    </row>
    <row r="669" spans="1:188" s="55" customFormat="1" ht="24" customHeight="1" hidden="1">
      <c r="A669" s="90" t="s">
        <v>356</v>
      </c>
      <c r="B669" s="90"/>
      <c r="C669" s="90"/>
      <c r="D669" s="91">
        <v>500</v>
      </c>
      <c r="E669" s="220"/>
      <c r="F669" s="91">
        <f>D669</f>
        <v>500</v>
      </c>
      <c r="G669" s="91">
        <v>550</v>
      </c>
      <c r="H669" s="220"/>
      <c r="I669" s="220"/>
      <c r="J669" s="91">
        <v>550</v>
      </c>
      <c r="K669" s="216"/>
      <c r="L669" s="220"/>
      <c r="M669" s="91"/>
      <c r="N669" s="91">
        <v>600</v>
      </c>
      <c r="O669" s="220"/>
      <c r="P669" s="91">
        <v>600</v>
      </c>
      <c r="Q669" s="36"/>
      <c r="R669" s="36"/>
      <c r="S669" s="36"/>
      <c r="T669" s="36"/>
      <c r="U669" s="36"/>
      <c r="V669" s="36"/>
      <c r="W669" s="36"/>
      <c r="X669" s="36"/>
      <c r="Y669" s="36"/>
      <c r="Z669" s="36"/>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c r="BC669" s="36"/>
      <c r="BD669" s="36"/>
      <c r="BE669" s="36"/>
      <c r="BF669" s="36"/>
      <c r="BG669" s="36"/>
      <c r="BH669" s="36"/>
      <c r="BI669" s="36"/>
      <c r="BJ669" s="36"/>
      <c r="BK669" s="36"/>
      <c r="BL669" s="36"/>
      <c r="BM669" s="36"/>
      <c r="BN669" s="36"/>
      <c r="BO669" s="36"/>
      <c r="BP669" s="36"/>
      <c r="BQ669" s="36"/>
      <c r="BR669" s="36"/>
      <c r="BS669" s="36"/>
      <c r="BT669" s="36"/>
      <c r="BU669" s="36"/>
      <c r="BV669" s="36"/>
      <c r="BW669" s="36"/>
      <c r="BX669" s="36"/>
      <c r="BY669" s="36"/>
      <c r="BZ669" s="36"/>
      <c r="CA669" s="36"/>
      <c r="CB669" s="36"/>
      <c r="CC669" s="36"/>
      <c r="CD669" s="36"/>
      <c r="CE669" s="36"/>
      <c r="CF669" s="36"/>
      <c r="CG669" s="36"/>
      <c r="CH669" s="36"/>
      <c r="CI669" s="36"/>
      <c r="CJ669" s="36"/>
      <c r="CK669" s="36"/>
      <c r="CL669" s="36"/>
      <c r="CM669" s="36"/>
      <c r="CN669" s="36"/>
      <c r="CO669" s="36"/>
      <c r="CP669" s="36"/>
      <c r="CQ669" s="36"/>
      <c r="CR669" s="36"/>
      <c r="CS669" s="36"/>
      <c r="CT669" s="36"/>
      <c r="CU669" s="36"/>
      <c r="CV669" s="36"/>
      <c r="CW669" s="36"/>
      <c r="CX669" s="36"/>
      <c r="CY669" s="36"/>
      <c r="CZ669" s="36"/>
      <c r="DA669" s="36"/>
      <c r="DB669" s="36"/>
      <c r="DC669" s="36"/>
      <c r="DD669" s="36"/>
      <c r="DE669" s="36"/>
      <c r="DF669" s="36"/>
      <c r="DG669" s="36"/>
      <c r="DH669" s="36"/>
      <c r="DI669" s="36"/>
      <c r="DJ669" s="36"/>
      <c r="DK669" s="36"/>
      <c r="DL669" s="36"/>
      <c r="DM669" s="36"/>
      <c r="DN669" s="36"/>
      <c r="DO669" s="36"/>
      <c r="DP669" s="36"/>
      <c r="DQ669" s="36"/>
      <c r="DR669" s="36"/>
      <c r="DS669" s="36"/>
      <c r="DT669" s="36"/>
      <c r="DU669" s="36"/>
      <c r="DV669" s="36"/>
      <c r="DW669" s="36"/>
      <c r="DX669" s="36"/>
      <c r="DY669" s="36"/>
      <c r="DZ669" s="36"/>
      <c r="EA669" s="36"/>
      <c r="EB669" s="36"/>
      <c r="EC669" s="36"/>
      <c r="ED669" s="36"/>
      <c r="EE669" s="36"/>
      <c r="EF669" s="36"/>
      <c r="EG669" s="36"/>
      <c r="EH669" s="36"/>
      <c r="EI669" s="36"/>
      <c r="EJ669" s="36"/>
      <c r="EK669" s="36"/>
      <c r="EL669" s="36"/>
      <c r="EM669" s="36"/>
      <c r="EN669" s="36"/>
      <c r="EO669" s="36"/>
      <c r="EP669" s="36"/>
      <c r="EQ669" s="36"/>
      <c r="ER669" s="36"/>
      <c r="ES669" s="36"/>
      <c r="ET669" s="36"/>
      <c r="EU669" s="36"/>
      <c r="EV669" s="36"/>
      <c r="EW669" s="36"/>
      <c r="EX669" s="36"/>
      <c r="EY669" s="36"/>
      <c r="EZ669" s="36"/>
      <c r="FA669" s="36"/>
      <c r="FB669" s="36"/>
      <c r="FC669" s="36"/>
      <c r="FD669" s="36"/>
      <c r="FE669" s="36"/>
      <c r="FF669" s="36"/>
      <c r="FG669" s="36"/>
      <c r="FH669" s="36"/>
      <c r="FI669" s="36"/>
      <c r="FJ669" s="36"/>
      <c r="FK669" s="36"/>
      <c r="FL669" s="36"/>
      <c r="FM669" s="36"/>
      <c r="FN669" s="36"/>
      <c r="FO669" s="36"/>
      <c r="FP669" s="36"/>
      <c r="FQ669" s="36"/>
      <c r="FR669" s="36"/>
      <c r="FS669" s="36"/>
      <c r="FT669" s="36"/>
      <c r="FU669" s="36"/>
      <c r="FV669" s="36"/>
      <c r="FW669" s="36"/>
      <c r="FX669" s="36"/>
      <c r="FY669" s="36"/>
      <c r="FZ669" s="36"/>
      <c r="GA669" s="36"/>
      <c r="GB669" s="36"/>
      <c r="GC669" s="36"/>
      <c r="GD669" s="36"/>
      <c r="GE669" s="36"/>
      <c r="GF669" s="36"/>
    </row>
    <row r="670" spans="1:188" s="43" customFormat="1" ht="42.75" customHeight="1" hidden="1">
      <c r="A670" s="141" t="s">
        <v>47</v>
      </c>
      <c r="B670" s="141"/>
      <c r="C670" s="141"/>
      <c r="D670" s="213">
        <f>SUM(D672:D677)</f>
        <v>136230</v>
      </c>
      <c r="E670" s="213"/>
      <c r="F670" s="213">
        <f>SUM(F672:F677)</f>
        <v>136230</v>
      </c>
      <c r="G670" s="213">
        <f>SUM(G672:G677)</f>
        <v>144702</v>
      </c>
      <c r="H670" s="213"/>
      <c r="I670" s="213"/>
      <c r="J670" s="213">
        <f>SUM(J672:J677)</f>
        <v>144702</v>
      </c>
      <c r="K670" s="213"/>
      <c r="L670" s="214"/>
      <c r="M670" s="214"/>
      <c r="N670" s="213">
        <f>SUM(N672:N677)</f>
        <v>159360</v>
      </c>
      <c r="O670" s="213"/>
      <c r="P670" s="213">
        <f>SUM(P672:P677)</f>
        <v>159360</v>
      </c>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c r="AS670" s="52"/>
      <c r="AT670" s="52"/>
      <c r="AU670" s="52"/>
      <c r="AV670" s="52"/>
      <c r="AW670" s="52"/>
      <c r="AX670" s="52"/>
      <c r="AY670" s="52"/>
      <c r="AZ670" s="52"/>
      <c r="BA670" s="52"/>
      <c r="BB670" s="52"/>
      <c r="BC670" s="52"/>
      <c r="BD670" s="52"/>
      <c r="BE670" s="52"/>
      <c r="BF670" s="52"/>
      <c r="BG670" s="52"/>
      <c r="BH670" s="52"/>
      <c r="BI670" s="52"/>
      <c r="BJ670" s="52"/>
      <c r="BK670" s="52"/>
      <c r="BL670" s="52"/>
      <c r="BM670" s="52"/>
      <c r="BN670" s="52"/>
      <c r="BO670" s="52"/>
      <c r="BP670" s="52"/>
      <c r="BQ670" s="52"/>
      <c r="BR670" s="52"/>
      <c r="BS670" s="52"/>
      <c r="BT670" s="52"/>
      <c r="BU670" s="52"/>
      <c r="BV670" s="52"/>
      <c r="BW670" s="52"/>
      <c r="BX670" s="52"/>
      <c r="BY670" s="52"/>
      <c r="BZ670" s="52"/>
      <c r="CA670" s="52"/>
      <c r="CB670" s="52"/>
      <c r="CC670" s="52"/>
      <c r="CD670" s="52"/>
      <c r="CE670" s="52"/>
      <c r="CF670" s="52"/>
      <c r="CG670" s="52"/>
      <c r="CH670" s="52"/>
      <c r="CI670" s="52"/>
      <c r="CJ670" s="52"/>
      <c r="CK670" s="52"/>
      <c r="CL670" s="52"/>
      <c r="CM670" s="52"/>
      <c r="CN670" s="52"/>
      <c r="CO670" s="52"/>
      <c r="CP670" s="52"/>
      <c r="CQ670" s="52"/>
      <c r="CR670" s="52"/>
      <c r="CS670" s="52"/>
      <c r="CT670" s="52"/>
      <c r="CU670" s="52"/>
      <c r="CV670" s="52"/>
      <c r="CW670" s="52"/>
      <c r="CX670" s="52"/>
      <c r="CY670" s="52"/>
      <c r="CZ670" s="52"/>
      <c r="DA670" s="52"/>
      <c r="DB670" s="52"/>
      <c r="DC670" s="52"/>
      <c r="DD670" s="52"/>
      <c r="DE670" s="52"/>
      <c r="DF670" s="52"/>
      <c r="DG670" s="52"/>
      <c r="DH670" s="52"/>
      <c r="DI670" s="52"/>
      <c r="DJ670" s="52"/>
      <c r="DK670" s="52"/>
      <c r="DL670" s="52"/>
      <c r="DM670" s="52"/>
      <c r="DN670" s="52"/>
      <c r="DO670" s="52"/>
      <c r="DP670" s="52"/>
      <c r="DQ670" s="52"/>
      <c r="DR670" s="52"/>
      <c r="DS670" s="52"/>
      <c r="DT670" s="52"/>
      <c r="DU670" s="52"/>
      <c r="DV670" s="52"/>
      <c r="DW670" s="52"/>
      <c r="DX670" s="52"/>
      <c r="DY670" s="52"/>
      <c r="DZ670" s="52"/>
      <c r="EA670" s="52"/>
      <c r="EB670" s="52"/>
      <c r="EC670" s="52"/>
      <c r="ED670" s="52"/>
      <c r="EE670" s="52"/>
      <c r="EF670" s="52"/>
      <c r="EG670" s="52"/>
      <c r="EH670" s="52"/>
      <c r="EI670" s="52"/>
      <c r="EJ670" s="52"/>
      <c r="EK670" s="52"/>
      <c r="EL670" s="52"/>
      <c r="EM670" s="52"/>
      <c r="EN670" s="52"/>
      <c r="EO670" s="52"/>
      <c r="EP670" s="52"/>
      <c r="EQ670" s="52"/>
      <c r="ER670" s="52"/>
      <c r="ES670" s="52"/>
      <c r="ET670" s="52"/>
      <c r="EU670" s="52"/>
      <c r="EV670" s="52"/>
      <c r="EW670" s="52"/>
      <c r="EX670" s="52"/>
      <c r="EY670" s="52"/>
      <c r="EZ670" s="52"/>
      <c r="FA670" s="52"/>
      <c r="FB670" s="52"/>
      <c r="FC670" s="52"/>
      <c r="FD670" s="52"/>
      <c r="FE670" s="52"/>
      <c r="FF670" s="52"/>
      <c r="FG670" s="52"/>
      <c r="FH670" s="52"/>
      <c r="FI670" s="52"/>
      <c r="FJ670" s="52"/>
      <c r="FK670" s="52"/>
      <c r="FL670" s="52"/>
      <c r="FM670" s="52"/>
      <c r="FN670" s="52"/>
      <c r="FO670" s="52"/>
      <c r="FP670" s="52"/>
      <c r="FQ670" s="52"/>
      <c r="FR670" s="52"/>
      <c r="FS670" s="52"/>
      <c r="FT670" s="52"/>
      <c r="FU670" s="52"/>
      <c r="FV670" s="52"/>
      <c r="FW670" s="52"/>
      <c r="FX670" s="52"/>
      <c r="FY670" s="52"/>
      <c r="FZ670" s="52"/>
      <c r="GA670" s="52"/>
      <c r="GB670" s="52"/>
      <c r="GC670" s="52"/>
      <c r="GD670" s="52"/>
      <c r="GE670" s="52"/>
      <c r="GF670" s="52"/>
    </row>
    <row r="671" spans="1:188" s="43" customFormat="1" ht="13.5" hidden="1">
      <c r="A671" s="142" t="s">
        <v>183</v>
      </c>
      <c r="B671" s="141"/>
      <c r="C671" s="141"/>
      <c r="D671" s="213"/>
      <c r="E671" s="213"/>
      <c r="F671" s="213"/>
      <c r="G671" s="213"/>
      <c r="H671" s="213"/>
      <c r="I671" s="213"/>
      <c r="J671" s="213"/>
      <c r="K671" s="213"/>
      <c r="L671" s="214"/>
      <c r="M671" s="214"/>
      <c r="N671" s="213"/>
      <c r="O671" s="213"/>
      <c r="P671" s="213"/>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c r="AS671" s="52"/>
      <c r="AT671" s="52"/>
      <c r="AU671" s="52"/>
      <c r="AV671" s="52"/>
      <c r="AW671" s="52"/>
      <c r="AX671" s="52"/>
      <c r="AY671" s="52"/>
      <c r="AZ671" s="52"/>
      <c r="BA671" s="52"/>
      <c r="BB671" s="52"/>
      <c r="BC671" s="52"/>
      <c r="BD671" s="52"/>
      <c r="BE671" s="52"/>
      <c r="BF671" s="52"/>
      <c r="BG671" s="52"/>
      <c r="BH671" s="52"/>
      <c r="BI671" s="52"/>
      <c r="BJ671" s="52"/>
      <c r="BK671" s="52"/>
      <c r="BL671" s="52"/>
      <c r="BM671" s="52"/>
      <c r="BN671" s="52"/>
      <c r="BO671" s="52"/>
      <c r="BP671" s="52"/>
      <c r="BQ671" s="52"/>
      <c r="BR671" s="52"/>
      <c r="BS671" s="52"/>
      <c r="BT671" s="52"/>
      <c r="BU671" s="52"/>
      <c r="BV671" s="52"/>
      <c r="BW671" s="52"/>
      <c r="BX671" s="52"/>
      <c r="BY671" s="52"/>
      <c r="BZ671" s="52"/>
      <c r="CA671" s="52"/>
      <c r="CB671" s="52"/>
      <c r="CC671" s="52"/>
      <c r="CD671" s="52"/>
      <c r="CE671" s="52"/>
      <c r="CF671" s="52"/>
      <c r="CG671" s="52"/>
      <c r="CH671" s="52"/>
      <c r="CI671" s="52"/>
      <c r="CJ671" s="52"/>
      <c r="CK671" s="52"/>
      <c r="CL671" s="52"/>
      <c r="CM671" s="52"/>
      <c r="CN671" s="52"/>
      <c r="CO671" s="52"/>
      <c r="CP671" s="52"/>
      <c r="CQ671" s="52"/>
      <c r="CR671" s="52"/>
      <c r="CS671" s="52"/>
      <c r="CT671" s="52"/>
      <c r="CU671" s="52"/>
      <c r="CV671" s="52"/>
      <c r="CW671" s="52"/>
      <c r="CX671" s="52"/>
      <c r="CY671" s="52"/>
      <c r="CZ671" s="52"/>
      <c r="DA671" s="52"/>
      <c r="DB671" s="52"/>
      <c r="DC671" s="52"/>
      <c r="DD671" s="52"/>
      <c r="DE671" s="52"/>
      <c r="DF671" s="52"/>
      <c r="DG671" s="52"/>
      <c r="DH671" s="52"/>
      <c r="DI671" s="52"/>
      <c r="DJ671" s="52"/>
      <c r="DK671" s="52"/>
      <c r="DL671" s="52"/>
      <c r="DM671" s="52"/>
      <c r="DN671" s="52"/>
      <c r="DO671" s="52"/>
      <c r="DP671" s="52"/>
      <c r="DQ671" s="52"/>
      <c r="DR671" s="52"/>
      <c r="DS671" s="52"/>
      <c r="DT671" s="52"/>
      <c r="DU671" s="52"/>
      <c r="DV671" s="52"/>
      <c r="DW671" s="52"/>
      <c r="DX671" s="52"/>
      <c r="DY671" s="52"/>
      <c r="DZ671" s="52"/>
      <c r="EA671" s="52"/>
      <c r="EB671" s="52"/>
      <c r="EC671" s="52"/>
      <c r="ED671" s="52"/>
      <c r="EE671" s="52"/>
      <c r="EF671" s="52"/>
      <c r="EG671" s="52"/>
      <c r="EH671" s="52"/>
      <c r="EI671" s="52"/>
      <c r="EJ671" s="52"/>
      <c r="EK671" s="52"/>
      <c r="EL671" s="52"/>
      <c r="EM671" s="52"/>
      <c r="EN671" s="52"/>
      <c r="EO671" s="52"/>
      <c r="EP671" s="52"/>
      <c r="EQ671" s="52"/>
      <c r="ER671" s="52"/>
      <c r="ES671" s="52"/>
      <c r="ET671" s="52"/>
      <c r="EU671" s="52"/>
      <c r="EV671" s="52"/>
      <c r="EW671" s="52"/>
      <c r="EX671" s="52"/>
      <c r="EY671" s="52"/>
      <c r="EZ671" s="52"/>
      <c r="FA671" s="52"/>
      <c r="FB671" s="52"/>
      <c r="FC671" s="52"/>
      <c r="FD671" s="52"/>
      <c r="FE671" s="52"/>
      <c r="FF671" s="52"/>
      <c r="FG671" s="52"/>
      <c r="FH671" s="52"/>
      <c r="FI671" s="52"/>
      <c r="FJ671" s="52"/>
      <c r="FK671" s="52"/>
      <c r="FL671" s="52"/>
      <c r="FM671" s="52"/>
      <c r="FN671" s="52"/>
      <c r="FO671" s="52"/>
      <c r="FP671" s="52"/>
      <c r="FQ671" s="52"/>
      <c r="FR671" s="52"/>
      <c r="FS671" s="52"/>
      <c r="FT671" s="52"/>
      <c r="FU671" s="52"/>
      <c r="FV671" s="52"/>
      <c r="FW671" s="52"/>
      <c r="FX671" s="52"/>
      <c r="FY671" s="52"/>
      <c r="FZ671" s="52"/>
      <c r="GA671" s="52"/>
      <c r="GB671" s="52"/>
      <c r="GC671" s="52"/>
      <c r="GD671" s="52"/>
      <c r="GE671" s="52"/>
      <c r="GF671" s="52"/>
    </row>
    <row r="672" spans="1:188" s="43" customFormat="1" ht="28.5" customHeight="1" hidden="1">
      <c r="A672" s="138" t="s">
        <v>357</v>
      </c>
      <c r="B672" s="141"/>
      <c r="C672" s="141"/>
      <c r="D672" s="216">
        <f aca="true" t="shared" si="43" ref="D672:D677">D679*D686</f>
        <v>9600</v>
      </c>
      <c r="E672" s="213"/>
      <c r="F672" s="216">
        <f aca="true" t="shared" si="44" ref="F672:G675">F679*F686</f>
        <v>9600</v>
      </c>
      <c r="G672" s="216">
        <f t="shared" si="44"/>
        <v>10200</v>
      </c>
      <c r="H672" s="213"/>
      <c r="I672" s="213"/>
      <c r="J672" s="216">
        <f aca="true" t="shared" si="45" ref="J672:J677">J679*J686</f>
        <v>10200</v>
      </c>
      <c r="K672" s="213"/>
      <c r="L672" s="214"/>
      <c r="M672" s="214"/>
      <c r="N672" s="216">
        <f aca="true" t="shared" si="46" ref="N672:N677">N679*N686</f>
        <v>11250</v>
      </c>
      <c r="O672" s="213"/>
      <c r="P672" s="216">
        <f aca="true" t="shared" si="47" ref="P672:P677">P679*P686</f>
        <v>11250</v>
      </c>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c r="AS672" s="52"/>
      <c r="AT672" s="52"/>
      <c r="AU672" s="52"/>
      <c r="AV672" s="52"/>
      <c r="AW672" s="52"/>
      <c r="AX672" s="52"/>
      <c r="AY672" s="52"/>
      <c r="AZ672" s="52"/>
      <c r="BA672" s="52"/>
      <c r="BB672" s="52"/>
      <c r="BC672" s="52"/>
      <c r="BD672" s="52"/>
      <c r="BE672" s="52"/>
      <c r="BF672" s="52"/>
      <c r="BG672" s="52"/>
      <c r="BH672" s="52"/>
      <c r="BI672" s="52"/>
      <c r="BJ672" s="52"/>
      <c r="BK672" s="52"/>
      <c r="BL672" s="52"/>
      <c r="BM672" s="52"/>
      <c r="BN672" s="52"/>
      <c r="BO672" s="52"/>
      <c r="BP672" s="52"/>
      <c r="BQ672" s="52"/>
      <c r="BR672" s="52"/>
      <c r="BS672" s="52"/>
      <c r="BT672" s="52"/>
      <c r="BU672" s="52"/>
      <c r="BV672" s="52"/>
      <c r="BW672" s="52"/>
      <c r="BX672" s="52"/>
      <c r="BY672" s="52"/>
      <c r="BZ672" s="52"/>
      <c r="CA672" s="52"/>
      <c r="CB672" s="52"/>
      <c r="CC672" s="52"/>
      <c r="CD672" s="52"/>
      <c r="CE672" s="52"/>
      <c r="CF672" s="52"/>
      <c r="CG672" s="52"/>
      <c r="CH672" s="52"/>
      <c r="CI672" s="52"/>
      <c r="CJ672" s="52"/>
      <c r="CK672" s="52"/>
      <c r="CL672" s="52"/>
      <c r="CM672" s="52"/>
      <c r="CN672" s="52"/>
      <c r="CO672" s="52"/>
      <c r="CP672" s="52"/>
      <c r="CQ672" s="52"/>
      <c r="CR672" s="52"/>
      <c r="CS672" s="52"/>
      <c r="CT672" s="52"/>
      <c r="CU672" s="52"/>
      <c r="CV672" s="52"/>
      <c r="CW672" s="52"/>
      <c r="CX672" s="52"/>
      <c r="CY672" s="52"/>
      <c r="CZ672" s="52"/>
      <c r="DA672" s="52"/>
      <c r="DB672" s="52"/>
      <c r="DC672" s="52"/>
      <c r="DD672" s="52"/>
      <c r="DE672" s="52"/>
      <c r="DF672" s="52"/>
      <c r="DG672" s="52"/>
      <c r="DH672" s="52"/>
      <c r="DI672" s="52"/>
      <c r="DJ672" s="52"/>
      <c r="DK672" s="52"/>
      <c r="DL672" s="52"/>
      <c r="DM672" s="52"/>
      <c r="DN672" s="52"/>
      <c r="DO672" s="52"/>
      <c r="DP672" s="52"/>
      <c r="DQ672" s="52"/>
      <c r="DR672" s="52"/>
      <c r="DS672" s="52"/>
      <c r="DT672" s="52"/>
      <c r="DU672" s="52"/>
      <c r="DV672" s="52"/>
      <c r="DW672" s="52"/>
      <c r="DX672" s="52"/>
      <c r="DY672" s="52"/>
      <c r="DZ672" s="52"/>
      <c r="EA672" s="52"/>
      <c r="EB672" s="52"/>
      <c r="EC672" s="52"/>
      <c r="ED672" s="52"/>
      <c r="EE672" s="52"/>
      <c r="EF672" s="52"/>
      <c r="EG672" s="52"/>
      <c r="EH672" s="52"/>
      <c r="EI672" s="52"/>
      <c r="EJ672" s="52"/>
      <c r="EK672" s="52"/>
      <c r="EL672" s="52"/>
      <c r="EM672" s="52"/>
      <c r="EN672" s="52"/>
      <c r="EO672" s="52"/>
      <c r="EP672" s="52"/>
      <c r="EQ672" s="52"/>
      <c r="ER672" s="52"/>
      <c r="ES672" s="52"/>
      <c r="ET672" s="52"/>
      <c r="EU672" s="52"/>
      <c r="EV672" s="52"/>
      <c r="EW672" s="52"/>
      <c r="EX672" s="52"/>
      <c r="EY672" s="52"/>
      <c r="EZ672" s="52"/>
      <c r="FA672" s="52"/>
      <c r="FB672" s="52"/>
      <c r="FC672" s="52"/>
      <c r="FD672" s="52"/>
      <c r="FE672" s="52"/>
      <c r="FF672" s="52"/>
      <c r="FG672" s="52"/>
      <c r="FH672" s="52"/>
      <c r="FI672" s="52"/>
      <c r="FJ672" s="52"/>
      <c r="FK672" s="52"/>
      <c r="FL672" s="52"/>
      <c r="FM672" s="52"/>
      <c r="FN672" s="52"/>
      <c r="FO672" s="52"/>
      <c r="FP672" s="52"/>
      <c r="FQ672" s="52"/>
      <c r="FR672" s="52"/>
      <c r="FS672" s="52"/>
      <c r="FT672" s="52"/>
      <c r="FU672" s="52"/>
      <c r="FV672" s="52"/>
      <c r="FW672" s="52"/>
      <c r="FX672" s="52"/>
      <c r="FY672" s="52"/>
      <c r="FZ672" s="52"/>
      <c r="GA672" s="52"/>
      <c r="GB672" s="52"/>
      <c r="GC672" s="52"/>
      <c r="GD672" s="52"/>
      <c r="GE672" s="52"/>
      <c r="GF672" s="52"/>
    </row>
    <row r="673" spans="1:188" s="43" customFormat="1" ht="25.5" hidden="1">
      <c r="A673" s="138" t="s">
        <v>358</v>
      </c>
      <c r="B673" s="141"/>
      <c r="C673" s="141"/>
      <c r="D673" s="216">
        <f t="shared" si="43"/>
        <v>30000</v>
      </c>
      <c r="E673" s="213"/>
      <c r="F673" s="216">
        <f t="shared" si="44"/>
        <v>30000</v>
      </c>
      <c r="G673" s="216">
        <f t="shared" si="44"/>
        <v>31800</v>
      </c>
      <c r="H673" s="213"/>
      <c r="I673" s="213"/>
      <c r="J673" s="216">
        <f t="shared" si="45"/>
        <v>31800</v>
      </c>
      <c r="K673" s="213"/>
      <c r="L673" s="214"/>
      <c r="M673" s="214"/>
      <c r="N673" s="216">
        <f t="shared" si="46"/>
        <v>35100</v>
      </c>
      <c r="O673" s="213"/>
      <c r="P673" s="216">
        <f t="shared" si="47"/>
        <v>35100</v>
      </c>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c r="AS673" s="52"/>
      <c r="AT673" s="52"/>
      <c r="AU673" s="52"/>
      <c r="AV673" s="52"/>
      <c r="AW673" s="52"/>
      <c r="AX673" s="52"/>
      <c r="AY673" s="52"/>
      <c r="AZ673" s="52"/>
      <c r="BA673" s="52"/>
      <c r="BB673" s="52"/>
      <c r="BC673" s="52"/>
      <c r="BD673" s="52"/>
      <c r="BE673" s="52"/>
      <c r="BF673" s="52"/>
      <c r="BG673" s="52"/>
      <c r="BH673" s="52"/>
      <c r="BI673" s="52"/>
      <c r="BJ673" s="52"/>
      <c r="BK673" s="52"/>
      <c r="BL673" s="52"/>
      <c r="BM673" s="52"/>
      <c r="BN673" s="52"/>
      <c r="BO673" s="52"/>
      <c r="BP673" s="52"/>
      <c r="BQ673" s="52"/>
      <c r="BR673" s="52"/>
      <c r="BS673" s="52"/>
      <c r="BT673" s="52"/>
      <c r="BU673" s="52"/>
      <c r="BV673" s="52"/>
      <c r="BW673" s="52"/>
      <c r="BX673" s="52"/>
      <c r="BY673" s="52"/>
      <c r="BZ673" s="52"/>
      <c r="CA673" s="52"/>
      <c r="CB673" s="52"/>
      <c r="CC673" s="52"/>
      <c r="CD673" s="52"/>
      <c r="CE673" s="52"/>
      <c r="CF673" s="52"/>
      <c r="CG673" s="52"/>
      <c r="CH673" s="52"/>
      <c r="CI673" s="52"/>
      <c r="CJ673" s="52"/>
      <c r="CK673" s="52"/>
      <c r="CL673" s="52"/>
      <c r="CM673" s="52"/>
      <c r="CN673" s="52"/>
      <c r="CO673" s="52"/>
      <c r="CP673" s="52"/>
      <c r="CQ673" s="52"/>
      <c r="CR673" s="52"/>
      <c r="CS673" s="52"/>
      <c r="CT673" s="52"/>
      <c r="CU673" s="52"/>
      <c r="CV673" s="52"/>
      <c r="CW673" s="52"/>
      <c r="CX673" s="52"/>
      <c r="CY673" s="52"/>
      <c r="CZ673" s="52"/>
      <c r="DA673" s="52"/>
      <c r="DB673" s="52"/>
      <c r="DC673" s="52"/>
      <c r="DD673" s="52"/>
      <c r="DE673" s="52"/>
      <c r="DF673" s="52"/>
      <c r="DG673" s="52"/>
      <c r="DH673" s="52"/>
      <c r="DI673" s="52"/>
      <c r="DJ673" s="52"/>
      <c r="DK673" s="52"/>
      <c r="DL673" s="52"/>
      <c r="DM673" s="52"/>
      <c r="DN673" s="52"/>
      <c r="DO673" s="52"/>
      <c r="DP673" s="52"/>
      <c r="DQ673" s="52"/>
      <c r="DR673" s="52"/>
      <c r="DS673" s="52"/>
      <c r="DT673" s="52"/>
      <c r="DU673" s="52"/>
      <c r="DV673" s="52"/>
      <c r="DW673" s="52"/>
      <c r="DX673" s="52"/>
      <c r="DY673" s="52"/>
      <c r="DZ673" s="52"/>
      <c r="EA673" s="52"/>
      <c r="EB673" s="52"/>
      <c r="EC673" s="52"/>
      <c r="ED673" s="52"/>
      <c r="EE673" s="52"/>
      <c r="EF673" s="52"/>
      <c r="EG673" s="52"/>
      <c r="EH673" s="52"/>
      <c r="EI673" s="52"/>
      <c r="EJ673" s="52"/>
      <c r="EK673" s="52"/>
      <c r="EL673" s="52"/>
      <c r="EM673" s="52"/>
      <c r="EN673" s="52"/>
      <c r="EO673" s="52"/>
      <c r="EP673" s="52"/>
      <c r="EQ673" s="52"/>
      <c r="ER673" s="52"/>
      <c r="ES673" s="52"/>
      <c r="ET673" s="52"/>
      <c r="EU673" s="52"/>
      <c r="EV673" s="52"/>
      <c r="EW673" s="52"/>
      <c r="EX673" s="52"/>
      <c r="EY673" s="52"/>
      <c r="EZ673" s="52"/>
      <c r="FA673" s="52"/>
      <c r="FB673" s="52"/>
      <c r="FC673" s="52"/>
      <c r="FD673" s="52"/>
      <c r="FE673" s="52"/>
      <c r="FF673" s="52"/>
      <c r="FG673" s="52"/>
      <c r="FH673" s="52"/>
      <c r="FI673" s="52"/>
      <c r="FJ673" s="52"/>
      <c r="FK673" s="52"/>
      <c r="FL673" s="52"/>
      <c r="FM673" s="52"/>
      <c r="FN673" s="52"/>
      <c r="FO673" s="52"/>
      <c r="FP673" s="52"/>
      <c r="FQ673" s="52"/>
      <c r="FR673" s="52"/>
      <c r="FS673" s="52"/>
      <c r="FT673" s="52"/>
      <c r="FU673" s="52"/>
      <c r="FV673" s="52"/>
      <c r="FW673" s="52"/>
      <c r="FX673" s="52"/>
      <c r="FY673" s="52"/>
      <c r="FZ673" s="52"/>
      <c r="GA673" s="52"/>
      <c r="GB673" s="52"/>
      <c r="GC673" s="52"/>
      <c r="GD673" s="52"/>
      <c r="GE673" s="52"/>
      <c r="GF673" s="52"/>
    </row>
    <row r="674" spans="1:188" s="43" customFormat="1" ht="33.75" customHeight="1" hidden="1">
      <c r="A674" s="138" t="s">
        <v>359</v>
      </c>
      <c r="B674" s="141"/>
      <c r="C674" s="141"/>
      <c r="D674" s="216">
        <f t="shared" si="43"/>
        <v>53250</v>
      </c>
      <c r="E674" s="213"/>
      <c r="F674" s="216">
        <f t="shared" si="44"/>
        <v>53250</v>
      </c>
      <c r="G674" s="216">
        <f t="shared" si="44"/>
        <v>56400</v>
      </c>
      <c r="H674" s="213"/>
      <c r="I674" s="213"/>
      <c r="J674" s="216">
        <f t="shared" si="45"/>
        <v>56400</v>
      </c>
      <c r="K674" s="213"/>
      <c r="L674" s="214"/>
      <c r="M674" s="214"/>
      <c r="N674" s="216">
        <f t="shared" si="46"/>
        <v>62100</v>
      </c>
      <c r="O674" s="213"/>
      <c r="P674" s="216">
        <f t="shared" si="47"/>
        <v>62100</v>
      </c>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c r="AS674" s="52"/>
      <c r="AT674" s="52"/>
      <c r="AU674" s="52"/>
      <c r="AV674" s="52"/>
      <c r="AW674" s="52"/>
      <c r="AX674" s="52"/>
      <c r="AY674" s="52"/>
      <c r="AZ674" s="52"/>
      <c r="BA674" s="52"/>
      <c r="BB674" s="52"/>
      <c r="BC674" s="52"/>
      <c r="BD674" s="52"/>
      <c r="BE674" s="52"/>
      <c r="BF674" s="52"/>
      <c r="BG674" s="52"/>
      <c r="BH674" s="52"/>
      <c r="BI674" s="52"/>
      <c r="BJ674" s="52"/>
      <c r="BK674" s="52"/>
      <c r="BL674" s="52"/>
      <c r="BM674" s="52"/>
      <c r="BN674" s="52"/>
      <c r="BO674" s="52"/>
      <c r="BP674" s="52"/>
      <c r="BQ674" s="52"/>
      <c r="BR674" s="52"/>
      <c r="BS674" s="52"/>
      <c r="BT674" s="52"/>
      <c r="BU674" s="52"/>
      <c r="BV674" s="52"/>
      <c r="BW674" s="52"/>
      <c r="BX674" s="52"/>
      <c r="BY674" s="52"/>
      <c r="BZ674" s="52"/>
      <c r="CA674" s="52"/>
      <c r="CB674" s="52"/>
      <c r="CC674" s="52"/>
      <c r="CD674" s="52"/>
      <c r="CE674" s="52"/>
      <c r="CF674" s="52"/>
      <c r="CG674" s="52"/>
      <c r="CH674" s="52"/>
      <c r="CI674" s="52"/>
      <c r="CJ674" s="52"/>
      <c r="CK674" s="52"/>
      <c r="CL674" s="52"/>
      <c r="CM674" s="52"/>
      <c r="CN674" s="52"/>
      <c r="CO674" s="52"/>
      <c r="CP674" s="52"/>
      <c r="CQ674" s="52"/>
      <c r="CR674" s="52"/>
      <c r="CS674" s="52"/>
      <c r="CT674" s="52"/>
      <c r="CU674" s="52"/>
      <c r="CV674" s="52"/>
      <c r="CW674" s="52"/>
      <c r="CX674" s="52"/>
      <c r="CY674" s="52"/>
      <c r="CZ674" s="52"/>
      <c r="DA674" s="52"/>
      <c r="DB674" s="52"/>
      <c r="DC674" s="52"/>
      <c r="DD674" s="52"/>
      <c r="DE674" s="52"/>
      <c r="DF674" s="52"/>
      <c r="DG674" s="52"/>
      <c r="DH674" s="52"/>
      <c r="DI674" s="52"/>
      <c r="DJ674" s="52"/>
      <c r="DK674" s="52"/>
      <c r="DL674" s="52"/>
      <c r="DM674" s="52"/>
      <c r="DN674" s="52"/>
      <c r="DO674" s="52"/>
      <c r="DP674" s="52"/>
      <c r="DQ674" s="52"/>
      <c r="DR674" s="52"/>
      <c r="DS674" s="52"/>
      <c r="DT674" s="52"/>
      <c r="DU674" s="52"/>
      <c r="DV674" s="52"/>
      <c r="DW674" s="52"/>
      <c r="DX674" s="52"/>
      <c r="DY674" s="52"/>
      <c r="DZ674" s="52"/>
      <c r="EA674" s="52"/>
      <c r="EB674" s="52"/>
      <c r="EC674" s="52"/>
      <c r="ED674" s="52"/>
      <c r="EE674" s="52"/>
      <c r="EF674" s="52"/>
      <c r="EG674" s="52"/>
      <c r="EH674" s="52"/>
      <c r="EI674" s="52"/>
      <c r="EJ674" s="52"/>
      <c r="EK674" s="52"/>
      <c r="EL674" s="52"/>
      <c r="EM674" s="52"/>
      <c r="EN674" s="52"/>
      <c r="EO674" s="52"/>
      <c r="EP674" s="52"/>
      <c r="EQ674" s="52"/>
      <c r="ER674" s="52"/>
      <c r="ES674" s="52"/>
      <c r="ET674" s="52"/>
      <c r="EU674" s="52"/>
      <c r="EV674" s="52"/>
      <c r="EW674" s="52"/>
      <c r="EX674" s="52"/>
      <c r="EY674" s="52"/>
      <c r="EZ674" s="52"/>
      <c r="FA674" s="52"/>
      <c r="FB674" s="52"/>
      <c r="FC674" s="52"/>
      <c r="FD674" s="52"/>
      <c r="FE674" s="52"/>
      <c r="FF674" s="52"/>
      <c r="FG674" s="52"/>
      <c r="FH674" s="52"/>
      <c r="FI674" s="52"/>
      <c r="FJ674" s="52"/>
      <c r="FK674" s="52"/>
      <c r="FL674" s="52"/>
      <c r="FM674" s="52"/>
      <c r="FN674" s="52"/>
      <c r="FO674" s="52"/>
      <c r="FP674" s="52"/>
      <c r="FQ674" s="52"/>
      <c r="FR674" s="52"/>
      <c r="FS674" s="52"/>
      <c r="FT674" s="52"/>
      <c r="FU674" s="52"/>
      <c r="FV674" s="52"/>
      <c r="FW674" s="52"/>
      <c r="FX674" s="52"/>
      <c r="FY674" s="52"/>
      <c r="FZ674" s="52"/>
      <c r="GA674" s="52"/>
      <c r="GB674" s="52"/>
      <c r="GC674" s="52"/>
      <c r="GD674" s="52"/>
      <c r="GE674" s="52"/>
      <c r="GF674" s="52"/>
    </row>
    <row r="675" spans="1:188" s="43" customFormat="1" ht="30.75" customHeight="1" hidden="1">
      <c r="A675" s="138" t="s">
        <v>360</v>
      </c>
      <c r="B675" s="141"/>
      <c r="C675" s="141"/>
      <c r="D675" s="216">
        <f t="shared" si="43"/>
        <v>33300</v>
      </c>
      <c r="E675" s="216"/>
      <c r="F675" s="216">
        <f t="shared" si="44"/>
        <v>33300</v>
      </c>
      <c r="G675" s="216">
        <f t="shared" si="44"/>
        <v>35550</v>
      </c>
      <c r="H675" s="216"/>
      <c r="I675" s="216"/>
      <c r="J675" s="216">
        <f t="shared" si="45"/>
        <v>35550</v>
      </c>
      <c r="K675" s="216"/>
      <c r="L675" s="220"/>
      <c r="M675" s="220"/>
      <c r="N675" s="216">
        <f t="shared" si="46"/>
        <v>39150</v>
      </c>
      <c r="O675" s="216"/>
      <c r="P675" s="216">
        <f t="shared" si="47"/>
        <v>39150</v>
      </c>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c r="AS675" s="52"/>
      <c r="AT675" s="52"/>
      <c r="AU675" s="52"/>
      <c r="AV675" s="52"/>
      <c r="AW675" s="52"/>
      <c r="AX675" s="52"/>
      <c r="AY675" s="52"/>
      <c r="AZ675" s="52"/>
      <c r="BA675" s="52"/>
      <c r="BB675" s="52"/>
      <c r="BC675" s="52"/>
      <c r="BD675" s="52"/>
      <c r="BE675" s="52"/>
      <c r="BF675" s="52"/>
      <c r="BG675" s="52"/>
      <c r="BH675" s="52"/>
      <c r="BI675" s="52"/>
      <c r="BJ675" s="52"/>
      <c r="BK675" s="52"/>
      <c r="BL675" s="52"/>
      <c r="BM675" s="52"/>
      <c r="BN675" s="52"/>
      <c r="BO675" s="52"/>
      <c r="BP675" s="52"/>
      <c r="BQ675" s="52"/>
      <c r="BR675" s="52"/>
      <c r="BS675" s="52"/>
      <c r="BT675" s="52"/>
      <c r="BU675" s="52"/>
      <c r="BV675" s="52"/>
      <c r="BW675" s="52"/>
      <c r="BX675" s="52"/>
      <c r="BY675" s="52"/>
      <c r="BZ675" s="52"/>
      <c r="CA675" s="52"/>
      <c r="CB675" s="52"/>
      <c r="CC675" s="52"/>
      <c r="CD675" s="52"/>
      <c r="CE675" s="52"/>
      <c r="CF675" s="52"/>
      <c r="CG675" s="52"/>
      <c r="CH675" s="52"/>
      <c r="CI675" s="52"/>
      <c r="CJ675" s="52"/>
      <c r="CK675" s="52"/>
      <c r="CL675" s="52"/>
      <c r="CM675" s="52"/>
      <c r="CN675" s="52"/>
      <c r="CO675" s="52"/>
      <c r="CP675" s="52"/>
      <c r="CQ675" s="52"/>
      <c r="CR675" s="52"/>
      <c r="CS675" s="52"/>
      <c r="CT675" s="52"/>
      <c r="CU675" s="52"/>
      <c r="CV675" s="52"/>
      <c r="CW675" s="52"/>
      <c r="CX675" s="52"/>
      <c r="CY675" s="52"/>
      <c r="CZ675" s="52"/>
      <c r="DA675" s="52"/>
      <c r="DB675" s="52"/>
      <c r="DC675" s="52"/>
      <c r="DD675" s="52"/>
      <c r="DE675" s="52"/>
      <c r="DF675" s="52"/>
      <c r="DG675" s="52"/>
      <c r="DH675" s="52"/>
      <c r="DI675" s="52"/>
      <c r="DJ675" s="52"/>
      <c r="DK675" s="52"/>
      <c r="DL675" s="52"/>
      <c r="DM675" s="52"/>
      <c r="DN675" s="52"/>
      <c r="DO675" s="52"/>
      <c r="DP675" s="52"/>
      <c r="DQ675" s="52"/>
      <c r="DR675" s="52"/>
      <c r="DS675" s="52"/>
      <c r="DT675" s="52"/>
      <c r="DU675" s="52"/>
      <c r="DV675" s="52"/>
      <c r="DW675" s="52"/>
      <c r="DX675" s="52"/>
      <c r="DY675" s="52"/>
      <c r="DZ675" s="52"/>
      <c r="EA675" s="52"/>
      <c r="EB675" s="52"/>
      <c r="EC675" s="52"/>
      <c r="ED675" s="52"/>
      <c r="EE675" s="52"/>
      <c r="EF675" s="52"/>
      <c r="EG675" s="52"/>
      <c r="EH675" s="52"/>
      <c r="EI675" s="52"/>
      <c r="EJ675" s="52"/>
      <c r="EK675" s="52"/>
      <c r="EL675" s="52"/>
      <c r="EM675" s="52"/>
      <c r="EN675" s="52"/>
      <c r="EO675" s="52"/>
      <c r="EP675" s="52"/>
      <c r="EQ675" s="52"/>
      <c r="ER675" s="52"/>
      <c r="ES675" s="52"/>
      <c r="ET675" s="52"/>
      <c r="EU675" s="52"/>
      <c r="EV675" s="52"/>
      <c r="EW675" s="52"/>
      <c r="EX675" s="52"/>
      <c r="EY675" s="52"/>
      <c r="EZ675" s="52"/>
      <c r="FA675" s="52"/>
      <c r="FB675" s="52"/>
      <c r="FC675" s="52"/>
      <c r="FD675" s="52"/>
      <c r="FE675" s="52"/>
      <c r="FF675" s="52"/>
      <c r="FG675" s="52"/>
      <c r="FH675" s="52"/>
      <c r="FI675" s="52"/>
      <c r="FJ675" s="52"/>
      <c r="FK675" s="52"/>
      <c r="FL675" s="52"/>
      <c r="FM675" s="52"/>
      <c r="FN675" s="52"/>
      <c r="FO675" s="52"/>
      <c r="FP675" s="52"/>
      <c r="FQ675" s="52"/>
      <c r="FR675" s="52"/>
      <c r="FS675" s="52"/>
      <c r="FT675" s="52"/>
      <c r="FU675" s="52"/>
      <c r="FV675" s="52"/>
      <c r="FW675" s="52"/>
      <c r="FX675" s="52"/>
      <c r="FY675" s="52"/>
      <c r="FZ675" s="52"/>
      <c r="GA675" s="52"/>
      <c r="GB675" s="52"/>
      <c r="GC675" s="52"/>
      <c r="GD675" s="52"/>
      <c r="GE675" s="52"/>
      <c r="GF675" s="52"/>
    </row>
    <row r="676" spans="1:188" s="43" customFormat="1" ht="13.5" hidden="1">
      <c r="A676" s="138" t="s">
        <v>361</v>
      </c>
      <c r="B676" s="141"/>
      <c r="C676" s="141"/>
      <c r="D676" s="216">
        <f t="shared" si="43"/>
        <v>8160</v>
      </c>
      <c r="E676" s="216"/>
      <c r="F676" s="216">
        <f>F683*F690</f>
        <v>8160</v>
      </c>
      <c r="G676" s="216">
        <f>G683*G690</f>
        <v>8640</v>
      </c>
      <c r="H676" s="216"/>
      <c r="I676" s="216"/>
      <c r="J676" s="216">
        <f t="shared" si="45"/>
        <v>8640</v>
      </c>
      <c r="K676" s="216"/>
      <c r="L676" s="220"/>
      <c r="M676" s="220"/>
      <c r="N676" s="216">
        <f t="shared" si="46"/>
        <v>9480</v>
      </c>
      <c r="O676" s="216"/>
      <c r="P676" s="216">
        <f t="shared" si="47"/>
        <v>9480</v>
      </c>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c r="AS676" s="52"/>
      <c r="AT676" s="52"/>
      <c r="AU676" s="52"/>
      <c r="AV676" s="52"/>
      <c r="AW676" s="52"/>
      <c r="AX676" s="52"/>
      <c r="AY676" s="52"/>
      <c r="AZ676" s="52"/>
      <c r="BA676" s="52"/>
      <c r="BB676" s="52"/>
      <c r="BC676" s="52"/>
      <c r="BD676" s="52"/>
      <c r="BE676" s="52"/>
      <c r="BF676" s="52"/>
      <c r="BG676" s="52"/>
      <c r="BH676" s="52"/>
      <c r="BI676" s="52"/>
      <c r="BJ676" s="52"/>
      <c r="BK676" s="52"/>
      <c r="BL676" s="52"/>
      <c r="BM676" s="52"/>
      <c r="BN676" s="52"/>
      <c r="BO676" s="52"/>
      <c r="BP676" s="52"/>
      <c r="BQ676" s="52"/>
      <c r="BR676" s="52"/>
      <c r="BS676" s="52"/>
      <c r="BT676" s="52"/>
      <c r="BU676" s="52"/>
      <c r="BV676" s="52"/>
      <c r="BW676" s="52"/>
      <c r="BX676" s="52"/>
      <c r="BY676" s="52"/>
      <c r="BZ676" s="52"/>
      <c r="CA676" s="52"/>
      <c r="CB676" s="52"/>
      <c r="CC676" s="52"/>
      <c r="CD676" s="52"/>
      <c r="CE676" s="52"/>
      <c r="CF676" s="52"/>
      <c r="CG676" s="52"/>
      <c r="CH676" s="52"/>
      <c r="CI676" s="52"/>
      <c r="CJ676" s="52"/>
      <c r="CK676" s="52"/>
      <c r="CL676" s="52"/>
      <c r="CM676" s="52"/>
      <c r="CN676" s="52"/>
      <c r="CO676" s="52"/>
      <c r="CP676" s="52"/>
      <c r="CQ676" s="52"/>
      <c r="CR676" s="52"/>
      <c r="CS676" s="52"/>
      <c r="CT676" s="52"/>
      <c r="CU676" s="52"/>
      <c r="CV676" s="52"/>
      <c r="CW676" s="52"/>
      <c r="CX676" s="52"/>
      <c r="CY676" s="52"/>
      <c r="CZ676" s="52"/>
      <c r="DA676" s="52"/>
      <c r="DB676" s="52"/>
      <c r="DC676" s="52"/>
      <c r="DD676" s="52"/>
      <c r="DE676" s="52"/>
      <c r="DF676" s="52"/>
      <c r="DG676" s="52"/>
      <c r="DH676" s="52"/>
      <c r="DI676" s="52"/>
      <c r="DJ676" s="52"/>
      <c r="DK676" s="52"/>
      <c r="DL676" s="52"/>
      <c r="DM676" s="52"/>
      <c r="DN676" s="52"/>
      <c r="DO676" s="52"/>
      <c r="DP676" s="52"/>
      <c r="DQ676" s="52"/>
      <c r="DR676" s="52"/>
      <c r="DS676" s="52"/>
      <c r="DT676" s="52"/>
      <c r="DU676" s="52"/>
      <c r="DV676" s="52"/>
      <c r="DW676" s="52"/>
      <c r="DX676" s="52"/>
      <c r="DY676" s="52"/>
      <c r="DZ676" s="52"/>
      <c r="EA676" s="52"/>
      <c r="EB676" s="52"/>
      <c r="EC676" s="52"/>
      <c r="ED676" s="52"/>
      <c r="EE676" s="52"/>
      <c r="EF676" s="52"/>
      <c r="EG676" s="52"/>
      <c r="EH676" s="52"/>
      <c r="EI676" s="52"/>
      <c r="EJ676" s="52"/>
      <c r="EK676" s="52"/>
      <c r="EL676" s="52"/>
      <c r="EM676" s="52"/>
      <c r="EN676" s="52"/>
      <c r="EO676" s="52"/>
      <c r="EP676" s="52"/>
      <c r="EQ676" s="52"/>
      <c r="ER676" s="52"/>
      <c r="ES676" s="52"/>
      <c r="ET676" s="52"/>
      <c r="EU676" s="52"/>
      <c r="EV676" s="52"/>
      <c r="EW676" s="52"/>
      <c r="EX676" s="52"/>
      <c r="EY676" s="52"/>
      <c r="EZ676" s="52"/>
      <c r="FA676" s="52"/>
      <c r="FB676" s="52"/>
      <c r="FC676" s="52"/>
      <c r="FD676" s="52"/>
      <c r="FE676" s="52"/>
      <c r="FF676" s="52"/>
      <c r="FG676" s="52"/>
      <c r="FH676" s="52"/>
      <c r="FI676" s="52"/>
      <c r="FJ676" s="52"/>
      <c r="FK676" s="52"/>
      <c r="FL676" s="52"/>
      <c r="FM676" s="52"/>
      <c r="FN676" s="52"/>
      <c r="FO676" s="52"/>
      <c r="FP676" s="52"/>
      <c r="FQ676" s="52"/>
      <c r="FR676" s="52"/>
      <c r="FS676" s="52"/>
      <c r="FT676" s="52"/>
      <c r="FU676" s="52"/>
      <c r="FV676" s="52"/>
      <c r="FW676" s="52"/>
      <c r="FX676" s="52"/>
      <c r="FY676" s="52"/>
      <c r="FZ676" s="52"/>
      <c r="GA676" s="52"/>
      <c r="GB676" s="52"/>
      <c r="GC676" s="52"/>
      <c r="GD676" s="52"/>
      <c r="GE676" s="52"/>
      <c r="GF676" s="52"/>
    </row>
    <row r="677" spans="1:188" s="43" customFormat="1" ht="25.5" hidden="1">
      <c r="A677" s="138" t="s">
        <v>341</v>
      </c>
      <c r="B677" s="141"/>
      <c r="C677" s="141"/>
      <c r="D677" s="216">
        <f t="shared" si="43"/>
        <v>1920</v>
      </c>
      <c r="E677" s="216"/>
      <c r="F677" s="216">
        <f>F684*F691</f>
        <v>1920</v>
      </c>
      <c r="G677" s="216">
        <f>G684*G691</f>
        <v>2112</v>
      </c>
      <c r="H677" s="216"/>
      <c r="I677" s="216"/>
      <c r="J677" s="216">
        <f t="shared" si="45"/>
        <v>2112</v>
      </c>
      <c r="K677" s="216"/>
      <c r="L677" s="220"/>
      <c r="M677" s="220"/>
      <c r="N677" s="216">
        <f t="shared" si="46"/>
        <v>2280</v>
      </c>
      <c r="O677" s="216"/>
      <c r="P677" s="216">
        <f t="shared" si="47"/>
        <v>2280</v>
      </c>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c r="AS677" s="52"/>
      <c r="AT677" s="52"/>
      <c r="AU677" s="52"/>
      <c r="AV677" s="52"/>
      <c r="AW677" s="52"/>
      <c r="AX677" s="52"/>
      <c r="AY677" s="52"/>
      <c r="AZ677" s="52"/>
      <c r="BA677" s="52"/>
      <c r="BB677" s="52"/>
      <c r="BC677" s="52"/>
      <c r="BD677" s="52"/>
      <c r="BE677" s="52"/>
      <c r="BF677" s="52"/>
      <c r="BG677" s="52"/>
      <c r="BH677" s="52"/>
      <c r="BI677" s="52"/>
      <c r="BJ677" s="52"/>
      <c r="BK677" s="52"/>
      <c r="BL677" s="52"/>
      <c r="BM677" s="52"/>
      <c r="BN677" s="52"/>
      <c r="BO677" s="52"/>
      <c r="BP677" s="52"/>
      <c r="BQ677" s="52"/>
      <c r="BR677" s="52"/>
      <c r="BS677" s="52"/>
      <c r="BT677" s="52"/>
      <c r="BU677" s="52"/>
      <c r="BV677" s="52"/>
      <c r="BW677" s="52"/>
      <c r="BX677" s="52"/>
      <c r="BY677" s="52"/>
      <c r="BZ677" s="52"/>
      <c r="CA677" s="52"/>
      <c r="CB677" s="52"/>
      <c r="CC677" s="52"/>
      <c r="CD677" s="52"/>
      <c r="CE677" s="52"/>
      <c r="CF677" s="52"/>
      <c r="CG677" s="52"/>
      <c r="CH677" s="52"/>
      <c r="CI677" s="52"/>
      <c r="CJ677" s="52"/>
      <c r="CK677" s="52"/>
      <c r="CL677" s="52"/>
      <c r="CM677" s="52"/>
      <c r="CN677" s="52"/>
      <c r="CO677" s="52"/>
      <c r="CP677" s="52"/>
      <c r="CQ677" s="52"/>
      <c r="CR677" s="52"/>
      <c r="CS677" s="52"/>
      <c r="CT677" s="52"/>
      <c r="CU677" s="52"/>
      <c r="CV677" s="52"/>
      <c r="CW677" s="52"/>
      <c r="CX677" s="52"/>
      <c r="CY677" s="52"/>
      <c r="CZ677" s="52"/>
      <c r="DA677" s="52"/>
      <c r="DB677" s="52"/>
      <c r="DC677" s="52"/>
      <c r="DD677" s="52"/>
      <c r="DE677" s="52"/>
      <c r="DF677" s="52"/>
      <c r="DG677" s="52"/>
      <c r="DH677" s="52"/>
      <c r="DI677" s="52"/>
      <c r="DJ677" s="52"/>
      <c r="DK677" s="52"/>
      <c r="DL677" s="52"/>
      <c r="DM677" s="52"/>
      <c r="DN677" s="52"/>
      <c r="DO677" s="52"/>
      <c r="DP677" s="52"/>
      <c r="DQ677" s="52"/>
      <c r="DR677" s="52"/>
      <c r="DS677" s="52"/>
      <c r="DT677" s="52"/>
      <c r="DU677" s="52"/>
      <c r="DV677" s="52"/>
      <c r="DW677" s="52"/>
      <c r="DX677" s="52"/>
      <c r="DY677" s="52"/>
      <c r="DZ677" s="52"/>
      <c r="EA677" s="52"/>
      <c r="EB677" s="52"/>
      <c r="EC677" s="52"/>
      <c r="ED677" s="52"/>
      <c r="EE677" s="52"/>
      <c r="EF677" s="52"/>
      <c r="EG677" s="52"/>
      <c r="EH677" s="52"/>
      <c r="EI677" s="52"/>
      <c r="EJ677" s="52"/>
      <c r="EK677" s="52"/>
      <c r="EL677" s="52"/>
      <c r="EM677" s="52"/>
      <c r="EN677" s="52"/>
      <c r="EO677" s="52"/>
      <c r="EP677" s="52"/>
      <c r="EQ677" s="52"/>
      <c r="ER677" s="52"/>
      <c r="ES677" s="52"/>
      <c r="ET677" s="52"/>
      <c r="EU677" s="52"/>
      <c r="EV677" s="52"/>
      <c r="EW677" s="52"/>
      <c r="EX677" s="52"/>
      <c r="EY677" s="52"/>
      <c r="EZ677" s="52"/>
      <c r="FA677" s="52"/>
      <c r="FB677" s="52"/>
      <c r="FC677" s="52"/>
      <c r="FD677" s="52"/>
      <c r="FE677" s="52"/>
      <c r="FF677" s="52"/>
      <c r="FG677" s="52"/>
      <c r="FH677" s="52"/>
      <c r="FI677" s="52"/>
      <c r="FJ677" s="52"/>
      <c r="FK677" s="52"/>
      <c r="FL677" s="52"/>
      <c r="FM677" s="52"/>
      <c r="FN677" s="52"/>
      <c r="FO677" s="52"/>
      <c r="FP677" s="52"/>
      <c r="FQ677" s="52"/>
      <c r="FR677" s="52"/>
      <c r="FS677" s="52"/>
      <c r="FT677" s="52"/>
      <c r="FU677" s="52"/>
      <c r="FV677" s="52"/>
      <c r="FW677" s="52"/>
      <c r="FX677" s="52"/>
      <c r="FY677" s="52"/>
      <c r="FZ677" s="52"/>
      <c r="GA677" s="52"/>
      <c r="GB677" s="52"/>
      <c r="GC677" s="52"/>
      <c r="GD677" s="52"/>
      <c r="GE677" s="52"/>
      <c r="GF677" s="52"/>
    </row>
    <row r="678" spans="1:188" s="55" customFormat="1" ht="12.75" hidden="1">
      <c r="A678" s="142" t="s">
        <v>184</v>
      </c>
      <c r="B678" s="142"/>
      <c r="C678" s="142"/>
      <c r="D678" s="215"/>
      <c r="E678" s="215"/>
      <c r="F678" s="216"/>
      <c r="G678" s="215"/>
      <c r="H678" s="215"/>
      <c r="I678" s="215"/>
      <c r="J678" s="216"/>
      <c r="K678" s="216"/>
      <c r="L678" s="215"/>
      <c r="M678" s="215"/>
      <c r="N678" s="215"/>
      <c r="O678" s="215"/>
      <c r="P678" s="216"/>
      <c r="Q678" s="36"/>
      <c r="R678" s="36"/>
      <c r="S678" s="36"/>
      <c r="T678" s="36"/>
      <c r="U678" s="36"/>
      <c r="V678" s="36"/>
      <c r="W678" s="36"/>
      <c r="X678" s="36"/>
      <c r="Y678" s="36"/>
      <c r="Z678" s="36"/>
      <c r="AA678" s="36"/>
      <c r="AB678" s="36"/>
      <c r="AC678" s="36"/>
      <c r="AD678" s="36"/>
      <c r="AE678" s="36"/>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c r="BC678" s="36"/>
      <c r="BD678" s="36"/>
      <c r="BE678" s="36"/>
      <c r="BF678" s="36"/>
      <c r="BG678" s="36"/>
      <c r="BH678" s="36"/>
      <c r="BI678" s="36"/>
      <c r="BJ678" s="36"/>
      <c r="BK678" s="36"/>
      <c r="BL678" s="36"/>
      <c r="BM678" s="36"/>
      <c r="BN678" s="36"/>
      <c r="BO678" s="36"/>
      <c r="BP678" s="36"/>
      <c r="BQ678" s="36"/>
      <c r="BR678" s="36"/>
      <c r="BS678" s="36"/>
      <c r="BT678" s="36"/>
      <c r="BU678" s="36"/>
      <c r="BV678" s="36"/>
      <c r="BW678" s="36"/>
      <c r="BX678" s="36"/>
      <c r="BY678" s="36"/>
      <c r="BZ678" s="36"/>
      <c r="CA678" s="36"/>
      <c r="CB678" s="36"/>
      <c r="CC678" s="36"/>
      <c r="CD678" s="36"/>
      <c r="CE678" s="36"/>
      <c r="CF678" s="36"/>
      <c r="CG678" s="36"/>
      <c r="CH678" s="36"/>
      <c r="CI678" s="36"/>
      <c r="CJ678" s="36"/>
      <c r="CK678" s="36"/>
      <c r="CL678" s="36"/>
      <c r="CM678" s="36"/>
      <c r="CN678" s="36"/>
      <c r="CO678" s="36"/>
      <c r="CP678" s="36"/>
      <c r="CQ678" s="36"/>
      <c r="CR678" s="36"/>
      <c r="CS678" s="36"/>
      <c r="CT678" s="36"/>
      <c r="CU678" s="36"/>
      <c r="CV678" s="36"/>
      <c r="CW678" s="36"/>
      <c r="CX678" s="36"/>
      <c r="CY678" s="36"/>
      <c r="CZ678" s="36"/>
      <c r="DA678" s="36"/>
      <c r="DB678" s="36"/>
      <c r="DC678" s="36"/>
      <c r="DD678" s="36"/>
      <c r="DE678" s="36"/>
      <c r="DF678" s="36"/>
      <c r="DG678" s="36"/>
      <c r="DH678" s="36"/>
      <c r="DI678" s="36"/>
      <c r="DJ678" s="36"/>
      <c r="DK678" s="36"/>
      <c r="DL678" s="36"/>
      <c r="DM678" s="36"/>
      <c r="DN678" s="36"/>
      <c r="DO678" s="36"/>
      <c r="DP678" s="36"/>
      <c r="DQ678" s="36"/>
      <c r="DR678" s="36"/>
      <c r="DS678" s="36"/>
      <c r="DT678" s="36"/>
      <c r="DU678" s="36"/>
      <c r="DV678" s="36"/>
      <c r="DW678" s="36"/>
      <c r="DX678" s="36"/>
      <c r="DY678" s="36"/>
      <c r="DZ678" s="36"/>
      <c r="EA678" s="36"/>
      <c r="EB678" s="36"/>
      <c r="EC678" s="36"/>
      <c r="ED678" s="36"/>
      <c r="EE678" s="36"/>
      <c r="EF678" s="36"/>
      <c r="EG678" s="36"/>
      <c r="EH678" s="36"/>
      <c r="EI678" s="36"/>
      <c r="EJ678" s="36"/>
      <c r="EK678" s="36"/>
      <c r="EL678" s="36"/>
      <c r="EM678" s="36"/>
      <c r="EN678" s="36"/>
      <c r="EO678" s="36"/>
      <c r="EP678" s="36"/>
      <c r="EQ678" s="36"/>
      <c r="ER678" s="36"/>
      <c r="ES678" s="36"/>
      <c r="ET678" s="36"/>
      <c r="EU678" s="36"/>
      <c r="EV678" s="36"/>
      <c r="EW678" s="36"/>
      <c r="EX678" s="36"/>
      <c r="EY678" s="36"/>
      <c r="EZ678" s="36"/>
      <c r="FA678" s="36"/>
      <c r="FB678" s="36"/>
      <c r="FC678" s="36"/>
      <c r="FD678" s="36"/>
      <c r="FE678" s="36"/>
      <c r="FF678" s="36"/>
      <c r="FG678" s="36"/>
      <c r="FH678" s="36"/>
      <c r="FI678" s="36"/>
      <c r="FJ678" s="36"/>
      <c r="FK678" s="36"/>
      <c r="FL678" s="36"/>
      <c r="FM678" s="36"/>
      <c r="FN678" s="36"/>
      <c r="FO678" s="36"/>
      <c r="FP678" s="36"/>
      <c r="FQ678" s="36"/>
      <c r="FR678" s="36"/>
      <c r="FS678" s="36"/>
      <c r="FT678" s="36"/>
      <c r="FU678" s="36"/>
      <c r="FV678" s="36"/>
      <c r="FW678" s="36"/>
      <c r="FX678" s="36"/>
      <c r="FY678" s="36"/>
      <c r="FZ678" s="36"/>
      <c r="GA678" s="36"/>
      <c r="GB678" s="36"/>
      <c r="GC678" s="36"/>
      <c r="GD678" s="36"/>
      <c r="GE678" s="36"/>
      <c r="GF678" s="36"/>
    </row>
    <row r="679" spans="1:188" s="55" customFormat="1" ht="25.5" hidden="1">
      <c r="A679" s="138" t="s">
        <v>313</v>
      </c>
      <c r="B679" s="90"/>
      <c r="C679" s="90"/>
      <c r="D679" s="221">
        <v>30</v>
      </c>
      <c r="E679" s="222"/>
      <c r="F679" s="221">
        <v>30</v>
      </c>
      <c r="G679" s="221">
        <v>30</v>
      </c>
      <c r="H679" s="222"/>
      <c r="I679" s="222"/>
      <c r="J679" s="221">
        <v>30</v>
      </c>
      <c r="K679" s="222"/>
      <c r="L679" s="222"/>
      <c r="M679" s="222"/>
      <c r="N679" s="221">
        <v>30</v>
      </c>
      <c r="O679" s="222"/>
      <c r="P679" s="221">
        <v>30</v>
      </c>
      <c r="Q679" s="36"/>
      <c r="R679" s="36"/>
      <c r="S679" s="36"/>
      <c r="T679" s="36"/>
      <c r="U679" s="36"/>
      <c r="V679" s="36"/>
      <c r="W679" s="36"/>
      <c r="X679" s="36"/>
      <c r="Y679" s="36"/>
      <c r="Z679" s="36"/>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c r="BE679" s="36"/>
      <c r="BF679" s="36"/>
      <c r="BG679" s="36"/>
      <c r="BH679" s="36"/>
      <c r="BI679" s="36"/>
      <c r="BJ679" s="36"/>
      <c r="BK679" s="36"/>
      <c r="BL679" s="36"/>
      <c r="BM679" s="36"/>
      <c r="BN679" s="36"/>
      <c r="BO679" s="36"/>
      <c r="BP679" s="36"/>
      <c r="BQ679" s="36"/>
      <c r="BR679" s="36"/>
      <c r="BS679" s="36"/>
      <c r="BT679" s="36"/>
      <c r="BU679" s="36"/>
      <c r="BV679" s="36"/>
      <c r="BW679" s="36"/>
      <c r="BX679" s="36"/>
      <c r="BY679" s="36"/>
      <c r="BZ679" s="36"/>
      <c r="CA679" s="36"/>
      <c r="CB679" s="36"/>
      <c r="CC679" s="36"/>
      <c r="CD679" s="36"/>
      <c r="CE679" s="36"/>
      <c r="CF679" s="36"/>
      <c r="CG679" s="36"/>
      <c r="CH679" s="36"/>
      <c r="CI679" s="36"/>
      <c r="CJ679" s="36"/>
      <c r="CK679" s="36"/>
      <c r="CL679" s="36"/>
      <c r="CM679" s="36"/>
      <c r="CN679" s="36"/>
      <c r="CO679" s="36"/>
      <c r="CP679" s="36"/>
      <c r="CQ679" s="36"/>
      <c r="CR679" s="36"/>
      <c r="CS679" s="36"/>
      <c r="CT679" s="36"/>
      <c r="CU679" s="36"/>
      <c r="CV679" s="36"/>
      <c r="CW679" s="36"/>
      <c r="CX679" s="36"/>
      <c r="CY679" s="36"/>
      <c r="CZ679" s="36"/>
      <c r="DA679" s="36"/>
      <c r="DB679" s="36"/>
      <c r="DC679" s="36"/>
      <c r="DD679" s="36"/>
      <c r="DE679" s="36"/>
      <c r="DF679" s="36"/>
      <c r="DG679" s="36"/>
      <c r="DH679" s="36"/>
      <c r="DI679" s="36"/>
      <c r="DJ679" s="36"/>
      <c r="DK679" s="36"/>
      <c r="DL679" s="36"/>
      <c r="DM679" s="36"/>
      <c r="DN679" s="36"/>
      <c r="DO679" s="36"/>
      <c r="DP679" s="36"/>
      <c r="DQ679" s="36"/>
      <c r="DR679" s="36"/>
      <c r="DS679" s="36"/>
      <c r="DT679" s="36"/>
      <c r="DU679" s="36"/>
      <c r="DV679" s="36"/>
      <c r="DW679" s="36"/>
      <c r="DX679" s="36"/>
      <c r="DY679" s="36"/>
      <c r="DZ679" s="36"/>
      <c r="EA679" s="36"/>
      <c r="EB679" s="36"/>
      <c r="EC679" s="36"/>
      <c r="ED679" s="36"/>
      <c r="EE679" s="36"/>
      <c r="EF679" s="36"/>
      <c r="EG679" s="36"/>
      <c r="EH679" s="36"/>
      <c r="EI679" s="36"/>
      <c r="EJ679" s="36"/>
      <c r="EK679" s="36"/>
      <c r="EL679" s="36"/>
      <c r="EM679" s="36"/>
      <c r="EN679" s="36"/>
      <c r="EO679" s="36"/>
      <c r="EP679" s="36"/>
      <c r="EQ679" s="36"/>
      <c r="ER679" s="36"/>
      <c r="ES679" s="36"/>
      <c r="ET679" s="36"/>
      <c r="EU679" s="36"/>
      <c r="EV679" s="36"/>
      <c r="EW679" s="36"/>
      <c r="EX679" s="36"/>
      <c r="EY679" s="36"/>
      <c r="EZ679" s="36"/>
      <c r="FA679" s="36"/>
      <c r="FB679" s="36"/>
      <c r="FC679" s="36"/>
      <c r="FD679" s="36"/>
      <c r="FE679" s="36"/>
      <c r="FF679" s="36"/>
      <c r="FG679" s="36"/>
      <c r="FH679" s="36"/>
      <c r="FI679" s="36"/>
      <c r="FJ679" s="36"/>
      <c r="FK679" s="36"/>
      <c r="FL679" s="36"/>
      <c r="FM679" s="36"/>
      <c r="FN679" s="36"/>
      <c r="FO679" s="36"/>
      <c r="FP679" s="36"/>
      <c r="FQ679" s="36"/>
      <c r="FR679" s="36"/>
      <c r="FS679" s="36"/>
      <c r="FT679" s="36"/>
      <c r="FU679" s="36"/>
      <c r="FV679" s="36"/>
      <c r="FW679" s="36"/>
      <c r="FX679" s="36"/>
      <c r="FY679" s="36"/>
      <c r="FZ679" s="36"/>
      <c r="GA679" s="36"/>
      <c r="GB679" s="36"/>
      <c r="GC679" s="36"/>
      <c r="GD679" s="36"/>
      <c r="GE679" s="36"/>
      <c r="GF679" s="36"/>
    </row>
    <row r="680" spans="1:188" s="55" customFormat="1" ht="27.75" customHeight="1" hidden="1">
      <c r="A680" s="138" t="s">
        <v>314</v>
      </c>
      <c r="B680" s="90"/>
      <c r="C680" s="90"/>
      <c r="D680" s="221">
        <v>30</v>
      </c>
      <c r="E680" s="222"/>
      <c r="F680" s="221">
        <v>30</v>
      </c>
      <c r="G680" s="221">
        <v>30</v>
      </c>
      <c r="H680" s="222"/>
      <c r="I680" s="222"/>
      <c r="J680" s="221">
        <v>30</v>
      </c>
      <c r="K680" s="222"/>
      <c r="L680" s="222"/>
      <c r="M680" s="222"/>
      <c r="N680" s="221">
        <v>30</v>
      </c>
      <c r="O680" s="222"/>
      <c r="P680" s="221">
        <v>30</v>
      </c>
      <c r="Q680" s="36"/>
      <c r="R680" s="36"/>
      <c r="S680" s="36"/>
      <c r="T680" s="36"/>
      <c r="U680" s="36"/>
      <c r="V680" s="36"/>
      <c r="W680" s="36"/>
      <c r="X680" s="36"/>
      <c r="Y680" s="36"/>
      <c r="Z680" s="36"/>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c r="BE680" s="36"/>
      <c r="BF680" s="36"/>
      <c r="BG680" s="36"/>
      <c r="BH680" s="36"/>
      <c r="BI680" s="36"/>
      <c r="BJ680" s="36"/>
      <c r="BK680" s="36"/>
      <c r="BL680" s="36"/>
      <c r="BM680" s="36"/>
      <c r="BN680" s="36"/>
      <c r="BO680" s="36"/>
      <c r="BP680" s="36"/>
      <c r="BQ680" s="36"/>
      <c r="BR680" s="36"/>
      <c r="BS680" s="36"/>
      <c r="BT680" s="36"/>
      <c r="BU680" s="36"/>
      <c r="BV680" s="36"/>
      <c r="BW680" s="36"/>
      <c r="BX680" s="36"/>
      <c r="BY680" s="36"/>
      <c r="BZ680" s="36"/>
      <c r="CA680" s="36"/>
      <c r="CB680" s="36"/>
      <c r="CC680" s="36"/>
      <c r="CD680" s="36"/>
      <c r="CE680" s="36"/>
      <c r="CF680" s="36"/>
      <c r="CG680" s="36"/>
      <c r="CH680" s="36"/>
      <c r="CI680" s="36"/>
      <c r="CJ680" s="36"/>
      <c r="CK680" s="36"/>
      <c r="CL680" s="36"/>
      <c r="CM680" s="36"/>
      <c r="CN680" s="36"/>
      <c r="CO680" s="36"/>
      <c r="CP680" s="36"/>
      <c r="CQ680" s="36"/>
      <c r="CR680" s="36"/>
      <c r="CS680" s="36"/>
      <c r="CT680" s="36"/>
      <c r="CU680" s="36"/>
      <c r="CV680" s="36"/>
      <c r="CW680" s="36"/>
      <c r="CX680" s="36"/>
      <c r="CY680" s="36"/>
      <c r="CZ680" s="36"/>
      <c r="DA680" s="36"/>
      <c r="DB680" s="36"/>
      <c r="DC680" s="36"/>
      <c r="DD680" s="36"/>
      <c r="DE680" s="36"/>
      <c r="DF680" s="36"/>
      <c r="DG680" s="36"/>
      <c r="DH680" s="36"/>
      <c r="DI680" s="36"/>
      <c r="DJ680" s="36"/>
      <c r="DK680" s="36"/>
      <c r="DL680" s="36"/>
      <c r="DM680" s="36"/>
      <c r="DN680" s="36"/>
      <c r="DO680" s="36"/>
      <c r="DP680" s="36"/>
      <c r="DQ680" s="36"/>
      <c r="DR680" s="36"/>
      <c r="DS680" s="36"/>
      <c r="DT680" s="36"/>
      <c r="DU680" s="36"/>
      <c r="DV680" s="36"/>
      <c r="DW680" s="36"/>
      <c r="DX680" s="36"/>
      <c r="DY680" s="36"/>
      <c r="DZ680" s="36"/>
      <c r="EA680" s="36"/>
      <c r="EB680" s="36"/>
      <c r="EC680" s="36"/>
      <c r="ED680" s="36"/>
      <c r="EE680" s="36"/>
      <c r="EF680" s="36"/>
      <c r="EG680" s="36"/>
      <c r="EH680" s="36"/>
      <c r="EI680" s="36"/>
      <c r="EJ680" s="36"/>
      <c r="EK680" s="36"/>
      <c r="EL680" s="36"/>
      <c r="EM680" s="36"/>
      <c r="EN680" s="36"/>
      <c r="EO680" s="36"/>
      <c r="EP680" s="36"/>
      <c r="EQ680" s="36"/>
      <c r="ER680" s="36"/>
      <c r="ES680" s="36"/>
      <c r="ET680" s="36"/>
      <c r="EU680" s="36"/>
      <c r="EV680" s="36"/>
      <c r="EW680" s="36"/>
      <c r="EX680" s="36"/>
      <c r="EY680" s="36"/>
      <c r="EZ680" s="36"/>
      <c r="FA680" s="36"/>
      <c r="FB680" s="36"/>
      <c r="FC680" s="36"/>
      <c r="FD680" s="36"/>
      <c r="FE680" s="36"/>
      <c r="FF680" s="36"/>
      <c r="FG680" s="36"/>
      <c r="FH680" s="36"/>
      <c r="FI680" s="36"/>
      <c r="FJ680" s="36"/>
      <c r="FK680" s="36"/>
      <c r="FL680" s="36"/>
      <c r="FM680" s="36"/>
      <c r="FN680" s="36"/>
      <c r="FO680" s="36"/>
      <c r="FP680" s="36"/>
      <c r="FQ680" s="36"/>
      <c r="FR680" s="36"/>
      <c r="FS680" s="36"/>
      <c r="FT680" s="36"/>
      <c r="FU680" s="36"/>
      <c r="FV680" s="36"/>
      <c r="FW680" s="36"/>
      <c r="FX680" s="36"/>
      <c r="FY680" s="36"/>
      <c r="FZ680" s="36"/>
      <c r="GA680" s="36"/>
      <c r="GB680" s="36"/>
      <c r="GC680" s="36"/>
      <c r="GD680" s="36"/>
      <c r="GE680" s="36"/>
      <c r="GF680" s="36"/>
    </row>
    <row r="681" spans="1:188" s="55" customFormat="1" ht="25.5" hidden="1">
      <c r="A681" s="138" t="s">
        <v>362</v>
      </c>
      <c r="B681" s="90"/>
      <c r="C681" s="90"/>
      <c r="D681" s="221">
        <v>30</v>
      </c>
      <c r="E681" s="222"/>
      <c r="F681" s="221">
        <v>30</v>
      </c>
      <c r="G681" s="221">
        <v>30</v>
      </c>
      <c r="H681" s="222"/>
      <c r="I681" s="222"/>
      <c r="J681" s="221">
        <v>30</v>
      </c>
      <c r="K681" s="222"/>
      <c r="L681" s="222"/>
      <c r="M681" s="222"/>
      <c r="N681" s="221">
        <v>30</v>
      </c>
      <c r="O681" s="222"/>
      <c r="P681" s="221">
        <v>30</v>
      </c>
      <c r="Q681" s="36"/>
      <c r="R681" s="36"/>
      <c r="S681" s="36"/>
      <c r="T681" s="36"/>
      <c r="U681" s="36"/>
      <c r="V681" s="36"/>
      <c r="W681" s="36"/>
      <c r="X681" s="36"/>
      <c r="Y681" s="36"/>
      <c r="Z681" s="36"/>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c r="BC681" s="36"/>
      <c r="BD681" s="36"/>
      <c r="BE681" s="36"/>
      <c r="BF681" s="36"/>
      <c r="BG681" s="36"/>
      <c r="BH681" s="36"/>
      <c r="BI681" s="36"/>
      <c r="BJ681" s="36"/>
      <c r="BK681" s="36"/>
      <c r="BL681" s="36"/>
      <c r="BM681" s="36"/>
      <c r="BN681" s="36"/>
      <c r="BO681" s="36"/>
      <c r="BP681" s="36"/>
      <c r="BQ681" s="36"/>
      <c r="BR681" s="36"/>
      <c r="BS681" s="36"/>
      <c r="BT681" s="36"/>
      <c r="BU681" s="36"/>
      <c r="BV681" s="36"/>
      <c r="BW681" s="36"/>
      <c r="BX681" s="36"/>
      <c r="BY681" s="36"/>
      <c r="BZ681" s="36"/>
      <c r="CA681" s="36"/>
      <c r="CB681" s="36"/>
      <c r="CC681" s="36"/>
      <c r="CD681" s="36"/>
      <c r="CE681" s="36"/>
      <c r="CF681" s="36"/>
      <c r="CG681" s="36"/>
      <c r="CH681" s="36"/>
      <c r="CI681" s="36"/>
      <c r="CJ681" s="36"/>
      <c r="CK681" s="36"/>
      <c r="CL681" s="36"/>
      <c r="CM681" s="36"/>
      <c r="CN681" s="36"/>
      <c r="CO681" s="36"/>
      <c r="CP681" s="36"/>
      <c r="CQ681" s="36"/>
      <c r="CR681" s="36"/>
      <c r="CS681" s="36"/>
      <c r="CT681" s="36"/>
      <c r="CU681" s="36"/>
      <c r="CV681" s="36"/>
      <c r="CW681" s="36"/>
      <c r="CX681" s="36"/>
      <c r="CY681" s="36"/>
      <c r="CZ681" s="36"/>
      <c r="DA681" s="36"/>
      <c r="DB681" s="36"/>
      <c r="DC681" s="36"/>
      <c r="DD681" s="36"/>
      <c r="DE681" s="36"/>
      <c r="DF681" s="36"/>
      <c r="DG681" s="36"/>
      <c r="DH681" s="36"/>
      <c r="DI681" s="36"/>
      <c r="DJ681" s="36"/>
      <c r="DK681" s="36"/>
      <c r="DL681" s="36"/>
      <c r="DM681" s="36"/>
      <c r="DN681" s="36"/>
      <c r="DO681" s="36"/>
      <c r="DP681" s="36"/>
      <c r="DQ681" s="36"/>
      <c r="DR681" s="36"/>
      <c r="DS681" s="36"/>
      <c r="DT681" s="36"/>
      <c r="DU681" s="36"/>
      <c r="DV681" s="36"/>
      <c r="DW681" s="36"/>
      <c r="DX681" s="36"/>
      <c r="DY681" s="36"/>
      <c r="DZ681" s="36"/>
      <c r="EA681" s="36"/>
      <c r="EB681" s="36"/>
      <c r="EC681" s="36"/>
      <c r="ED681" s="36"/>
      <c r="EE681" s="36"/>
      <c r="EF681" s="36"/>
      <c r="EG681" s="36"/>
      <c r="EH681" s="36"/>
      <c r="EI681" s="36"/>
      <c r="EJ681" s="36"/>
      <c r="EK681" s="36"/>
      <c r="EL681" s="36"/>
      <c r="EM681" s="36"/>
      <c r="EN681" s="36"/>
      <c r="EO681" s="36"/>
      <c r="EP681" s="36"/>
      <c r="EQ681" s="36"/>
      <c r="ER681" s="36"/>
      <c r="ES681" s="36"/>
      <c r="ET681" s="36"/>
      <c r="EU681" s="36"/>
      <c r="EV681" s="36"/>
      <c r="EW681" s="36"/>
      <c r="EX681" s="36"/>
      <c r="EY681" s="36"/>
      <c r="EZ681" s="36"/>
      <c r="FA681" s="36"/>
      <c r="FB681" s="36"/>
      <c r="FC681" s="36"/>
      <c r="FD681" s="36"/>
      <c r="FE681" s="36"/>
      <c r="FF681" s="36"/>
      <c r="FG681" s="36"/>
      <c r="FH681" s="36"/>
      <c r="FI681" s="36"/>
      <c r="FJ681" s="36"/>
      <c r="FK681" s="36"/>
      <c r="FL681" s="36"/>
      <c r="FM681" s="36"/>
      <c r="FN681" s="36"/>
      <c r="FO681" s="36"/>
      <c r="FP681" s="36"/>
      <c r="FQ681" s="36"/>
      <c r="FR681" s="36"/>
      <c r="FS681" s="36"/>
      <c r="FT681" s="36"/>
      <c r="FU681" s="36"/>
      <c r="FV681" s="36"/>
      <c r="FW681" s="36"/>
      <c r="FX681" s="36"/>
      <c r="FY681" s="36"/>
      <c r="FZ681" s="36"/>
      <c r="GA681" s="36"/>
      <c r="GB681" s="36"/>
      <c r="GC681" s="36"/>
      <c r="GD681" s="36"/>
      <c r="GE681" s="36"/>
      <c r="GF681" s="36"/>
    </row>
    <row r="682" spans="1:188" s="55" customFormat="1" ht="25.5" hidden="1">
      <c r="A682" s="138" t="s">
        <v>363</v>
      </c>
      <c r="B682" s="90"/>
      <c r="C682" s="90"/>
      <c r="D682" s="221">
        <v>90</v>
      </c>
      <c r="E682" s="221"/>
      <c r="F682" s="221">
        <v>90</v>
      </c>
      <c r="G682" s="221">
        <v>90</v>
      </c>
      <c r="H682" s="221"/>
      <c r="I682" s="221"/>
      <c r="J682" s="221">
        <v>90</v>
      </c>
      <c r="K682" s="221"/>
      <c r="L682" s="221"/>
      <c r="M682" s="221"/>
      <c r="N682" s="221">
        <v>90</v>
      </c>
      <c r="O682" s="221"/>
      <c r="P682" s="221">
        <v>90</v>
      </c>
      <c r="Q682" s="36"/>
      <c r="R682" s="36"/>
      <c r="S682" s="36"/>
      <c r="T682" s="36"/>
      <c r="U682" s="36"/>
      <c r="V682" s="36"/>
      <c r="W682" s="36"/>
      <c r="X682" s="36"/>
      <c r="Y682" s="36"/>
      <c r="Z682" s="36"/>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c r="BC682" s="36"/>
      <c r="BD682" s="36"/>
      <c r="BE682" s="36"/>
      <c r="BF682" s="36"/>
      <c r="BG682" s="36"/>
      <c r="BH682" s="36"/>
      <c r="BI682" s="36"/>
      <c r="BJ682" s="36"/>
      <c r="BK682" s="36"/>
      <c r="BL682" s="36"/>
      <c r="BM682" s="36"/>
      <c r="BN682" s="36"/>
      <c r="BO682" s="36"/>
      <c r="BP682" s="36"/>
      <c r="BQ682" s="36"/>
      <c r="BR682" s="36"/>
      <c r="BS682" s="36"/>
      <c r="BT682" s="36"/>
      <c r="BU682" s="36"/>
      <c r="BV682" s="36"/>
      <c r="BW682" s="36"/>
      <c r="BX682" s="36"/>
      <c r="BY682" s="36"/>
      <c r="BZ682" s="36"/>
      <c r="CA682" s="36"/>
      <c r="CB682" s="36"/>
      <c r="CC682" s="36"/>
      <c r="CD682" s="36"/>
      <c r="CE682" s="36"/>
      <c r="CF682" s="36"/>
      <c r="CG682" s="36"/>
      <c r="CH682" s="36"/>
      <c r="CI682" s="36"/>
      <c r="CJ682" s="36"/>
      <c r="CK682" s="36"/>
      <c r="CL682" s="36"/>
      <c r="CM682" s="36"/>
      <c r="CN682" s="36"/>
      <c r="CO682" s="36"/>
      <c r="CP682" s="36"/>
      <c r="CQ682" s="36"/>
      <c r="CR682" s="36"/>
      <c r="CS682" s="36"/>
      <c r="CT682" s="36"/>
      <c r="CU682" s="36"/>
      <c r="CV682" s="36"/>
      <c r="CW682" s="36"/>
      <c r="CX682" s="36"/>
      <c r="CY682" s="36"/>
      <c r="CZ682" s="36"/>
      <c r="DA682" s="36"/>
      <c r="DB682" s="36"/>
      <c r="DC682" s="36"/>
      <c r="DD682" s="36"/>
      <c r="DE682" s="36"/>
      <c r="DF682" s="36"/>
      <c r="DG682" s="36"/>
      <c r="DH682" s="36"/>
      <c r="DI682" s="36"/>
      <c r="DJ682" s="36"/>
      <c r="DK682" s="36"/>
      <c r="DL682" s="36"/>
      <c r="DM682" s="36"/>
      <c r="DN682" s="36"/>
      <c r="DO682" s="36"/>
      <c r="DP682" s="36"/>
      <c r="DQ682" s="36"/>
      <c r="DR682" s="36"/>
      <c r="DS682" s="36"/>
      <c r="DT682" s="36"/>
      <c r="DU682" s="36"/>
      <c r="DV682" s="36"/>
      <c r="DW682" s="36"/>
      <c r="DX682" s="36"/>
      <c r="DY682" s="36"/>
      <c r="DZ682" s="36"/>
      <c r="EA682" s="36"/>
      <c r="EB682" s="36"/>
      <c r="EC682" s="36"/>
      <c r="ED682" s="36"/>
      <c r="EE682" s="36"/>
      <c r="EF682" s="36"/>
      <c r="EG682" s="36"/>
      <c r="EH682" s="36"/>
      <c r="EI682" s="36"/>
      <c r="EJ682" s="36"/>
      <c r="EK682" s="36"/>
      <c r="EL682" s="36"/>
      <c r="EM682" s="36"/>
      <c r="EN682" s="36"/>
      <c r="EO682" s="36"/>
      <c r="EP682" s="36"/>
      <c r="EQ682" s="36"/>
      <c r="ER682" s="36"/>
      <c r="ES682" s="36"/>
      <c r="ET682" s="36"/>
      <c r="EU682" s="36"/>
      <c r="EV682" s="36"/>
      <c r="EW682" s="36"/>
      <c r="EX682" s="36"/>
      <c r="EY682" s="36"/>
      <c r="EZ682" s="36"/>
      <c r="FA682" s="36"/>
      <c r="FB682" s="36"/>
      <c r="FC682" s="36"/>
      <c r="FD682" s="36"/>
      <c r="FE682" s="36"/>
      <c r="FF682" s="36"/>
      <c r="FG682" s="36"/>
      <c r="FH682" s="36"/>
      <c r="FI682" s="36"/>
      <c r="FJ682" s="36"/>
      <c r="FK682" s="36"/>
      <c r="FL682" s="36"/>
      <c r="FM682" s="36"/>
      <c r="FN682" s="36"/>
      <c r="FO682" s="36"/>
      <c r="FP682" s="36"/>
      <c r="FQ682" s="36"/>
      <c r="FR682" s="36"/>
      <c r="FS682" s="36"/>
      <c r="FT682" s="36"/>
      <c r="FU682" s="36"/>
      <c r="FV682" s="36"/>
      <c r="FW682" s="36"/>
      <c r="FX682" s="36"/>
      <c r="FY682" s="36"/>
      <c r="FZ682" s="36"/>
      <c r="GA682" s="36"/>
      <c r="GB682" s="36"/>
      <c r="GC682" s="36"/>
      <c r="GD682" s="36"/>
      <c r="GE682" s="36"/>
      <c r="GF682" s="36"/>
    </row>
    <row r="683" spans="1:188" s="55" customFormat="1" ht="12.75" hidden="1">
      <c r="A683" s="138" t="s">
        <v>364</v>
      </c>
      <c r="B683" s="90"/>
      <c r="C683" s="90"/>
      <c r="D683" s="221">
        <v>12</v>
      </c>
      <c r="E683" s="221"/>
      <c r="F683" s="221">
        <f>D683</f>
        <v>12</v>
      </c>
      <c r="G683" s="221">
        <v>12</v>
      </c>
      <c r="H683" s="222"/>
      <c r="I683" s="222"/>
      <c r="J683" s="221">
        <v>12</v>
      </c>
      <c r="K683" s="222"/>
      <c r="L683" s="222"/>
      <c r="M683" s="222"/>
      <c r="N683" s="221">
        <v>12</v>
      </c>
      <c r="O683" s="222"/>
      <c r="P683" s="221">
        <v>12</v>
      </c>
      <c r="Q683" s="36"/>
      <c r="R683" s="36"/>
      <c r="S683" s="36"/>
      <c r="T683" s="36"/>
      <c r="U683" s="36"/>
      <c r="V683" s="36"/>
      <c r="W683" s="36"/>
      <c r="X683" s="36"/>
      <c r="Y683" s="36"/>
      <c r="Z683" s="36"/>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c r="BC683" s="36"/>
      <c r="BD683" s="36"/>
      <c r="BE683" s="36"/>
      <c r="BF683" s="36"/>
      <c r="BG683" s="36"/>
      <c r="BH683" s="36"/>
      <c r="BI683" s="36"/>
      <c r="BJ683" s="36"/>
      <c r="BK683" s="36"/>
      <c r="BL683" s="36"/>
      <c r="BM683" s="36"/>
      <c r="BN683" s="36"/>
      <c r="BO683" s="36"/>
      <c r="BP683" s="36"/>
      <c r="BQ683" s="36"/>
      <c r="BR683" s="36"/>
      <c r="BS683" s="36"/>
      <c r="BT683" s="36"/>
      <c r="BU683" s="36"/>
      <c r="BV683" s="36"/>
      <c r="BW683" s="36"/>
      <c r="BX683" s="36"/>
      <c r="BY683" s="36"/>
      <c r="BZ683" s="36"/>
      <c r="CA683" s="36"/>
      <c r="CB683" s="36"/>
      <c r="CC683" s="36"/>
      <c r="CD683" s="36"/>
      <c r="CE683" s="36"/>
      <c r="CF683" s="36"/>
      <c r="CG683" s="36"/>
      <c r="CH683" s="36"/>
      <c r="CI683" s="36"/>
      <c r="CJ683" s="36"/>
      <c r="CK683" s="36"/>
      <c r="CL683" s="36"/>
      <c r="CM683" s="36"/>
      <c r="CN683" s="36"/>
      <c r="CO683" s="36"/>
      <c r="CP683" s="36"/>
      <c r="CQ683" s="36"/>
      <c r="CR683" s="36"/>
      <c r="CS683" s="36"/>
      <c r="CT683" s="36"/>
      <c r="CU683" s="36"/>
      <c r="CV683" s="36"/>
      <c r="CW683" s="36"/>
      <c r="CX683" s="36"/>
      <c r="CY683" s="36"/>
      <c r="CZ683" s="36"/>
      <c r="DA683" s="36"/>
      <c r="DB683" s="36"/>
      <c r="DC683" s="36"/>
      <c r="DD683" s="36"/>
      <c r="DE683" s="36"/>
      <c r="DF683" s="36"/>
      <c r="DG683" s="36"/>
      <c r="DH683" s="36"/>
      <c r="DI683" s="36"/>
      <c r="DJ683" s="36"/>
      <c r="DK683" s="36"/>
      <c r="DL683" s="36"/>
      <c r="DM683" s="36"/>
      <c r="DN683" s="36"/>
      <c r="DO683" s="36"/>
      <c r="DP683" s="36"/>
      <c r="DQ683" s="36"/>
      <c r="DR683" s="36"/>
      <c r="DS683" s="36"/>
      <c r="DT683" s="36"/>
      <c r="DU683" s="36"/>
      <c r="DV683" s="36"/>
      <c r="DW683" s="36"/>
      <c r="DX683" s="36"/>
      <c r="DY683" s="36"/>
      <c r="DZ683" s="36"/>
      <c r="EA683" s="36"/>
      <c r="EB683" s="36"/>
      <c r="EC683" s="36"/>
      <c r="ED683" s="36"/>
      <c r="EE683" s="36"/>
      <c r="EF683" s="36"/>
      <c r="EG683" s="36"/>
      <c r="EH683" s="36"/>
      <c r="EI683" s="36"/>
      <c r="EJ683" s="36"/>
      <c r="EK683" s="36"/>
      <c r="EL683" s="36"/>
      <c r="EM683" s="36"/>
      <c r="EN683" s="36"/>
      <c r="EO683" s="36"/>
      <c r="EP683" s="36"/>
      <c r="EQ683" s="36"/>
      <c r="ER683" s="36"/>
      <c r="ES683" s="36"/>
      <c r="ET683" s="36"/>
      <c r="EU683" s="36"/>
      <c r="EV683" s="36"/>
      <c r="EW683" s="36"/>
      <c r="EX683" s="36"/>
      <c r="EY683" s="36"/>
      <c r="EZ683" s="36"/>
      <c r="FA683" s="36"/>
      <c r="FB683" s="36"/>
      <c r="FC683" s="36"/>
      <c r="FD683" s="36"/>
      <c r="FE683" s="36"/>
      <c r="FF683" s="36"/>
      <c r="FG683" s="36"/>
      <c r="FH683" s="36"/>
      <c r="FI683" s="36"/>
      <c r="FJ683" s="36"/>
      <c r="FK683" s="36"/>
      <c r="FL683" s="36"/>
      <c r="FM683" s="36"/>
      <c r="FN683" s="36"/>
      <c r="FO683" s="36"/>
      <c r="FP683" s="36"/>
      <c r="FQ683" s="36"/>
      <c r="FR683" s="36"/>
      <c r="FS683" s="36"/>
      <c r="FT683" s="36"/>
      <c r="FU683" s="36"/>
      <c r="FV683" s="36"/>
      <c r="FW683" s="36"/>
      <c r="FX683" s="36"/>
      <c r="FY683" s="36"/>
      <c r="FZ683" s="36"/>
      <c r="GA683" s="36"/>
      <c r="GB683" s="36"/>
      <c r="GC683" s="36"/>
      <c r="GD683" s="36"/>
      <c r="GE683" s="36"/>
      <c r="GF683" s="36"/>
    </row>
    <row r="684" spans="1:188" s="55" customFormat="1" ht="12.75" hidden="1">
      <c r="A684" s="138" t="s">
        <v>365</v>
      </c>
      <c r="B684" s="90"/>
      <c r="C684" s="90"/>
      <c r="D684" s="221">
        <v>12</v>
      </c>
      <c r="E684" s="221"/>
      <c r="F684" s="221">
        <f>D684</f>
        <v>12</v>
      </c>
      <c r="G684" s="221">
        <v>12</v>
      </c>
      <c r="H684" s="221"/>
      <c r="I684" s="221"/>
      <c r="J684" s="221">
        <v>12</v>
      </c>
      <c r="K684" s="221"/>
      <c r="L684" s="221"/>
      <c r="M684" s="221"/>
      <c r="N684" s="221">
        <v>12</v>
      </c>
      <c r="O684" s="221"/>
      <c r="P684" s="221">
        <v>12</v>
      </c>
      <c r="Q684" s="36"/>
      <c r="R684" s="36"/>
      <c r="S684" s="36"/>
      <c r="T684" s="36"/>
      <c r="U684" s="36"/>
      <c r="V684" s="36"/>
      <c r="W684" s="36"/>
      <c r="X684" s="36"/>
      <c r="Y684" s="36"/>
      <c r="Z684" s="36"/>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c r="BC684" s="36"/>
      <c r="BD684" s="36"/>
      <c r="BE684" s="36"/>
      <c r="BF684" s="36"/>
      <c r="BG684" s="36"/>
      <c r="BH684" s="36"/>
      <c r="BI684" s="36"/>
      <c r="BJ684" s="36"/>
      <c r="BK684" s="36"/>
      <c r="BL684" s="36"/>
      <c r="BM684" s="36"/>
      <c r="BN684" s="36"/>
      <c r="BO684" s="36"/>
      <c r="BP684" s="36"/>
      <c r="BQ684" s="36"/>
      <c r="BR684" s="36"/>
      <c r="BS684" s="36"/>
      <c r="BT684" s="36"/>
      <c r="BU684" s="36"/>
      <c r="BV684" s="36"/>
      <c r="BW684" s="36"/>
      <c r="BX684" s="36"/>
      <c r="BY684" s="36"/>
      <c r="BZ684" s="36"/>
      <c r="CA684" s="36"/>
      <c r="CB684" s="36"/>
      <c r="CC684" s="36"/>
      <c r="CD684" s="36"/>
      <c r="CE684" s="36"/>
      <c r="CF684" s="36"/>
      <c r="CG684" s="36"/>
      <c r="CH684" s="36"/>
      <c r="CI684" s="36"/>
      <c r="CJ684" s="36"/>
      <c r="CK684" s="36"/>
      <c r="CL684" s="36"/>
      <c r="CM684" s="36"/>
      <c r="CN684" s="36"/>
      <c r="CO684" s="36"/>
      <c r="CP684" s="36"/>
      <c r="CQ684" s="36"/>
      <c r="CR684" s="36"/>
      <c r="CS684" s="36"/>
      <c r="CT684" s="36"/>
      <c r="CU684" s="36"/>
      <c r="CV684" s="36"/>
      <c r="CW684" s="36"/>
      <c r="CX684" s="36"/>
      <c r="CY684" s="36"/>
      <c r="CZ684" s="36"/>
      <c r="DA684" s="36"/>
      <c r="DB684" s="36"/>
      <c r="DC684" s="36"/>
      <c r="DD684" s="36"/>
      <c r="DE684" s="36"/>
      <c r="DF684" s="36"/>
      <c r="DG684" s="36"/>
      <c r="DH684" s="36"/>
      <c r="DI684" s="36"/>
      <c r="DJ684" s="36"/>
      <c r="DK684" s="36"/>
      <c r="DL684" s="36"/>
      <c r="DM684" s="36"/>
      <c r="DN684" s="36"/>
      <c r="DO684" s="36"/>
      <c r="DP684" s="36"/>
      <c r="DQ684" s="36"/>
      <c r="DR684" s="36"/>
      <c r="DS684" s="36"/>
      <c r="DT684" s="36"/>
      <c r="DU684" s="36"/>
      <c r="DV684" s="36"/>
      <c r="DW684" s="36"/>
      <c r="DX684" s="36"/>
      <c r="DY684" s="36"/>
      <c r="DZ684" s="36"/>
      <c r="EA684" s="36"/>
      <c r="EB684" s="36"/>
      <c r="EC684" s="36"/>
      <c r="ED684" s="36"/>
      <c r="EE684" s="36"/>
      <c r="EF684" s="36"/>
      <c r="EG684" s="36"/>
      <c r="EH684" s="36"/>
      <c r="EI684" s="36"/>
      <c r="EJ684" s="36"/>
      <c r="EK684" s="36"/>
      <c r="EL684" s="36"/>
      <c r="EM684" s="36"/>
      <c r="EN684" s="36"/>
      <c r="EO684" s="36"/>
      <c r="EP684" s="36"/>
      <c r="EQ684" s="36"/>
      <c r="ER684" s="36"/>
      <c r="ES684" s="36"/>
      <c r="ET684" s="36"/>
      <c r="EU684" s="36"/>
      <c r="EV684" s="36"/>
      <c r="EW684" s="36"/>
      <c r="EX684" s="36"/>
      <c r="EY684" s="36"/>
      <c r="EZ684" s="36"/>
      <c r="FA684" s="36"/>
      <c r="FB684" s="36"/>
      <c r="FC684" s="36"/>
      <c r="FD684" s="36"/>
      <c r="FE684" s="36"/>
      <c r="FF684" s="36"/>
      <c r="FG684" s="36"/>
      <c r="FH684" s="36"/>
      <c r="FI684" s="36"/>
      <c r="FJ684" s="36"/>
      <c r="FK684" s="36"/>
      <c r="FL684" s="36"/>
      <c r="FM684" s="36"/>
      <c r="FN684" s="36"/>
      <c r="FO684" s="36"/>
      <c r="FP684" s="36"/>
      <c r="FQ684" s="36"/>
      <c r="FR684" s="36"/>
      <c r="FS684" s="36"/>
      <c r="FT684" s="36"/>
      <c r="FU684" s="36"/>
      <c r="FV684" s="36"/>
      <c r="FW684" s="36"/>
      <c r="FX684" s="36"/>
      <c r="FY684" s="36"/>
      <c r="FZ684" s="36"/>
      <c r="GA684" s="36"/>
      <c r="GB684" s="36"/>
      <c r="GC684" s="36"/>
      <c r="GD684" s="36"/>
      <c r="GE684" s="36"/>
      <c r="GF684" s="36"/>
    </row>
    <row r="685" spans="1:188" s="55" customFormat="1" ht="12.75" hidden="1">
      <c r="A685" s="142" t="s">
        <v>186</v>
      </c>
      <c r="B685" s="142"/>
      <c r="C685" s="142"/>
      <c r="D685" s="92"/>
      <c r="E685" s="215"/>
      <c r="F685" s="92"/>
      <c r="G685" s="92"/>
      <c r="H685" s="215"/>
      <c r="I685" s="215"/>
      <c r="J685" s="92"/>
      <c r="K685" s="216"/>
      <c r="L685" s="215"/>
      <c r="M685" s="215"/>
      <c r="N685" s="92"/>
      <c r="O685" s="215"/>
      <c r="P685" s="92"/>
      <c r="Q685" s="36"/>
      <c r="R685" s="36"/>
      <c r="S685" s="36"/>
      <c r="T685" s="36"/>
      <c r="U685" s="36"/>
      <c r="V685" s="36"/>
      <c r="W685" s="36"/>
      <c r="X685" s="36"/>
      <c r="Y685" s="36"/>
      <c r="Z685" s="36"/>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c r="BC685" s="36"/>
      <c r="BD685" s="36"/>
      <c r="BE685" s="36"/>
      <c r="BF685" s="36"/>
      <c r="BG685" s="36"/>
      <c r="BH685" s="36"/>
      <c r="BI685" s="36"/>
      <c r="BJ685" s="36"/>
      <c r="BK685" s="36"/>
      <c r="BL685" s="36"/>
      <c r="BM685" s="36"/>
      <c r="BN685" s="36"/>
      <c r="BO685" s="36"/>
      <c r="BP685" s="36"/>
      <c r="BQ685" s="36"/>
      <c r="BR685" s="36"/>
      <c r="BS685" s="36"/>
      <c r="BT685" s="36"/>
      <c r="BU685" s="36"/>
      <c r="BV685" s="36"/>
      <c r="BW685" s="36"/>
      <c r="BX685" s="36"/>
      <c r="BY685" s="36"/>
      <c r="BZ685" s="36"/>
      <c r="CA685" s="36"/>
      <c r="CB685" s="36"/>
      <c r="CC685" s="36"/>
      <c r="CD685" s="36"/>
      <c r="CE685" s="36"/>
      <c r="CF685" s="36"/>
      <c r="CG685" s="36"/>
      <c r="CH685" s="36"/>
      <c r="CI685" s="36"/>
      <c r="CJ685" s="36"/>
      <c r="CK685" s="36"/>
      <c r="CL685" s="36"/>
      <c r="CM685" s="36"/>
      <c r="CN685" s="36"/>
      <c r="CO685" s="36"/>
      <c r="CP685" s="36"/>
      <c r="CQ685" s="36"/>
      <c r="CR685" s="36"/>
      <c r="CS685" s="36"/>
      <c r="CT685" s="36"/>
      <c r="CU685" s="36"/>
      <c r="CV685" s="36"/>
      <c r="CW685" s="36"/>
      <c r="CX685" s="36"/>
      <c r="CY685" s="36"/>
      <c r="CZ685" s="36"/>
      <c r="DA685" s="36"/>
      <c r="DB685" s="36"/>
      <c r="DC685" s="36"/>
      <c r="DD685" s="36"/>
      <c r="DE685" s="36"/>
      <c r="DF685" s="36"/>
      <c r="DG685" s="36"/>
      <c r="DH685" s="36"/>
      <c r="DI685" s="36"/>
      <c r="DJ685" s="36"/>
      <c r="DK685" s="36"/>
      <c r="DL685" s="36"/>
      <c r="DM685" s="36"/>
      <c r="DN685" s="36"/>
      <c r="DO685" s="36"/>
      <c r="DP685" s="36"/>
      <c r="DQ685" s="36"/>
      <c r="DR685" s="36"/>
      <c r="DS685" s="36"/>
      <c r="DT685" s="36"/>
      <c r="DU685" s="36"/>
      <c r="DV685" s="36"/>
      <c r="DW685" s="36"/>
      <c r="DX685" s="36"/>
      <c r="DY685" s="36"/>
      <c r="DZ685" s="36"/>
      <c r="EA685" s="36"/>
      <c r="EB685" s="36"/>
      <c r="EC685" s="36"/>
      <c r="ED685" s="36"/>
      <c r="EE685" s="36"/>
      <c r="EF685" s="36"/>
      <c r="EG685" s="36"/>
      <c r="EH685" s="36"/>
      <c r="EI685" s="36"/>
      <c r="EJ685" s="36"/>
      <c r="EK685" s="36"/>
      <c r="EL685" s="36"/>
      <c r="EM685" s="36"/>
      <c r="EN685" s="36"/>
      <c r="EO685" s="36"/>
      <c r="EP685" s="36"/>
      <c r="EQ685" s="36"/>
      <c r="ER685" s="36"/>
      <c r="ES685" s="36"/>
      <c r="ET685" s="36"/>
      <c r="EU685" s="36"/>
      <c r="EV685" s="36"/>
      <c r="EW685" s="36"/>
      <c r="EX685" s="36"/>
      <c r="EY685" s="36"/>
      <c r="EZ685" s="36"/>
      <c r="FA685" s="36"/>
      <c r="FB685" s="36"/>
      <c r="FC685" s="36"/>
      <c r="FD685" s="36"/>
      <c r="FE685" s="36"/>
      <c r="FF685" s="36"/>
      <c r="FG685" s="36"/>
      <c r="FH685" s="36"/>
      <c r="FI685" s="36"/>
      <c r="FJ685" s="36"/>
      <c r="FK685" s="36"/>
      <c r="FL685" s="36"/>
      <c r="FM685" s="36"/>
      <c r="FN685" s="36"/>
      <c r="FO685" s="36"/>
      <c r="FP685" s="36"/>
      <c r="FQ685" s="36"/>
      <c r="FR685" s="36"/>
      <c r="FS685" s="36"/>
      <c r="FT685" s="36"/>
      <c r="FU685" s="36"/>
      <c r="FV685" s="36"/>
      <c r="FW685" s="36"/>
      <c r="FX685" s="36"/>
      <c r="FY685" s="36"/>
      <c r="FZ685" s="36"/>
      <c r="GA685" s="36"/>
      <c r="GB685" s="36"/>
      <c r="GC685" s="36"/>
      <c r="GD685" s="36"/>
      <c r="GE685" s="36"/>
      <c r="GF685" s="36"/>
    </row>
    <row r="686" spans="1:188" s="55" customFormat="1" ht="25.5" hidden="1">
      <c r="A686" s="90" t="s">
        <v>366</v>
      </c>
      <c r="B686" s="90"/>
      <c r="C686" s="90"/>
      <c r="D686" s="91">
        <v>320</v>
      </c>
      <c r="E686" s="220"/>
      <c r="F686" s="216">
        <f aca="true" t="shared" si="48" ref="F686:F691">D686</f>
        <v>320</v>
      </c>
      <c r="G686" s="91">
        <v>340</v>
      </c>
      <c r="H686" s="220"/>
      <c r="I686" s="220"/>
      <c r="J686" s="216">
        <f aca="true" t="shared" si="49" ref="J686:J691">G686</f>
        <v>340</v>
      </c>
      <c r="K686" s="223"/>
      <c r="L686" s="224"/>
      <c r="M686" s="206"/>
      <c r="N686" s="91">
        <v>375</v>
      </c>
      <c r="O686" s="220"/>
      <c r="P686" s="216">
        <f aca="true" t="shared" si="50" ref="P686:P691">N686</f>
        <v>375</v>
      </c>
      <c r="Q686" s="36"/>
      <c r="R686" s="36"/>
      <c r="S686" s="36"/>
      <c r="T686" s="36"/>
      <c r="U686" s="36"/>
      <c r="V686" s="36"/>
      <c r="W686" s="36"/>
      <c r="X686" s="36"/>
      <c r="Y686" s="36"/>
      <c r="Z686" s="36"/>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c r="BE686" s="36"/>
      <c r="BF686" s="36"/>
      <c r="BG686" s="36"/>
      <c r="BH686" s="36"/>
      <c r="BI686" s="36"/>
      <c r="BJ686" s="36"/>
      <c r="BK686" s="36"/>
      <c r="BL686" s="36"/>
      <c r="BM686" s="36"/>
      <c r="BN686" s="36"/>
      <c r="BO686" s="36"/>
      <c r="BP686" s="36"/>
      <c r="BQ686" s="36"/>
      <c r="BR686" s="36"/>
      <c r="BS686" s="36"/>
      <c r="BT686" s="36"/>
      <c r="BU686" s="36"/>
      <c r="BV686" s="36"/>
      <c r="BW686" s="36"/>
      <c r="BX686" s="36"/>
      <c r="BY686" s="36"/>
      <c r="BZ686" s="36"/>
      <c r="CA686" s="36"/>
      <c r="CB686" s="36"/>
      <c r="CC686" s="36"/>
      <c r="CD686" s="36"/>
      <c r="CE686" s="36"/>
      <c r="CF686" s="36"/>
      <c r="CG686" s="36"/>
      <c r="CH686" s="36"/>
      <c r="CI686" s="36"/>
      <c r="CJ686" s="36"/>
      <c r="CK686" s="36"/>
      <c r="CL686" s="36"/>
      <c r="CM686" s="36"/>
      <c r="CN686" s="36"/>
      <c r="CO686" s="36"/>
      <c r="CP686" s="36"/>
      <c r="CQ686" s="36"/>
      <c r="CR686" s="36"/>
      <c r="CS686" s="36"/>
      <c r="CT686" s="36"/>
      <c r="CU686" s="36"/>
      <c r="CV686" s="36"/>
      <c r="CW686" s="36"/>
      <c r="CX686" s="36"/>
      <c r="CY686" s="36"/>
      <c r="CZ686" s="36"/>
      <c r="DA686" s="36"/>
      <c r="DB686" s="36"/>
      <c r="DC686" s="36"/>
      <c r="DD686" s="36"/>
      <c r="DE686" s="36"/>
      <c r="DF686" s="36"/>
      <c r="DG686" s="36"/>
      <c r="DH686" s="36"/>
      <c r="DI686" s="36"/>
      <c r="DJ686" s="36"/>
      <c r="DK686" s="36"/>
      <c r="DL686" s="36"/>
      <c r="DM686" s="36"/>
      <c r="DN686" s="36"/>
      <c r="DO686" s="36"/>
      <c r="DP686" s="36"/>
      <c r="DQ686" s="36"/>
      <c r="DR686" s="36"/>
      <c r="DS686" s="36"/>
      <c r="DT686" s="36"/>
      <c r="DU686" s="36"/>
      <c r="DV686" s="36"/>
      <c r="DW686" s="36"/>
      <c r="DX686" s="36"/>
      <c r="DY686" s="36"/>
      <c r="DZ686" s="36"/>
      <c r="EA686" s="36"/>
      <c r="EB686" s="36"/>
      <c r="EC686" s="36"/>
      <c r="ED686" s="36"/>
      <c r="EE686" s="36"/>
      <c r="EF686" s="36"/>
      <c r="EG686" s="36"/>
      <c r="EH686" s="36"/>
      <c r="EI686" s="36"/>
      <c r="EJ686" s="36"/>
      <c r="EK686" s="36"/>
      <c r="EL686" s="36"/>
      <c r="EM686" s="36"/>
      <c r="EN686" s="36"/>
      <c r="EO686" s="36"/>
      <c r="EP686" s="36"/>
      <c r="EQ686" s="36"/>
      <c r="ER686" s="36"/>
      <c r="ES686" s="36"/>
      <c r="ET686" s="36"/>
      <c r="EU686" s="36"/>
      <c r="EV686" s="36"/>
      <c r="EW686" s="36"/>
      <c r="EX686" s="36"/>
      <c r="EY686" s="36"/>
      <c r="EZ686" s="36"/>
      <c r="FA686" s="36"/>
      <c r="FB686" s="36"/>
      <c r="FC686" s="36"/>
      <c r="FD686" s="36"/>
      <c r="FE686" s="36"/>
      <c r="FF686" s="36"/>
      <c r="FG686" s="36"/>
      <c r="FH686" s="36"/>
      <c r="FI686" s="36"/>
      <c r="FJ686" s="36"/>
      <c r="FK686" s="36"/>
      <c r="FL686" s="36"/>
      <c r="FM686" s="36"/>
      <c r="FN686" s="36"/>
      <c r="FO686" s="36"/>
      <c r="FP686" s="36"/>
      <c r="FQ686" s="36"/>
      <c r="FR686" s="36"/>
      <c r="FS686" s="36"/>
      <c r="FT686" s="36"/>
      <c r="FU686" s="36"/>
      <c r="FV686" s="36"/>
      <c r="FW686" s="36"/>
      <c r="FX686" s="36"/>
      <c r="FY686" s="36"/>
      <c r="FZ686" s="36"/>
      <c r="GA686" s="36"/>
      <c r="GB686" s="36"/>
      <c r="GC686" s="36"/>
      <c r="GD686" s="36"/>
      <c r="GE686" s="36"/>
      <c r="GF686" s="36"/>
    </row>
    <row r="687" spans="1:188" s="55" customFormat="1" ht="26.25" customHeight="1" hidden="1">
      <c r="A687" s="90" t="s">
        <v>367</v>
      </c>
      <c r="B687" s="90"/>
      <c r="C687" s="90"/>
      <c r="D687" s="91">
        <v>1000</v>
      </c>
      <c r="E687" s="220"/>
      <c r="F687" s="216">
        <f t="shared" si="48"/>
        <v>1000</v>
      </c>
      <c r="G687" s="91">
        <v>1060</v>
      </c>
      <c r="H687" s="220"/>
      <c r="I687" s="220"/>
      <c r="J687" s="216">
        <f t="shared" si="49"/>
        <v>1060</v>
      </c>
      <c r="K687" s="216"/>
      <c r="L687" s="220"/>
      <c r="M687" s="91"/>
      <c r="N687" s="91">
        <v>1170</v>
      </c>
      <c r="O687" s="220"/>
      <c r="P687" s="216">
        <f t="shared" si="50"/>
        <v>1170</v>
      </c>
      <c r="Q687" s="36"/>
      <c r="R687" s="36"/>
      <c r="S687" s="36"/>
      <c r="T687" s="36"/>
      <c r="U687" s="36"/>
      <c r="V687" s="36"/>
      <c r="W687" s="36"/>
      <c r="X687" s="36"/>
      <c r="Y687" s="36"/>
      <c r="Z687" s="36"/>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c r="BC687" s="36"/>
      <c r="BD687" s="36"/>
      <c r="BE687" s="36"/>
      <c r="BF687" s="36"/>
      <c r="BG687" s="36"/>
      <c r="BH687" s="36"/>
      <c r="BI687" s="36"/>
      <c r="BJ687" s="36"/>
      <c r="BK687" s="36"/>
      <c r="BL687" s="36"/>
      <c r="BM687" s="36"/>
      <c r="BN687" s="36"/>
      <c r="BO687" s="36"/>
      <c r="BP687" s="36"/>
      <c r="BQ687" s="36"/>
      <c r="BR687" s="36"/>
      <c r="BS687" s="36"/>
      <c r="BT687" s="36"/>
      <c r="BU687" s="36"/>
      <c r="BV687" s="36"/>
      <c r="BW687" s="36"/>
      <c r="BX687" s="36"/>
      <c r="BY687" s="36"/>
      <c r="BZ687" s="36"/>
      <c r="CA687" s="36"/>
      <c r="CB687" s="36"/>
      <c r="CC687" s="36"/>
      <c r="CD687" s="36"/>
      <c r="CE687" s="36"/>
      <c r="CF687" s="36"/>
      <c r="CG687" s="36"/>
      <c r="CH687" s="36"/>
      <c r="CI687" s="36"/>
      <c r="CJ687" s="36"/>
      <c r="CK687" s="36"/>
      <c r="CL687" s="36"/>
      <c r="CM687" s="36"/>
      <c r="CN687" s="36"/>
      <c r="CO687" s="36"/>
      <c r="CP687" s="36"/>
      <c r="CQ687" s="36"/>
      <c r="CR687" s="36"/>
      <c r="CS687" s="36"/>
      <c r="CT687" s="36"/>
      <c r="CU687" s="36"/>
      <c r="CV687" s="36"/>
      <c r="CW687" s="36"/>
      <c r="CX687" s="36"/>
      <c r="CY687" s="36"/>
      <c r="CZ687" s="36"/>
      <c r="DA687" s="36"/>
      <c r="DB687" s="36"/>
      <c r="DC687" s="36"/>
      <c r="DD687" s="36"/>
      <c r="DE687" s="36"/>
      <c r="DF687" s="36"/>
      <c r="DG687" s="36"/>
      <c r="DH687" s="36"/>
      <c r="DI687" s="36"/>
      <c r="DJ687" s="36"/>
      <c r="DK687" s="36"/>
      <c r="DL687" s="36"/>
      <c r="DM687" s="36"/>
      <c r="DN687" s="36"/>
      <c r="DO687" s="36"/>
      <c r="DP687" s="36"/>
      <c r="DQ687" s="36"/>
      <c r="DR687" s="36"/>
      <c r="DS687" s="36"/>
      <c r="DT687" s="36"/>
      <c r="DU687" s="36"/>
      <c r="DV687" s="36"/>
      <c r="DW687" s="36"/>
      <c r="DX687" s="36"/>
      <c r="DY687" s="36"/>
      <c r="DZ687" s="36"/>
      <c r="EA687" s="36"/>
      <c r="EB687" s="36"/>
      <c r="EC687" s="36"/>
      <c r="ED687" s="36"/>
      <c r="EE687" s="36"/>
      <c r="EF687" s="36"/>
      <c r="EG687" s="36"/>
      <c r="EH687" s="36"/>
      <c r="EI687" s="36"/>
      <c r="EJ687" s="36"/>
      <c r="EK687" s="36"/>
      <c r="EL687" s="36"/>
      <c r="EM687" s="36"/>
      <c r="EN687" s="36"/>
      <c r="EO687" s="36"/>
      <c r="EP687" s="36"/>
      <c r="EQ687" s="36"/>
      <c r="ER687" s="36"/>
      <c r="ES687" s="36"/>
      <c r="ET687" s="36"/>
      <c r="EU687" s="36"/>
      <c r="EV687" s="36"/>
      <c r="EW687" s="36"/>
      <c r="EX687" s="36"/>
      <c r="EY687" s="36"/>
      <c r="EZ687" s="36"/>
      <c r="FA687" s="36"/>
      <c r="FB687" s="36"/>
      <c r="FC687" s="36"/>
      <c r="FD687" s="36"/>
      <c r="FE687" s="36"/>
      <c r="FF687" s="36"/>
      <c r="FG687" s="36"/>
      <c r="FH687" s="36"/>
      <c r="FI687" s="36"/>
      <c r="FJ687" s="36"/>
      <c r="FK687" s="36"/>
      <c r="FL687" s="36"/>
      <c r="FM687" s="36"/>
      <c r="FN687" s="36"/>
      <c r="FO687" s="36"/>
      <c r="FP687" s="36"/>
      <c r="FQ687" s="36"/>
      <c r="FR687" s="36"/>
      <c r="FS687" s="36"/>
      <c r="FT687" s="36"/>
      <c r="FU687" s="36"/>
      <c r="FV687" s="36"/>
      <c r="FW687" s="36"/>
      <c r="FX687" s="36"/>
      <c r="FY687" s="36"/>
      <c r="FZ687" s="36"/>
      <c r="GA687" s="36"/>
      <c r="GB687" s="36"/>
      <c r="GC687" s="36"/>
      <c r="GD687" s="36"/>
      <c r="GE687" s="36"/>
      <c r="GF687" s="36"/>
    </row>
    <row r="688" spans="1:188" s="55" customFormat="1" ht="27.75" customHeight="1" hidden="1">
      <c r="A688" s="90" t="s">
        <v>368</v>
      </c>
      <c r="B688" s="90"/>
      <c r="C688" s="90"/>
      <c r="D688" s="91">
        <v>1775</v>
      </c>
      <c r="E688" s="220"/>
      <c r="F688" s="216">
        <f t="shared" si="48"/>
        <v>1775</v>
      </c>
      <c r="G688" s="91">
        <v>1880</v>
      </c>
      <c r="H688" s="220"/>
      <c r="I688" s="220"/>
      <c r="J688" s="216">
        <f t="shared" si="49"/>
        <v>1880</v>
      </c>
      <c r="K688" s="216"/>
      <c r="L688" s="220"/>
      <c r="M688" s="91"/>
      <c r="N688" s="91">
        <v>2070</v>
      </c>
      <c r="O688" s="220"/>
      <c r="P688" s="216">
        <f t="shared" si="50"/>
        <v>2070</v>
      </c>
      <c r="Q688" s="36"/>
      <c r="R688" s="36"/>
      <c r="S688" s="36"/>
      <c r="T688" s="36"/>
      <c r="U688" s="36"/>
      <c r="V688" s="36"/>
      <c r="W688" s="36"/>
      <c r="X688" s="36"/>
      <c r="Y688" s="36"/>
      <c r="Z688" s="36"/>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c r="BC688" s="36"/>
      <c r="BD688" s="36"/>
      <c r="BE688" s="36"/>
      <c r="BF688" s="36"/>
      <c r="BG688" s="36"/>
      <c r="BH688" s="36"/>
      <c r="BI688" s="36"/>
      <c r="BJ688" s="36"/>
      <c r="BK688" s="36"/>
      <c r="BL688" s="36"/>
      <c r="BM688" s="36"/>
      <c r="BN688" s="36"/>
      <c r="BO688" s="36"/>
      <c r="BP688" s="36"/>
      <c r="BQ688" s="36"/>
      <c r="BR688" s="36"/>
      <c r="BS688" s="36"/>
      <c r="BT688" s="36"/>
      <c r="BU688" s="36"/>
      <c r="BV688" s="36"/>
      <c r="BW688" s="36"/>
      <c r="BX688" s="36"/>
      <c r="BY688" s="36"/>
      <c r="BZ688" s="36"/>
      <c r="CA688" s="36"/>
      <c r="CB688" s="36"/>
      <c r="CC688" s="36"/>
      <c r="CD688" s="36"/>
      <c r="CE688" s="36"/>
      <c r="CF688" s="36"/>
      <c r="CG688" s="36"/>
      <c r="CH688" s="36"/>
      <c r="CI688" s="36"/>
      <c r="CJ688" s="36"/>
      <c r="CK688" s="36"/>
      <c r="CL688" s="36"/>
      <c r="CM688" s="36"/>
      <c r="CN688" s="36"/>
      <c r="CO688" s="36"/>
      <c r="CP688" s="36"/>
      <c r="CQ688" s="36"/>
      <c r="CR688" s="36"/>
      <c r="CS688" s="36"/>
      <c r="CT688" s="36"/>
      <c r="CU688" s="36"/>
      <c r="CV688" s="36"/>
      <c r="CW688" s="36"/>
      <c r="CX688" s="36"/>
      <c r="CY688" s="36"/>
      <c r="CZ688" s="36"/>
      <c r="DA688" s="36"/>
      <c r="DB688" s="36"/>
      <c r="DC688" s="36"/>
      <c r="DD688" s="36"/>
      <c r="DE688" s="36"/>
      <c r="DF688" s="36"/>
      <c r="DG688" s="36"/>
      <c r="DH688" s="36"/>
      <c r="DI688" s="36"/>
      <c r="DJ688" s="36"/>
      <c r="DK688" s="36"/>
      <c r="DL688" s="36"/>
      <c r="DM688" s="36"/>
      <c r="DN688" s="36"/>
      <c r="DO688" s="36"/>
      <c r="DP688" s="36"/>
      <c r="DQ688" s="36"/>
      <c r="DR688" s="36"/>
      <c r="DS688" s="36"/>
      <c r="DT688" s="36"/>
      <c r="DU688" s="36"/>
      <c r="DV688" s="36"/>
      <c r="DW688" s="36"/>
      <c r="DX688" s="36"/>
      <c r="DY688" s="36"/>
      <c r="DZ688" s="36"/>
      <c r="EA688" s="36"/>
      <c r="EB688" s="36"/>
      <c r="EC688" s="36"/>
      <c r="ED688" s="36"/>
      <c r="EE688" s="36"/>
      <c r="EF688" s="36"/>
      <c r="EG688" s="36"/>
      <c r="EH688" s="36"/>
      <c r="EI688" s="36"/>
      <c r="EJ688" s="36"/>
      <c r="EK688" s="36"/>
      <c r="EL688" s="36"/>
      <c r="EM688" s="36"/>
      <c r="EN688" s="36"/>
      <c r="EO688" s="36"/>
      <c r="EP688" s="36"/>
      <c r="EQ688" s="36"/>
      <c r="ER688" s="36"/>
      <c r="ES688" s="36"/>
      <c r="ET688" s="36"/>
      <c r="EU688" s="36"/>
      <c r="EV688" s="36"/>
      <c r="EW688" s="36"/>
      <c r="EX688" s="36"/>
      <c r="EY688" s="36"/>
      <c r="EZ688" s="36"/>
      <c r="FA688" s="36"/>
      <c r="FB688" s="36"/>
      <c r="FC688" s="36"/>
      <c r="FD688" s="36"/>
      <c r="FE688" s="36"/>
      <c r="FF688" s="36"/>
      <c r="FG688" s="36"/>
      <c r="FH688" s="36"/>
      <c r="FI688" s="36"/>
      <c r="FJ688" s="36"/>
      <c r="FK688" s="36"/>
      <c r="FL688" s="36"/>
      <c r="FM688" s="36"/>
      <c r="FN688" s="36"/>
      <c r="FO688" s="36"/>
      <c r="FP688" s="36"/>
      <c r="FQ688" s="36"/>
      <c r="FR688" s="36"/>
      <c r="FS688" s="36"/>
      <c r="FT688" s="36"/>
      <c r="FU688" s="36"/>
      <c r="FV688" s="36"/>
      <c r="FW688" s="36"/>
      <c r="FX688" s="36"/>
      <c r="FY688" s="36"/>
      <c r="FZ688" s="36"/>
      <c r="GA688" s="36"/>
      <c r="GB688" s="36"/>
      <c r="GC688" s="36"/>
      <c r="GD688" s="36"/>
      <c r="GE688" s="36"/>
      <c r="GF688" s="36"/>
    </row>
    <row r="689" spans="1:188" s="55" customFormat="1" ht="28.5" customHeight="1" hidden="1">
      <c r="A689" s="90" t="s">
        <v>369</v>
      </c>
      <c r="B689" s="90"/>
      <c r="C689" s="90"/>
      <c r="D689" s="91">
        <v>370</v>
      </c>
      <c r="E689" s="220"/>
      <c r="F689" s="216">
        <f t="shared" si="48"/>
        <v>370</v>
      </c>
      <c r="G689" s="91">
        <v>395</v>
      </c>
      <c r="H689" s="220"/>
      <c r="I689" s="220"/>
      <c r="J689" s="216">
        <f t="shared" si="49"/>
        <v>395</v>
      </c>
      <c r="K689" s="216"/>
      <c r="L689" s="220"/>
      <c r="M689" s="91"/>
      <c r="N689" s="91">
        <v>435</v>
      </c>
      <c r="O689" s="220"/>
      <c r="P689" s="216">
        <f t="shared" si="50"/>
        <v>435</v>
      </c>
      <c r="Q689" s="36"/>
      <c r="R689" s="36"/>
      <c r="S689" s="36"/>
      <c r="T689" s="36"/>
      <c r="U689" s="36"/>
      <c r="V689" s="36"/>
      <c r="W689" s="36"/>
      <c r="X689" s="36"/>
      <c r="Y689" s="36"/>
      <c r="Z689" s="36"/>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c r="BC689" s="36"/>
      <c r="BD689" s="36"/>
      <c r="BE689" s="36"/>
      <c r="BF689" s="36"/>
      <c r="BG689" s="36"/>
      <c r="BH689" s="36"/>
      <c r="BI689" s="36"/>
      <c r="BJ689" s="36"/>
      <c r="BK689" s="36"/>
      <c r="BL689" s="36"/>
      <c r="BM689" s="36"/>
      <c r="BN689" s="36"/>
      <c r="BO689" s="36"/>
      <c r="BP689" s="36"/>
      <c r="BQ689" s="36"/>
      <c r="BR689" s="36"/>
      <c r="BS689" s="36"/>
      <c r="BT689" s="36"/>
      <c r="BU689" s="36"/>
      <c r="BV689" s="36"/>
      <c r="BW689" s="36"/>
      <c r="BX689" s="36"/>
      <c r="BY689" s="36"/>
      <c r="BZ689" s="36"/>
      <c r="CA689" s="36"/>
      <c r="CB689" s="36"/>
      <c r="CC689" s="36"/>
      <c r="CD689" s="36"/>
      <c r="CE689" s="36"/>
      <c r="CF689" s="36"/>
      <c r="CG689" s="36"/>
      <c r="CH689" s="36"/>
      <c r="CI689" s="36"/>
      <c r="CJ689" s="36"/>
      <c r="CK689" s="36"/>
      <c r="CL689" s="36"/>
      <c r="CM689" s="36"/>
      <c r="CN689" s="36"/>
      <c r="CO689" s="36"/>
      <c r="CP689" s="36"/>
      <c r="CQ689" s="36"/>
      <c r="CR689" s="36"/>
      <c r="CS689" s="36"/>
      <c r="CT689" s="36"/>
      <c r="CU689" s="36"/>
      <c r="CV689" s="36"/>
      <c r="CW689" s="36"/>
      <c r="CX689" s="36"/>
      <c r="CY689" s="36"/>
      <c r="CZ689" s="36"/>
      <c r="DA689" s="36"/>
      <c r="DB689" s="36"/>
      <c r="DC689" s="36"/>
      <c r="DD689" s="36"/>
      <c r="DE689" s="36"/>
      <c r="DF689" s="36"/>
      <c r="DG689" s="36"/>
      <c r="DH689" s="36"/>
      <c r="DI689" s="36"/>
      <c r="DJ689" s="36"/>
      <c r="DK689" s="36"/>
      <c r="DL689" s="36"/>
      <c r="DM689" s="36"/>
      <c r="DN689" s="36"/>
      <c r="DO689" s="36"/>
      <c r="DP689" s="36"/>
      <c r="DQ689" s="36"/>
      <c r="DR689" s="36"/>
      <c r="DS689" s="36"/>
      <c r="DT689" s="36"/>
      <c r="DU689" s="36"/>
      <c r="DV689" s="36"/>
      <c r="DW689" s="36"/>
      <c r="DX689" s="36"/>
      <c r="DY689" s="36"/>
      <c r="DZ689" s="36"/>
      <c r="EA689" s="36"/>
      <c r="EB689" s="36"/>
      <c r="EC689" s="36"/>
      <c r="ED689" s="36"/>
      <c r="EE689" s="36"/>
      <c r="EF689" s="36"/>
      <c r="EG689" s="36"/>
      <c r="EH689" s="36"/>
      <c r="EI689" s="36"/>
      <c r="EJ689" s="36"/>
      <c r="EK689" s="36"/>
      <c r="EL689" s="36"/>
      <c r="EM689" s="36"/>
      <c r="EN689" s="36"/>
      <c r="EO689" s="36"/>
      <c r="EP689" s="36"/>
      <c r="EQ689" s="36"/>
      <c r="ER689" s="36"/>
      <c r="ES689" s="36"/>
      <c r="ET689" s="36"/>
      <c r="EU689" s="36"/>
      <c r="EV689" s="36"/>
      <c r="EW689" s="36"/>
      <c r="EX689" s="36"/>
      <c r="EY689" s="36"/>
      <c r="EZ689" s="36"/>
      <c r="FA689" s="36"/>
      <c r="FB689" s="36"/>
      <c r="FC689" s="36"/>
      <c r="FD689" s="36"/>
      <c r="FE689" s="36"/>
      <c r="FF689" s="36"/>
      <c r="FG689" s="36"/>
      <c r="FH689" s="36"/>
      <c r="FI689" s="36"/>
      <c r="FJ689" s="36"/>
      <c r="FK689" s="36"/>
      <c r="FL689" s="36"/>
      <c r="FM689" s="36"/>
      <c r="FN689" s="36"/>
      <c r="FO689" s="36"/>
      <c r="FP689" s="36"/>
      <c r="FQ689" s="36"/>
      <c r="FR689" s="36"/>
      <c r="FS689" s="36"/>
      <c r="FT689" s="36"/>
      <c r="FU689" s="36"/>
      <c r="FV689" s="36"/>
      <c r="FW689" s="36"/>
      <c r="FX689" s="36"/>
      <c r="FY689" s="36"/>
      <c r="FZ689" s="36"/>
      <c r="GA689" s="36"/>
      <c r="GB689" s="36"/>
      <c r="GC689" s="36"/>
      <c r="GD689" s="36"/>
      <c r="GE689" s="36"/>
      <c r="GF689" s="36"/>
    </row>
    <row r="690" spans="1:188" s="55" customFormat="1" ht="23.25" customHeight="1" hidden="1">
      <c r="A690" s="90" t="s">
        <v>370</v>
      </c>
      <c r="B690" s="90"/>
      <c r="C690" s="90"/>
      <c r="D690" s="91">
        <v>680</v>
      </c>
      <c r="E690" s="220"/>
      <c r="F690" s="216">
        <f t="shared" si="48"/>
        <v>680</v>
      </c>
      <c r="G690" s="91">
        <v>720</v>
      </c>
      <c r="H690" s="220"/>
      <c r="I690" s="220"/>
      <c r="J690" s="216">
        <f t="shared" si="49"/>
        <v>720</v>
      </c>
      <c r="K690" s="216"/>
      <c r="L690" s="220"/>
      <c r="M690" s="91"/>
      <c r="N690" s="91">
        <v>790</v>
      </c>
      <c r="O690" s="220"/>
      <c r="P690" s="216">
        <f t="shared" si="50"/>
        <v>790</v>
      </c>
      <c r="Q690" s="36"/>
      <c r="R690" s="36"/>
      <c r="S690" s="36"/>
      <c r="T690" s="36"/>
      <c r="U690" s="36"/>
      <c r="V690" s="36"/>
      <c r="W690" s="36"/>
      <c r="X690" s="36"/>
      <c r="Y690" s="36"/>
      <c r="Z690" s="36"/>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c r="BC690" s="36"/>
      <c r="BD690" s="36"/>
      <c r="BE690" s="36"/>
      <c r="BF690" s="36"/>
      <c r="BG690" s="36"/>
      <c r="BH690" s="36"/>
      <c r="BI690" s="36"/>
      <c r="BJ690" s="36"/>
      <c r="BK690" s="36"/>
      <c r="BL690" s="36"/>
      <c r="BM690" s="36"/>
      <c r="BN690" s="36"/>
      <c r="BO690" s="36"/>
      <c r="BP690" s="36"/>
      <c r="BQ690" s="36"/>
      <c r="BR690" s="36"/>
      <c r="BS690" s="36"/>
      <c r="BT690" s="36"/>
      <c r="BU690" s="36"/>
      <c r="BV690" s="36"/>
      <c r="BW690" s="36"/>
      <c r="BX690" s="36"/>
      <c r="BY690" s="36"/>
      <c r="BZ690" s="36"/>
      <c r="CA690" s="36"/>
      <c r="CB690" s="36"/>
      <c r="CC690" s="36"/>
      <c r="CD690" s="36"/>
      <c r="CE690" s="36"/>
      <c r="CF690" s="36"/>
      <c r="CG690" s="36"/>
      <c r="CH690" s="36"/>
      <c r="CI690" s="36"/>
      <c r="CJ690" s="36"/>
      <c r="CK690" s="36"/>
      <c r="CL690" s="36"/>
      <c r="CM690" s="36"/>
      <c r="CN690" s="36"/>
      <c r="CO690" s="36"/>
      <c r="CP690" s="36"/>
      <c r="CQ690" s="36"/>
      <c r="CR690" s="36"/>
      <c r="CS690" s="36"/>
      <c r="CT690" s="36"/>
      <c r="CU690" s="36"/>
      <c r="CV690" s="36"/>
      <c r="CW690" s="36"/>
      <c r="CX690" s="36"/>
      <c r="CY690" s="36"/>
      <c r="CZ690" s="36"/>
      <c r="DA690" s="36"/>
      <c r="DB690" s="36"/>
      <c r="DC690" s="36"/>
      <c r="DD690" s="36"/>
      <c r="DE690" s="36"/>
      <c r="DF690" s="36"/>
      <c r="DG690" s="36"/>
      <c r="DH690" s="36"/>
      <c r="DI690" s="36"/>
      <c r="DJ690" s="36"/>
      <c r="DK690" s="36"/>
      <c r="DL690" s="36"/>
      <c r="DM690" s="36"/>
      <c r="DN690" s="36"/>
      <c r="DO690" s="36"/>
      <c r="DP690" s="36"/>
      <c r="DQ690" s="36"/>
      <c r="DR690" s="36"/>
      <c r="DS690" s="36"/>
      <c r="DT690" s="36"/>
      <c r="DU690" s="36"/>
      <c r="DV690" s="36"/>
      <c r="DW690" s="36"/>
      <c r="DX690" s="36"/>
      <c r="DY690" s="36"/>
      <c r="DZ690" s="36"/>
      <c r="EA690" s="36"/>
      <c r="EB690" s="36"/>
      <c r="EC690" s="36"/>
      <c r="ED690" s="36"/>
      <c r="EE690" s="36"/>
      <c r="EF690" s="36"/>
      <c r="EG690" s="36"/>
      <c r="EH690" s="36"/>
      <c r="EI690" s="36"/>
      <c r="EJ690" s="36"/>
      <c r="EK690" s="36"/>
      <c r="EL690" s="36"/>
      <c r="EM690" s="36"/>
      <c r="EN690" s="36"/>
      <c r="EO690" s="36"/>
      <c r="EP690" s="36"/>
      <c r="EQ690" s="36"/>
      <c r="ER690" s="36"/>
      <c r="ES690" s="36"/>
      <c r="ET690" s="36"/>
      <c r="EU690" s="36"/>
      <c r="EV690" s="36"/>
      <c r="EW690" s="36"/>
      <c r="EX690" s="36"/>
      <c r="EY690" s="36"/>
      <c r="EZ690" s="36"/>
      <c r="FA690" s="36"/>
      <c r="FB690" s="36"/>
      <c r="FC690" s="36"/>
      <c r="FD690" s="36"/>
      <c r="FE690" s="36"/>
      <c r="FF690" s="36"/>
      <c r="FG690" s="36"/>
      <c r="FH690" s="36"/>
      <c r="FI690" s="36"/>
      <c r="FJ690" s="36"/>
      <c r="FK690" s="36"/>
      <c r="FL690" s="36"/>
      <c r="FM690" s="36"/>
      <c r="FN690" s="36"/>
      <c r="FO690" s="36"/>
      <c r="FP690" s="36"/>
      <c r="FQ690" s="36"/>
      <c r="FR690" s="36"/>
      <c r="FS690" s="36"/>
      <c r="FT690" s="36"/>
      <c r="FU690" s="36"/>
      <c r="FV690" s="36"/>
      <c r="FW690" s="36"/>
      <c r="FX690" s="36"/>
      <c r="FY690" s="36"/>
      <c r="FZ690" s="36"/>
      <c r="GA690" s="36"/>
      <c r="GB690" s="36"/>
      <c r="GC690" s="36"/>
      <c r="GD690" s="36"/>
      <c r="GE690" s="36"/>
      <c r="GF690" s="36"/>
    </row>
    <row r="691" spans="1:188" s="55" customFormat="1" ht="24" customHeight="1" hidden="1">
      <c r="A691" s="90" t="s">
        <v>371</v>
      </c>
      <c r="B691" s="90"/>
      <c r="C691" s="90"/>
      <c r="D691" s="91">
        <v>160</v>
      </c>
      <c r="E691" s="220"/>
      <c r="F691" s="216">
        <f t="shared" si="48"/>
        <v>160</v>
      </c>
      <c r="G691" s="91">
        <v>176</v>
      </c>
      <c r="H691" s="220"/>
      <c r="I691" s="91"/>
      <c r="J691" s="216">
        <f t="shared" si="49"/>
        <v>176</v>
      </c>
      <c r="K691" s="216"/>
      <c r="L691" s="220"/>
      <c r="M691" s="91"/>
      <c r="N691" s="91">
        <v>190</v>
      </c>
      <c r="O691" s="220"/>
      <c r="P691" s="216">
        <f t="shared" si="50"/>
        <v>190</v>
      </c>
      <c r="Q691" s="36"/>
      <c r="R691" s="36"/>
      <c r="S691" s="36"/>
      <c r="T691" s="36"/>
      <c r="U691" s="36"/>
      <c r="V691" s="36"/>
      <c r="W691" s="36"/>
      <c r="X691" s="36"/>
      <c r="Y691" s="36"/>
      <c r="Z691" s="36"/>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c r="BC691" s="36"/>
      <c r="BD691" s="36"/>
      <c r="BE691" s="36"/>
      <c r="BF691" s="36"/>
      <c r="BG691" s="36"/>
      <c r="BH691" s="36"/>
      <c r="BI691" s="36"/>
      <c r="BJ691" s="36"/>
      <c r="BK691" s="36"/>
      <c r="BL691" s="36"/>
      <c r="BM691" s="36"/>
      <c r="BN691" s="36"/>
      <c r="BO691" s="36"/>
      <c r="BP691" s="36"/>
      <c r="BQ691" s="36"/>
      <c r="BR691" s="36"/>
      <c r="BS691" s="36"/>
      <c r="BT691" s="36"/>
      <c r="BU691" s="36"/>
      <c r="BV691" s="36"/>
      <c r="BW691" s="36"/>
      <c r="BX691" s="36"/>
      <c r="BY691" s="36"/>
      <c r="BZ691" s="36"/>
      <c r="CA691" s="36"/>
      <c r="CB691" s="36"/>
      <c r="CC691" s="36"/>
      <c r="CD691" s="36"/>
      <c r="CE691" s="36"/>
      <c r="CF691" s="36"/>
      <c r="CG691" s="36"/>
      <c r="CH691" s="36"/>
      <c r="CI691" s="36"/>
      <c r="CJ691" s="36"/>
      <c r="CK691" s="36"/>
      <c r="CL691" s="36"/>
      <c r="CM691" s="36"/>
      <c r="CN691" s="36"/>
      <c r="CO691" s="36"/>
      <c r="CP691" s="36"/>
      <c r="CQ691" s="36"/>
      <c r="CR691" s="36"/>
      <c r="CS691" s="36"/>
      <c r="CT691" s="36"/>
      <c r="CU691" s="36"/>
      <c r="CV691" s="36"/>
      <c r="CW691" s="36"/>
      <c r="CX691" s="36"/>
      <c r="CY691" s="36"/>
      <c r="CZ691" s="36"/>
      <c r="DA691" s="36"/>
      <c r="DB691" s="36"/>
      <c r="DC691" s="36"/>
      <c r="DD691" s="36"/>
      <c r="DE691" s="36"/>
      <c r="DF691" s="36"/>
      <c r="DG691" s="36"/>
      <c r="DH691" s="36"/>
      <c r="DI691" s="36"/>
      <c r="DJ691" s="36"/>
      <c r="DK691" s="36"/>
      <c r="DL691" s="36"/>
      <c r="DM691" s="36"/>
      <c r="DN691" s="36"/>
      <c r="DO691" s="36"/>
      <c r="DP691" s="36"/>
      <c r="DQ691" s="36"/>
      <c r="DR691" s="36"/>
      <c r="DS691" s="36"/>
      <c r="DT691" s="36"/>
      <c r="DU691" s="36"/>
      <c r="DV691" s="36"/>
      <c r="DW691" s="36"/>
      <c r="DX691" s="36"/>
      <c r="DY691" s="36"/>
      <c r="DZ691" s="36"/>
      <c r="EA691" s="36"/>
      <c r="EB691" s="36"/>
      <c r="EC691" s="36"/>
      <c r="ED691" s="36"/>
      <c r="EE691" s="36"/>
      <c r="EF691" s="36"/>
      <c r="EG691" s="36"/>
      <c r="EH691" s="36"/>
      <c r="EI691" s="36"/>
      <c r="EJ691" s="36"/>
      <c r="EK691" s="36"/>
      <c r="EL691" s="36"/>
      <c r="EM691" s="36"/>
      <c r="EN691" s="36"/>
      <c r="EO691" s="36"/>
      <c r="EP691" s="36"/>
      <c r="EQ691" s="36"/>
      <c r="ER691" s="36"/>
      <c r="ES691" s="36"/>
      <c r="ET691" s="36"/>
      <c r="EU691" s="36"/>
      <c r="EV691" s="36"/>
      <c r="EW691" s="36"/>
      <c r="EX691" s="36"/>
      <c r="EY691" s="36"/>
      <c r="EZ691" s="36"/>
      <c r="FA691" s="36"/>
      <c r="FB691" s="36"/>
      <c r="FC691" s="36"/>
      <c r="FD691" s="36"/>
      <c r="FE691" s="36"/>
      <c r="FF691" s="36"/>
      <c r="FG691" s="36"/>
      <c r="FH691" s="36"/>
      <c r="FI691" s="36"/>
      <c r="FJ691" s="36"/>
      <c r="FK691" s="36"/>
      <c r="FL691" s="36"/>
      <c r="FM691" s="36"/>
      <c r="FN691" s="36"/>
      <c r="FO691" s="36"/>
      <c r="FP691" s="36"/>
      <c r="FQ691" s="36"/>
      <c r="FR691" s="36"/>
      <c r="FS691" s="36"/>
      <c r="FT691" s="36"/>
      <c r="FU691" s="36"/>
      <c r="FV691" s="36"/>
      <c r="FW691" s="36"/>
      <c r="FX691" s="36"/>
      <c r="FY691" s="36"/>
      <c r="FZ691" s="36"/>
      <c r="GA691" s="36"/>
      <c r="GB691" s="36"/>
      <c r="GC691" s="36"/>
      <c r="GD691" s="36"/>
      <c r="GE691" s="36"/>
      <c r="GF691" s="36"/>
    </row>
    <row r="692" spans="1:16" ht="52.5" customHeight="1" hidden="1">
      <c r="A692" s="90" t="s">
        <v>337</v>
      </c>
      <c r="B692" s="143"/>
      <c r="C692" s="143"/>
      <c r="D692" s="225"/>
      <c r="E692" s="225"/>
      <c r="F692" s="225"/>
      <c r="G692" s="225"/>
      <c r="H692" s="225"/>
      <c r="I692" s="225"/>
      <c r="J692" s="225"/>
      <c r="K692" s="216"/>
      <c r="L692" s="214"/>
      <c r="M692" s="225"/>
      <c r="N692" s="225"/>
      <c r="O692" s="225"/>
      <c r="P692" s="225"/>
    </row>
    <row r="693" spans="1:16" ht="60.75" customHeight="1" hidden="1">
      <c r="A693" s="137" t="s">
        <v>48</v>
      </c>
      <c r="B693" s="141"/>
      <c r="C693" s="141"/>
      <c r="D693" s="213"/>
      <c r="E693" s="213">
        <f>SUM(E695:E698)</f>
        <v>563170</v>
      </c>
      <c r="F693" s="213">
        <f>SUM(F695:F698)</f>
        <v>563170</v>
      </c>
      <c r="G693" s="213"/>
      <c r="H693" s="213">
        <f>SUM(H695:H698)</f>
        <v>597180</v>
      </c>
      <c r="I693" s="213"/>
      <c r="J693" s="213">
        <f>SUM(J695:J698)</f>
        <v>597180</v>
      </c>
      <c r="K693" s="216"/>
      <c r="L693" s="214"/>
      <c r="M693" s="214"/>
      <c r="N693" s="213"/>
      <c r="O693" s="213">
        <f>SUM(O695:O698)</f>
        <v>650440</v>
      </c>
      <c r="P693" s="213">
        <f>SUM(P695:P698)</f>
        <v>650440</v>
      </c>
    </row>
    <row r="694" spans="1:16" ht="13.5" hidden="1">
      <c r="A694" s="142" t="s">
        <v>183</v>
      </c>
      <c r="B694" s="141"/>
      <c r="C694" s="141"/>
      <c r="D694" s="213"/>
      <c r="E694" s="213"/>
      <c r="F694" s="213"/>
      <c r="G694" s="213"/>
      <c r="H694" s="213"/>
      <c r="I694" s="213"/>
      <c r="J694" s="213"/>
      <c r="K694" s="213"/>
      <c r="L694" s="214"/>
      <c r="M694" s="214"/>
      <c r="N694" s="213"/>
      <c r="O694" s="213"/>
      <c r="P694" s="213"/>
    </row>
    <row r="695" spans="1:16" ht="25.5" hidden="1">
      <c r="A695" s="138" t="s">
        <v>338</v>
      </c>
      <c r="B695" s="141"/>
      <c r="C695" s="141"/>
      <c r="D695" s="216"/>
      <c r="E695" s="216">
        <f>E700*E705</f>
        <v>508750</v>
      </c>
      <c r="F695" s="216">
        <f>F700*F705</f>
        <v>508750</v>
      </c>
      <c r="G695" s="216"/>
      <c r="H695" s="216">
        <f>H700*H705</f>
        <v>540000</v>
      </c>
      <c r="I695" s="213"/>
      <c r="J695" s="216">
        <f>J700*J705</f>
        <v>540000</v>
      </c>
      <c r="K695" s="213"/>
      <c r="L695" s="214"/>
      <c r="M695" s="214"/>
      <c r="N695" s="216"/>
      <c r="O695" s="216">
        <f>O700*O705</f>
        <v>587500</v>
      </c>
      <c r="P695" s="216">
        <f>P700*P705</f>
        <v>587500</v>
      </c>
    </row>
    <row r="696" spans="1:16" ht="26.25" customHeight="1" hidden="1">
      <c r="A696" s="138" t="s">
        <v>339</v>
      </c>
      <c r="B696" s="141"/>
      <c r="C696" s="141"/>
      <c r="D696" s="216"/>
      <c r="E696" s="216">
        <f aca="true" t="shared" si="51" ref="E696:F698">E701*E706</f>
        <v>16320</v>
      </c>
      <c r="F696" s="216">
        <f t="shared" si="51"/>
        <v>16320</v>
      </c>
      <c r="G696" s="216"/>
      <c r="H696" s="216">
        <f>H701*H706</f>
        <v>17280</v>
      </c>
      <c r="I696" s="213"/>
      <c r="J696" s="216">
        <f>J701*J706</f>
        <v>17280</v>
      </c>
      <c r="K696" s="213"/>
      <c r="L696" s="214"/>
      <c r="M696" s="214"/>
      <c r="N696" s="216"/>
      <c r="O696" s="216">
        <f aca="true" t="shared" si="52" ref="O696:P698">O701*O706</f>
        <v>18960</v>
      </c>
      <c r="P696" s="216">
        <f t="shared" si="52"/>
        <v>18960</v>
      </c>
    </row>
    <row r="697" spans="1:16" ht="30" customHeight="1" hidden="1">
      <c r="A697" s="138" t="s">
        <v>340</v>
      </c>
      <c r="B697" s="141"/>
      <c r="C697" s="141"/>
      <c r="D697" s="216"/>
      <c r="E697" s="216">
        <f t="shared" si="51"/>
        <v>33300</v>
      </c>
      <c r="F697" s="216">
        <f t="shared" si="51"/>
        <v>33300</v>
      </c>
      <c r="G697" s="216"/>
      <c r="H697" s="216">
        <f>H702*H707</f>
        <v>35100</v>
      </c>
      <c r="I697" s="213"/>
      <c r="J697" s="216">
        <f>J702*J707</f>
        <v>35100</v>
      </c>
      <c r="K697" s="213"/>
      <c r="L697" s="214"/>
      <c r="M697" s="214"/>
      <c r="N697" s="216"/>
      <c r="O697" s="216">
        <f t="shared" si="52"/>
        <v>38700</v>
      </c>
      <c r="P697" s="216">
        <f t="shared" si="52"/>
        <v>38700</v>
      </c>
    </row>
    <row r="698" spans="1:16" ht="33.75" customHeight="1" hidden="1">
      <c r="A698" s="138" t="s">
        <v>341</v>
      </c>
      <c r="B698" s="141"/>
      <c r="C698" s="141"/>
      <c r="D698" s="216"/>
      <c r="E698" s="216">
        <f t="shared" si="51"/>
        <v>4800</v>
      </c>
      <c r="F698" s="216">
        <f t="shared" si="51"/>
        <v>4800</v>
      </c>
      <c r="G698" s="216"/>
      <c r="H698" s="216">
        <f>H703*H708</f>
        <v>4800</v>
      </c>
      <c r="I698" s="216"/>
      <c r="J698" s="216">
        <f>J703*J708</f>
        <v>4800</v>
      </c>
      <c r="K698" s="216"/>
      <c r="L698" s="220"/>
      <c r="M698" s="220"/>
      <c r="N698" s="216"/>
      <c r="O698" s="216">
        <f t="shared" si="52"/>
        <v>5280</v>
      </c>
      <c r="P698" s="216">
        <f t="shared" si="52"/>
        <v>5280</v>
      </c>
    </row>
    <row r="699" spans="1:16" ht="12.75" hidden="1">
      <c r="A699" s="142" t="s">
        <v>184</v>
      </c>
      <c r="B699" s="142"/>
      <c r="C699" s="142"/>
      <c r="D699" s="215"/>
      <c r="E699" s="215"/>
      <c r="F699" s="216"/>
      <c r="G699" s="215"/>
      <c r="H699" s="215"/>
      <c r="I699" s="215"/>
      <c r="J699" s="216"/>
      <c r="K699" s="216"/>
      <c r="L699" s="215"/>
      <c r="M699" s="215"/>
      <c r="N699" s="215"/>
      <c r="O699" s="215"/>
      <c r="P699" s="216"/>
    </row>
    <row r="700" spans="1:16" ht="33" customHeight="1" hidden="1">
      <c r="A700" s="138" t="s">
        <v>316</v>
      </c>
      <c r="B700" s="90"/>
      <c r="C700" s="90"/>
      <c r="D700" s="221"/>
      <c r="E700" s="221">
        <f>60+160+30</f>
        <v>250</v>
      </c>
      <c r="F700" s="221">
        <f>60+160+30</f>
        <v>250</v>
      </c>
      <c r="G700" s="221"/>
      <c r="H700" s="221">
        <f>60+160+30</f>
        <v>250</v>
      </c>
      <c r="I700" s="221"/>
      <c r="J700" s="221">
        <f>60+160+30</f>
        <v>250</v>
      </c>
      <c r="K700" s="221"/>
      <c r="L700" s="221"/>
      <c r="M700" s="221"/>
      <c r="N700" s="221"/>
      <c r="O700" s="221">
        <f>60+160+30</f>
        <v>250</v>
      </c>
      <c r="P700" s="221">
        <f>60+160+30</f>
        <v>250</v>
      </c>
    </row>
    <row r="701" spans="1:16" ht="21.75" customHeight="1" hidden="1">
      <c r="A701" s="138" t="s">
        <v>317</v>
      </c>
      <c r="B701" s="90"/>
      <c r="C701" s="90"/>
      <c r="D701" s="221"/>
      <c r="E701" s="221">
        <v>24</v>
      </c>
      <c r="F701" s="221">
        <v>24</v>
      </c>
      <c r="G701" s="221"/>
      <c r="H701" s="221">
        <v>24</v>
      </c>
      <c r="I701" s="222"/>
      <c r="J701" s="221">
        <v>24</v>
      </c>
      <c r="K701" s="222"/>
      <c r="L701" s="222"/>
      <c r="M701" s="222"/>
      <c r="N701" s="221"/>
      <c r="O701" s="221">
        <v>24</v>
      </c>
      <c r="P701" s="221">
        <v>24</v>
      </c>
    </row>
    <row r="702" spans="1:16" ht="25.5" hidden="1">
      <c r="A702" s="138" t="s">
        <v>318</v>
      </c>
      <c r="B702" s="90"/>
      <c r="C702" s="90"/>
      <c r="D702" s="221"/>
      <c r="E702" s="221">
        <v>90</v>
      </c>
      <c r="F702" s="221">
        <v>90</v>
      </c>
      <c r="G702" s="221"/>
      <c r="H702" s="221">
        <v>90</v>
      </c>
      <c r="I702" s="221"/>
      <c r="J702" s="221">
        <v>90</v>
      </c>
      <c r="K702" s="221"/>
      <c r="L702" s="221"/>
      <c r="M702" s="221"/>
      <c r="N702" s="221"/>
      <c r="O702" s="221">
        <v>90</v>
      </c>
      <c r="P702" s="221">
        <v>90</v>
      </c>
    </row>
    <row r="703" spans="1:16" ht="12.75" hidden="1">
      <c r="A703" s="138" t="s">
        <v>319</v>
      </c>
      <c r="B703" s="90"/>
      <c r="C703" s="90"/>
      <c r="D703" s="221"/>
      <c r="E703" s="221">
        <v>30</v>
      </c>
      <c r="F703" s="221">
        <f>E703</f>
        <v>30</v>
      </c>
      <c r="G703" s="221"/>
      <c r="H703" s="221">
        <v>30</v>
      </c>
      <c r="I703" s="221"/>
      <c r="J703" s="221">
        <v>30</v>
      </c>
      <c r="K703" s="221"/>
      <c r="L703" s="221"/>
      <c r="M703" s="221"/>
      <c r="N703" s="221"/>
      <c r="O703" s="221">
        <v>30</v>
      </c>
      <c r="P703" s="221">
        <v>30</v>
      </c>
    </row>
    <row r="704" spans="1:16" ht="12.75" hidden="1">
      <c r="A704" s="142" t="s">
        <v>186</v>
      </c>
      <c r="B704" s="142"/>
      <c r="C704" s="142"/>
      <c r="D704" s="92"/>
      <c r="E704" s="226"/>
      <c r="F704" s="226"/>
      <c r="G704" s="92"/>
      <c r="H704" s="226"/>
      <c r="I704" s="215"/>
      <c r="J704" s="226"/>
      <c r="K704" s="216"/>
      <c r="L704" s="215"/>
      <c r="M704" s="215"/>
      <c r="N704" s="92"/>
      <c r="O704" s="226"/>
      <c r="P704" s="226"/>
    </row>
    <row r="705" spans="1:16" ht="24" customHeight="1" hidden="1">
      <c r="A705" s="90" t="s">
        <v>342</v>
      </c>
      <c r="B705" s="90"/>
      <c r="C705" s="90"/>
      <c r="D705" s="91"/>
      <c r="E705" s="216">
        <v>2035</v>
      </c>
      <c r="F705" s="216">
        <f>E705</f>
        <v>2035</v>
      </c>
      <c r="G705" s="91"/>
      <c r="H705" s="216">
        <v>2160</v>
      </c>
      <c r="I705" s="220"/>
      <c r="J705" s="216">
        <f>H705</f>
        <v>2160</v>
      </c>
      <c r="K705" s="223"/>
      <c r="L705" s="224"/>
      <c r="M705" s="206"/>
      <c r="N705" s="91"/>
      <c r="O705" s="216">
        <v>2350</v>
      </c>
      <c r="P705" s="216">
        <f>O705</f>
        <v>2350</v>
      </c>
    </row>
    <row r="706" spans="1:16" ht="26.25" customHeight="1" hidden="1">
      <c r="A706" s="90" t="s">
        <v>343</v>
      </c>
      <c r="B706" s="90"/>
      <c r="C706" s="90"/>
      <c r="D706" s="91"/>
      <c r="E706" s="91">
        <v>680</v>
      </c>
      <c r="F706" s="216">
        <f>E706</f>
        <v>680</v>
      </c>
      <c r="G706" s="91"/>
      <c r="H706" s="91">
        <v>720</v>
      </c>
      <c r="I706" s="220"/>
      <c r="J706" s="216">
        <f>H706</f>
        <v>720</v>
      </c>
      <c r="K706" s="216"/>
      <c r="L706" s="220"/>
      <c r="M706" s="91"/>
      <c r="N706" s="91"/>
      <c r="O706" s="91">
        <v>790</v>
      </c>
      <c r="P706" s="216">
        <f>O706</f>
        <v>790</v>
      </c>
    </row>
    <row r="707" spans="1:16" ht="26.25" customHeight="1" hidden="1">
      <c r="A707" s="90" t="s">
        <v>344</v>
      </c>
      <c r="B707" s="90"/>
      <c r="C707" s="90"/>
      <c r="D707" s="91"/>
      <c r="E707" s="91">
        <v>370</v>
      </c>
      <c r="F707" s="216">
        <f>E707</f>
        <v>370</v>
      </c>
      <c r="G707" s="91"/>
      <c r="H707" s="91">
        <v>390</v>
      </c>
      <c r="I707" s="220"/>
      <c r="J707" s="216">
        <f>H707</f>
        <v>390</v>
      </c>
      <c r="K707" s="216"/>
      <c r="L707" s="220"/>
      <c r="M707" s="91"/>
      <c r="N707" s="91"/>
      <c r="O707" s="91">
        <v>430</v>
      </c>
      <c r="P707" s="216">
        <f>O707</f>
        <v>430</v>
      </c>
    </row>
    <row r="708" spans="1:16" ht="30.75" customHeight="1" hidden="1">
      <c r="A708" s="144" t="s">
        <v>345</v>
      </c>
      <c r="B708" s="144"/>
      <c r="C708" s="144"/>
      <c r="D708" s="227"/>
      <c r="E708" s="227">
        <v>160</v>
      </c>
      <c r="F708" s="228">
        <f>E708</f>
        <v>160</v>
      </c>
      <c r="G708" s="227"/>
      <c r="H708" s="227">
        <v>160</v>
      </c>
      <c r="I708" s="227"/>
      <c r="J708" s="228">
        <f>H708</f>
        <v>160</v>
      </c>
      <c r="K708" s="228"/>
      <c r="L708" s="229"/>
      <c r="M708" s="227"/>
      <c r="N708" s="227"/>
      <c r="O708" s="227">
        <v>176</v>
      </c>
      <c r="P708" s="228">
        <f>O708</f>
        <v>176</v>
      </c>
    </row>
    <row r="709" spans="1:16" ht="27" hidden="1">
      <c r="A709" s="145" t="s">
        <v>346</v>
      </c>
      <c r="B709" s="230"/>
      <c r="C709" s="230"/>
      <c r="D709" s="231"/>
      <c r="E709" s="231">
        <f>E711</f>
        <v>73200</v>
      </c>
      <c r="F709" s="231">
        <f>E709</f>
        <v>73200</v>
      </c>
      <c r="G709" s="231"/>
      <c r="H709" s="231">
        <f>H711</f>
        <v>79200</v>
      </c>
      <c r="I709" s="231"/>
      <c r="J709" s="231">
        <f>H709</f>
        <v>79200</v>
      </c>
      <c r="K709" s="231"/>
      <c r="L709" s="232"/>
      <c r="M709" s="232"/>
      <c r="N709" s="231"/>
      <c r="O709" s="231">
        <f>O711</f>
        <v>82800</v>
      </c>
      <c r="P709" s="231">
        <f>O709</f>
        <v>82800</v>
      </c>
    </row>
    <row r="710" spans="1:16" ht="13.5" hidden="1">
      <c r="A710" s="146" t="s">
        <v>183</v>
      </c>
      <c r="B710" s="230"/>
      <c r="C710" s="230"/>
      <c r="D710" s="231"/>
      <c r="E710" s="231"/>
      <c r="F710" s="231"/>
      <c r="G710" s="231"/>
      <c r="H710" s="231"/>
      <c r="I710" s="231"/>
      <c r="J710" s="231"/>
      <c r="K710" s="231"/>
      <c r="L710" s="232"/>
      <c r="M710" s="232"/>
      <c r="N710" s="231"/>
      <c r="O710" s="231"/>
      <c r="P710" s="231"/>
    </row>
    <row r="711" spans="1:16" ht="13.5" hidden="1">
      <c r="A711" s="134" t="s">
        <v>347</v>
      </c>
      <c r="B711" s="230"/>
      <c r="C711" s="230"/>
      <c r="D711" s="233"/>
      <c r="E711" s="233">
        <f>E713*E715</f>
        <v>73200</v>
      </c>
      <c r="F711" s="233">
        <f>E711</f>
        <v>73200</v>
      </c>
      <c r="G711" s="233"/>
      <c r="H711" s="233">
        <f>H713*H715</f>
        <v>79200</v>
      </c>
      <c r="I711" s="234"/>
      <c r="J711" s="233">
        <f>H711</f>
        <v>79200</v>
      </c>
      <c r="K711" s="234"/>
      <c r="L711" s="235"/>
      <c r="M711" s="235"/>
      <c r="N711" s="233"/>
      <c r="O711" s="233">
        <f>O713*O715</f>
        <v>82800</v>
      </c>
      <c r="P711" s="233">
        <f>O711</f>
        <v>82800</v>
      </c>
    </row>
    <row r="712" spans="1:16" ht="15" customHeight="1" hidden="1">
      <c r="A712" s="146" t="s">
        <v>184</v>
      </c>
      <c r="B712" s="236"/>
      <c r="C712" s="236"/>
      <c r="D712" s="235"/>
      <c r="E712" s="235"/>
      <c r="F712" s="233"/>
      <c r="G712" s="235"/>
      <c r="H712" s="235"/>
      <c r="I712" s="235"/>
      <c r="J712" s="233"/>
      <c r="K712" s="233"/>
      <c r="L712" s="235"/>
      <c r="M712" s="235"/>
      <c r="N712" s="235"/>
      <c r="O712" s="235"/>
      <c r="P712" s="233"/>
    </row>
    <row r="713" spans="1:16" ht="15" customHeight="1" hidden="1">
      <c r="A713" s="147" t="s">
        <v>348</v>
      </c>
      <c r="B713" s="237"/>
      <c r="C713" s="237"/>
      <c r="D713" s="238"/>
      <c r="E713" s="239">
        <v>12</v>
      </c>
      <c r="F713" s="239">
        <f>E713</f>
        <v>12</v>
      </c>
      <c r="G713" s="239"/>
      <c r="H713" s="239">
        <v>12</v>
      </c>
      <c r="I713" s="239"/>
      <c r="J713" s="239">
        <f>H713</f>
        <v>12</v>
      </c>
      <c r="K713" s="239" t="e">
        <f>G713/D713*100</f>
        <v>#DIV/0!</v>
      </c>
      <c r="L713" s="239"/>
      <c r="M713" s="239"/>
      <c r="N713" s="239"/>
      <c r="O713" s="239">
        <v>12</v>
      </c>
      <c r="P713" s="239">
        <f>O713</f>
        <v>12</v>
      </c>
    </row>
    <row r="714" spans="1:16" ht="14.25" customHeight="1" hidden="1">
      <c r="A714" s="146" t="s">
        <v>186</v>
      </c>
      <c r="B714" s="236"/>
      <c r="C714" s="236"/>
      <c r="D714" s="235"/>
      <c r="E714" s="235"/>
      <c r="F714" s="233"/>
      <c r="G714" s="235"/>
      <c r="H714" s="235"/>
      <c r="I714" s="235"/>
      <c r="J714" s="233"/>
      <c r="K714" s="233"/>
      <c r="L714" s="235"/>
      <c r="M714" s="235"/>
      <c r="N714" s="235"/>
      <c r="O714" s="235"/>
      <c r="P714" s="233"/>
    </row>
    <row r="715" spans="1:102" s="54" customFormat="1" ht="12.75" hidden="1">
      <c r="A715" s="147" t="s">
        <v>349</v>
      </c>
      <c r="B715" s="240"/>
      <c r="C715" s="240"/>
      <c r="D715" s="117"/>
      <c r="E715" s="117">
        <v>6100</v>
      </c>
      <c r="F715" s="233">
        <f>E715</f>
        <v>6100</v>
      </c>
      <c r="G715" s="117"/>
      <c r="H715" s="117">
        <v>6600</v>
      </c>
      <c r="I715" s="117"/>
      <c r="J715" s="233">
        <f>H715</f>
        <v>6600</v>
      </c>
      <c r="K715" s="233" t="e">
        <f>G715/D715*100</f>
        <v>#DIV/0!</v>
      </c>
      <c r="L715" s="241"/>
      <c r="M715" s="117"/>
      <c r="N715" s="117"/>
      <c r="O715" s="117">
        <v>6900</v>
      </c>
      <c r="P715" s="233">
        <f>O715</f>
        <v>6900</v>
      </c>
      <c r="Q715" s="53"/>
      <c r="R715" s="53"/>
      <c r="S715" s="53"/>
      <c r="T715" s="53"/>
      <c r="U715" s="53"/>
      <c r="V715" s="53"/>
      <c r="W715" s="53"/>
      <c r="X715" s="53"/>
      <c r="Y715" s="53"/>
      <c r="Z715" s="53"/>
      <c r="AA715" s="53"/>
      <c r="AB715" s="53"/>
      <c r="AC715" s="53"/>
      <c r="AD715" s="53"/>
      <c r="AE715" s="53"/>
      <c r="AF715" s="53"/>
      <c r="AG715" s="53"/>
      <c r="AH715" s="53"/>
      <c r="AI715" s="53"/>
      <c r="AJ715" s="53"/>
      <c r="AK715" s="53"/>
      <c r="AL715" s="53"/>
      <c r="AM715" s="53"/>
      <c r="AN715" s="53"/>
      <c r="AO715" s="53"/>
      <c r="AP715" s="53"/>
      <c r="AQ715" s="53"/>
      <c r="AR715" s="53"/>
      <c r="AS715" s="53"/>
      <c r="AT715" s="53"/>
      <c r="AU715" s="53"/>
      <c r="AV715" s="53"/>
      <c r="AW715" s="53"/>
      <c r="AX715" s="53"/>
      <c r="AY715" s="53"/>
      <c r="AZ715" s="53"/>
      <c r="BA715" s="53"/>
      <c r="BB715" s="53"/>
      <c r="BC715" s="53"/>
      <c r="BD715" s="53"/>
      <c r="BE715" s="53"/>
      <c r="BF715" s="53"/>
      <c r="BG715" s="53"/>
      <c r="BH715" s="53"/>
      <c r="BI715" s="53"/>
      <c r="BJ715" s="53"/>
      <c r="BK715" s="53"/>
      <c r="BL715" s="53"/>
      <c r="BM715" s="53"/>
      <c r="BN715" s="53"/>
      <c r="BO715" s="53"/>
      <c r="BP715" s="53"/>
      <c r="BQ715" s="53"/>
      <c r="BR715" s="53"/>
      <c r="BS715" s="53"/>
      <c r="BT715" s="53"/>
      <c r="BU715" s="53"/>
      <c r="BV715" s="53"/>
      <c r="BW715" s="53"/>
      <c r="BX715" s="53"/>
      <c r="BY715" s="53"/>
      <c r="BZ715" s="53"/>
      <c r="CA715" s="53"/>
      <c r="CB715" s="53"/>
      <c r="CC715" s="53"/>
      <c r="CD715" s="53"/>
      <c r="CE715" s="53"/>
      <c r="CF715" s="53"/>
      <c r="CG715" s="53"/>
      <c r="CH715" s="53"/>
      <c r="CI715" s="53"/>
      <c r="CJ715" s="53"/>
      <c r="CK715" s="53"/>
      <c r="CL715" s="53"/>
      <c r="CM715" s="53"/>
      <c r="CN715" s="53"/>
      <c r="CO715" s="53"/>
      <c r="CP715" s="53"/>
      <c r="CQ715" s="53"/>
      <c r="CR715" s="53"/>
      <c r="CS715" s="53"/>
      <c r="CT715" s="53"/>
      <c r="CU715" s="53"/>
      <c r="CV715" s="53"/>
      <c r="CW715" s="53"/>
      <c r="CX715" s="53"/>
    </row>
    <row r="716" spans="1:102" s="84" customFormat="1" ht="32.25" customHeight="1" hidden="1">
      <c r="A716" s="73" t="s">
        <v>72</v>
      </c>
      <c r="B716" s="82"/>
      <c r="C716" s="82"/>
      <c r="D716" s="86">
        <f>D718</f>
        <v>0</v>
      </c>
      <c r="E716" s="86">
        <f aca="true" t="shared" si="53" ref="E716:P716">E718</f>
        <v>0</v>
      </c>
      <c r="F716" s="86">
        <f t="shared" si="53"/>
        <v>0</v>
      </c>
      <c r="G716" s="86">
        <f t="shared" si="53"/>
        <v>0</v>
      </c>
      <c r="H716" s="86">
        <f t="shared" si="53"/>
        <v>0</v>
      </c>
      <c r="I716" s="86">
        <f t="shared" si="53"/>
        <v>0</v>
      </c>
      <c r="J716" s="86">
        <f t="shared" si="53"/>
        <v>0</v>
      </c>
      <c r="K716" s="86">
        <f t="shared" si="53"/>
        <v>0</v>
      </c>
      <c r="L716" s="86">
        <f t="shared" si="53"/>
        <v>0</v>
      </c>
      <c r="M716" s="86">
        <f t="shared" si="53"/>
        <v>0</v>
      </c>
      <c r="N716" s="86">
        <f t="shared" si="53"/>
        <v>0</v>
      </c>
      <c r="O716" s="86">
        <f t="shared" si="53"/>
        <v>0</v>
      </c>
      <c r="P716" s="86">
        <f t="shared" si="53"/>
        <v>0</v>
      </c>
      <c r="Q716" s="83"/>
      <c r="R716" s="83"/>
      <c r="S716" s="83"/>
      <c r="T716" s="83"/>
      <c r="U716" s="83"/>
      <c r="V716" s="83"/>
      <c r="W716" s="83"/>
      <c r="X716" s="83"/>
      <c r="Y716" s="83"/>
      <c r="Z716" s="83"/>
      <c r="AA716" s="83"/>
      <c r="AB716" s="83"/>
      <c r="AC716" s="83"/>
      <c r="AD716" s="83"/>
      <c r="AE716" s="83"/>
      <c r="AF716" s="83"/>
      <c r="AG716" s="83"/>
      <c r="AH716" s="83"/>
      <c r="AI716" s="83"/>
      <c r="AJ716" s="83"/>
      <c r="AK716" s="83"/>
      <c r="AL716" s="83"/>
      <c r="AM716" s="83"/>
      <c r="AN716" s="83"/>
      <c r="AO716" s="83"/>
      <c r="AP716" s="83"/>
      <c r="AQ716" s="83"/>
      <c r="AR716" s="83"/>
      <c r="AS716" s="83"/>
      <c r="AT716" s="83"/>
      <c r="AU716" s="83"/>
      <c r="AV716" s="83"/>
      <c r="AW716" s="83"/>
      <c r="AX716" s="83"/>
      <c r="AY716" s="83"/>
      <c r="AZ716" s="83"/>
      <c r="BA716" s="83"/>
      <c r="BB716" s="83"/>
      <c r="BC716" s="83"/>
      <c r="BD716" s="83"/>
      <c r="BE716" s="83"/>
      <c r="BF716" s="83"/>
      <c r="BG716" s="83"/>
      <c r="BH716" s="83"/>
      <c r="BI716" s="83"/>
      <c r="BJ716" s="83"/>
      <c r="BK716" s="83"/>
      <c r="BL716" s="83"/>
      <c r="BM716" s="83"/>
      <c r="BN716" s="83"/>
      <c r="BO716" s="83"/>
      <c r="BP716" s="83"/>
      <c r="BQ716" s="83"/>
      <c r="BR716" s="83"/>
      <c r="BS716" s="83"/>
      <c r="BT716" s="83"/>
      <c r="BU716" s="83"/>
      <c r="BV716" s="83"/>
      <c r="BW716" s="83"/>
      <c r="BX716" s="83"/>
      <c r="BY716" s="83"/>
      <c r="BZ716" s="83"/>
      <c r="CA716" s="83"/>
      <c r="CB716" s="83"/>
      <c r="CC716" s="83"/>
      <c r="CD716" s="83"/>
      <c r="CE716" s="83"/>
      <c r="CF716" s="83"/>
      <c r="CG716" s="83"/>
      <c r="CH716" s="83"/>
      <c r="CI716" s="83"/>
      <c r="CJ716" s="83"/>
      <c r="CK716" s="83"/>
      <c r="CL716" s="83"/>
      <c r="CM716" s="83"/>
      <c r="CN716" s="83"/>
      <c r="CO716" s="83"/>
      <c r="CP716" s="83"/>
      <c r="CQ716" s="83"/>
      <c r="CR716" s="83"/>
      <c r="CS716" s="83"/>
      <c r="CT716" s="83"/>
      <c r="CU716" s="83"/>
      <c r="CV716" s="83"/>
      <c r="CW716" s="83"/>
      <c r="CX716" s="83"/>
    </row>
    <row r="717" spans="1:102" s="94" customFormat="1" ht="12.75" hidden="1">
      <c r="A717" s="138" t="s">
        <v>77</v>
      </c>
      <c r="B717" s="90"/>
      <c r="C717" s="90"/>
      <c r="D717" s="91"/>
      <c r="E717" s="92"/>
      <c r="F717" s="92"/>
      <c r="G717" s="92"/>
      <c r="H717" s="92"/>
      <c r="I717" s="92"/>
      <c r="J717" s="92"/>
      <c r="K717" s="92"/>
      <c r="L717" s="92"/>
      <c r="M717" s="92"/>
      <c r="N717" s="92"/>
      <c r="O717" s="92"/>
      <c r="P717" s="92"/>
      <c r="Q717" s="93"/>
      <c r="R717" s="93"/>
      <c r="S717" s="93"/>
      <c r="T717" s="93"/>
      <c r="U717" s="93"/>
      <c r="V717" s="93"/>
      <c r="W717" s="93"/>
      <c r="X717" s="93"/>
      <c r="Y717" s="93"/>
      <c r="Z717" s="93"/>
      <c r="AA717" s="93"/>
      <c r="AB717" s="93"/>
      <c r="AC717" s="93"/>
      <c r="AD717" s="93"/>
      <c r="AE717" s="93"/>
      <c r="AF717" s="93"/>
      <c r="AG717" s="93"/>
      <c r="AH717" s="93"/>
      <c r="AI717" s="93"/>
      <c r="AJ717" s="93"/>
      <c r="AK717" s="93"/>
      <c r="AL717" s="93"/>
      <c r="AM717" s="93"/>
      <c r="AN717" s="93"/>
      <c r="AO717" s="93"/>
      <c r="AP717" s="93"/>
      <c r="AQ717" s="93"/>
      <c r="AR717" s="93"/>
      <c r="AS717" s="93"/>
      <c r="AT717" s="93"/>
      <c r="AU717" s="93"/>
      <c r="AV717" s="93"/>
      <c r="AW717" s="93"/>
      <c r="AX717" s="93"/>
      <c r="AY717" s="93"/>
      <c r="AZ717" s="93"/>
      <c r="BA717" s="93"/>
      <c r="BB717" s="93"/>
      <c r="BC717" s="93"/>
      <c r="BD717" s="93"/>
      <c r="BE717" s="93"/>
      <c r="BF717" s="93"/>
      <c r="BG717" s="93"/>
      <c r="BH717" s="93"/>
      <c r="BI717" s="93"/>
      <c r="BJ717" s="93"/>
      <c r="BK717" s="93"/>
      <c r="BL717" s="93"/>
      <c r="BM717" s="93"/>
      <c r="BN717" s="93"/>
      <c r="BO717" s="93"/>
      <c r="BP717" s="93"/>
      <c r="BQ717" s="93"/>
      <c r="BR717" s="93"/>
      <c r="BS717" s="93"/>
      <c r="BT717" s="93"/>
      <c r="BU717" s="93"/>
      <c r="BV717" s="93"/>
      <c r="BW717" s="93"/>
      <c r="BX717" s="93"/>
      <c r="BY717" s="93"/>
      <c r="BZ717" s="93"/>
      <c r="CA717" s="93"/>
      <c r="CB717" s="93"/>
      <c r="CC717" s="93"/>
      <c r="CD717" s="93"/>
      <c r="CE717" s="93"/>
      <c r="CF717" s="93"/>
      <c r="CG717" s="93"/>
      <c r="CH717" s="93"/>
      <c r="CI717" s="93"/>
      <c r="CJ717" s="93"/>
      <c r="CK717" s="93"/>
      <c r="CL717" s="93"/>
      <c r="CM717" s="93"/>
      <c r="CN717" s="93"/>
      <c r="CO717" s="93"/>
      <c r="CP717" s="93"/>
      <c r="CQ717" s="93"/>
      <c r="CR717" s="93"/>
      <c r="CS717" s="93"/>
      <c r="CT717" s="93"/>
      <c r="CU717" s="93"/>
      <c r="CV717" s="93"/>
      <c r="CW717" s="93"/>
      <c r="CX717" s="93"/>
    </row>
    <row r="718" spans="1:102" s="71" customFormat="1" ht="32.25" customHeight="1" hidden="1">
      <c r="A718" s="113" t="s">
        <v>78</v>
      </c>
      <c r="B718" s="87"/>
      <c r="C718" s="87"/>
      <c r="D718" s="105">
        <f>D719</f>
        <v>0</v>
      </c>
      <c r="E718" s="105">
        <f>E719</f>
        <v>0</v>
      </c>
      <c r="F718" s="105">
        <f>D718+E718</f>
        <v>0</v>
      </c>
      <c r="G718" s="105">
        <f>G719</f>
        <v>0</v>
      </c>
      <c r="H718" s="105">
        <f>H719</f>
        <v>0</v>
      </c>
      <c r="I718" s="105">
        <f>I719+I726</f>
        <v>0</v>
      </c>
      <c r="J718" s="105">
        <f>G718+H718</f>
        <v>0</v>
      </c>
      <c r="K718" s="105">
        <f>K719+K726</f>
        <v>0</v>
      </c>
      <c r="L718" s="105">
        <f>L719+L726</f>
        <v>0</v>
      </c>
      <c r="M718" s="105">
        <f>M719+M726</f>
        <v>0</v>
      </c>
      <c r="N718" s="105">
        <f>N719</f>
        <v>0</v>
      </c>
      <c r="O718" s="105">
        <f>O719</f>
        <v>0</v>
      </c>
      <c r="P718" s="105">
        <f>N718+O718</f>
        <v>0</v>
      </c>
      <c r="Q718" s="70"/>
      <c r="R718" s="70"/>
      <c r="S718" s="70"/>
      <c r="T718" s="70"/>
      <c r="U718" s="70"/>
      <c r="V718" s="70"/>
      <c r="W718" s="70"/>
      <c r="X718" s="70"/>
      <c r="Y718" s="70"/>
      <c r="Z718" s="70"/>
      <c r="AA718" s="70"/>
      <c r="AB718" s="70"/>
      <c r="AC718" s="70"/>
      <c r="AD718" s="70"/>
      <c r="AE718" s="70"/>
      <c r="AF718" s="70"/>
      <c r="AG718" s="70"/>
      <c r="AH718" s="70"/>
      <c r="AI718" s="70"/>
      <c r="AJ718" s="70"/>
      <c r="AK718" s="70"/>
      <c r="AL718" s="70"/>
      <c r="AM718" s="70"/>
      <c r="AN718" s="70"/>
      <c r="AO718" s="70"/>
      <c r="AP718" s="70"/>
      <c r="AQ718" s="70"/>
      <c r="AR718" s="70"/>
      <c r="AS718" s="70"/>
      <c r="AT718" s="70"/>
      <c r="AU718" s="70"/>
      <c r="AV718" s="70"/>
      <c r="AW718" s="70"/>
      <c r="AX718" s="70"/>
      <c r="AY718" s="70"/>
      <c r="AZ718" s="70"/>
      <c r="BA718" s="70"/>
      <c r="BB718" s="70"/>
      <c r="BC718" s="70"/>
      <c r="BD718" s="70"/>
      <c r="BE718" s="70"/>
      <c r="BF718" s="70"/>
      <c r="BG718" s="70"/>
      <c r="BH718" s="70"/>
      <c r="BI718" s="70"/>
      <c r="BJ718" s="70"/>
      <c r="BK718" s="70"/>
      <c r="BL718" s="70"/>
      <c r="BM718" s="70"/>
      <c r="BN718" s="70"/>
      <c r="BO718" s="70"/>
      <c r="BP718" s="70"/>
      <c r="BQ718" s="70"/>
      <c r="BR718" s="70"/>
      <c r="BS718" s="70"/>
      <c r="BT718" s="70"/>
      <c r="BU718" s="70"/>
      <c r="BV718" s="70"/>
      <c r="BW718" s="70"/>
      <c r="BX718" s="70"/>
      <c r="BY718" s="70"/>
      <c r="BZ718" s="70"/>
      <c r="CA718" s="70"/>
      <c r="CB718" s="70"/>
      <c r="CC718" s="70"/>
      <c r="CD718" s="70"/>
      <c r="CE718" s="70"/>
      <c r="CF718" s="70"/>
      <c r="CG718" s="70"/>
      <c r="CH718" s="70"/>
      <c r="CI718" s="70"/>
      <c r="CJ718" s="70"/>
      <c r="CK718" s="70"/>
      <c r="CL718" s="70"/>
      <c r="CM718" s="70"/>
      <c r="CN718" s="70"/>
      <c r="CO718" s="70"/>
      <c r="CP718" s="70"/>
      <c r="CQ718" s="70"/>
      <c r="CR718" s="70"/>
      <c r="CS718" s="70"/>
      <c r="CT718" s="70"/>
      <c r="CU718" s="70"/>
      <c r="CV718" s="70"/>
      <c r="CW718" s="70"/>
      <c r="CX718" s="70"/>
    </row>
    <row r="719" spans="1:102" s="11" customFormat="1" ht="27" hidden="1">
      <c r="A719" s="137" t="s">
        <v>79</v>
      </c>
      <c r="B719" s="145"/>
      <c r="C719" s="145"/>
      <c r="D719" s="205">
        <f>D723*D725</f>
        <v>0</v>
      </c>
      <c r="E719" s="205"/>
      <c r="F719" s="205">
        <f>E719</f>
        <v>0</v>
      </c>
      <c r="G719" s="205"/>
      <c r="H719" s="205"/>
      <c r="I719" s="205"/>
      <c r="J719" s="205">
        <f>H719</f>
        <v>0</v>
      </c>
      <c r="K719" s="205"/>
      <c r="L719" s="205"/>
      <c r="M719" s="205"/>
      <c r="N719" s="205"/>
      <c r="O719" s="205"/>
      <c r="P719" s="205">
        <f>O719</f>
        <v>0</v>
      </c>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10"/>
      <c r="BO719" s="10"/>
      <c r="BP719" s="10"/>
      <c r="BQ719" s="10"/>
      <c r="BR719" s="10"/>
      <c r="BS719" s="10"/>
      <c r="BT719" s="10"/>
      <c r="BU719" s="10"/>
      <c r="BV719" s="10"/>
      <c r="BW719" s="10"/>
      <c r="BX719" s="10"/>
      <c r="BY719" s="10"/>
      <c r="BZ719" s="10"/>
      <c r="CA719" s="10"/>
      <c r="CB719" s="10"/>
      <c r="CC719" s="10"/>
      <c r="CD719" s="10"/>
      <c r="CE719" s="10"/>
      <c r="CF719" s="10"/>
      <c r="CG719" s="10"/>
      <c r="CH719" s="10"/>
      <c r="CI719" s="10"/>
      <c r="CJ719" s="10"/>
      <c r="CK719" s="10"/>
      <c r="CL719" s="10"/>
      <c r="CM719" s="10"/>
      <c r="CN719" s="10"/>
      <c r="CO719" s="10"/>
      <c r="CP719" s="10"/>
      <c r="CQ719" s="10"/>
      <c r="CR719" s="10"/>
      <c r="CS719" s="10"/>
      <c r="CT719" s="10"/>
      <c r="CU719" s="10"/>
      <c r="CV719" s="10"/>
      <c r="CW719" s="10"/>
      <c r="CX719" s="10"/>
    </row>
    <row r="720" spans="1:102" s="11" customFormat="1" ht="13.5" hidden="1">
      <c r="A720" s="148" t="s">
        <v>183</v>
      </c>
      <c r="B720" s="145"/>
      <c r="C720" s="145"/>
      <c r="D720" s="205"/>
      <c r="E720" s="205"/>
      <c r="F720" s="205"/>
      <c r="G720" s="205"/>
      <c r="H720" s="205"/>
      <c r="I720" s="205"/>
      <c r="J720" s="205"/>
      <c r="K720" s="205"/>
      <c r="L720" s="205"/>
      <c r="M720" s="205"/>
      <c r="N720" s="205"/>
      <c r="O720" s="205"/>
      <c r="P720" s="205"/>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10"/>
      <c r="CD720" s="10"/>
      <c r="CE720" s="10"/>
      <c r="CF720" s="10"/>
      <c r="CG720" s="10"/>
      <c r="CH720" s="10"/>
      <c r="CI720" s="10"/>
      <c r="CJ720" s="10"/>
      <c r="CK720" s="10"/>
      <c r="CL720" s="10"/>
      <c r="CM720" s="10"/>
      <c r="CN720" s="10"/>
      <c r="CO720" s="10"/>
      <c r="CP720" s="10"/>
      <c r="CQ720" s="10"/>
      <c r="CR720" s="10"/>
      <c r="CS720" s="10"/>
      <c r="CT720" s="10"/>
      <c r="CU720" s="10"/>
      <c r="CV720" s="10"/>
      <c r="CW720" s="10"/>
      <c r="CX720" s="10"/>
    </row>
    <row r="721" spans="1:102" s="11" customFormat="1" ht="26.25" hidden="1">
      <c r="A721" s="149" t="s">
        <v>560</v>
      </c>
      <c r="B721" s="145"/>
      <c r="C721" s="145"/>
      <c r="D721" s="205"/>
      <c r="E721" s="205"/>
      <c r="F721" s="205"/>
      <c r="G721" s="205"/>
      <c r="H721" s="205"/>
      <c r="I721" s="205"/>
      <c r="J721" s="205"/>
      <c r="K721" s="205"/>
      <c r="L721" s="205"/>
      <c r="M721" s="205"/>
      <c r="N721" s="205"/>
      <c r="O721" s="205"/>
      <c r="P721" s="205"/>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c r="BZ721" s="10"/>
      <c r="CA721" s="10"/>
      <c r="CB721" s="10"/>
      <c r="CC721" s="10"/>
      <c r="CD721" s="10"/>
      <c r="CE721" s="10"/>
      <c r="CF721" s="10"/>
      <c r="CG721" s="10"/>
      <c r="CH721" s="10"/>
      <c r="CI721" s="10"/>
      <c r="CJ721" s="10"/>
      <c r="CK721" s="10"/>
      <c r="CL721" s="10"/>
      <c r="CM721" s="10"/>
      <c r="CN721" s="10"/>
      <c r="CO721" s="10"/>
      <c r="CP721" s="10"/>
      <c r="CQ721" s="10"/>
      <c r="CR721" s="10"/>
      <c r="CS721" s="10"/>
      <c r="CT721" s="10"/>
      <c r="CU721" s="10"/>
      <c r="CV721" s="10"/>
      <c r="CW721" s="10"/>
      <c r="CX721" s="10"/>
    </row>
    <row r="722" spans="1:16" ht="16.5" customHeight="1" hidden="1">
      <c r="A722" s="133" t="s">
        <v>184</v>
      </c>
      <c r="B722" s="147"/>
      <c r="C722" s="147"/>
      <c r="D722" s="117"/>
      <c r="E722" s="117"/>
      <c r="F722" s="117"/>
      <c r="G722" s="117"/>
      <c r="H722" s="117"/>
      <c r="I722" s="117"/>
      <c r="J722" s="117"/>
      <c r="K722" s="117"/>
      <c r="L722" s="117"/>
      <c r="M722" s="117"/>
      <c r="N722" s="117"/>
      <c r="O722" s="117"/>
      <c r="P722" s="117"/>
    </row>
    <row r="723" spans="1:16" ht="12.75" hidden="1">
      <c r="A723" s="134" t="s">
        <v>75</v>
      </c>
      <c r="B723" s="147"/>
      <c r="C723" s="147"/>
      <c r="D723" s="117"/>
      <c r="E723" s="242"/>
      <c r="F723" s="242">
        <f>E723</f>
        <v>0</v>
      </c>
      <c r="G723" s="117"/>
      <c r="H723" s="242"/>
      <c r="I723" s="242"/>
      <c r="J723" s="242">
        <f>H723</f>
        <v>0</v>
      </c>
      <c r="K723" s="242"/>
      <c r="L723" s="242"/>
      <c r="M723" s="242"/>
      <c r="N723" s="242"/>
      <c r="O723" s="242"/>
      <c r="P723" s="242">
        <v>0</v>
      </c>
    </row>
    <row r="724" spans="1:16" ht="17.25" customHeight="1" hidden="1">
      <c r="A724" s="146" t="s">
        <v>186</v>
      </c>
      <c r="B724" s="147"/>
      <c r="C724" s="147"/>
      <c r="D724" s="117"/>
      <c r="E724" s="117"/>
      <c r="F724" s="117"/>
      <c r="G724" s="117"/>
      <c r="H724" s="117"/>
      <c r="I724" s="117"/>
      <c r="J724" s="117"/>
      <c r="K724" s="117"/>
      <c r="L724" s="117"/>
      <c r="M724" s="117"/>
      <c r="N724" s="117"/>
      <c r="O724" s="117"/>
      <c r="P724" s="117"/>
    </row>
    <row r="725" spans="1:16" ht="22.5" customHeight="1" hidden="1">
      <c r="A725" s="134" t="s">
        <v>76</v>
      </c>
      <c r="B725" s="147"/>
      <c r="C725" s="147"/>
      <c r="D725" s="117"/>
      <c r="E725" s="117"/>
      <c r="F725" s="117">
        <f>E725</f>
        <v>0</v>
      </c>
      <c r="G725" s="117"/>
      <c r="H725" s="117"/>
      <c r="I725" s="117"/>
      <c r="J725" s="117">
        <f>H725</f>
        <v>0</v>
      </c>
      <c r="K725" s="117"/>
      <c r="L725" s="117"/>
      <c r="M725" s="117"/>
      <c r="N725" s="117"/>
      <c r="O725" s="117"/>
      <c r="P725" s="117">
        <v>0</v>
      </c>
    </row>
    <row r="726" spans="1:102" s="84" customFormat="1" ht="32.25" customHeight="1" hidden="1">
      <c r="A726" s="73" t="s">
        <v>315</v>
      </c>
      <c r="B726" s="82"/>
      <c r="C726" s="82"/>
      <c r="D726" s="86">
        <f>D728</f>
        <v>0</v>
      </c>
      <c r="E726" s="86">
        <f aca="true" t="shared" si="54" ref="E726:P726">E728</f>
        <v>855700</v>
      </c>
      <c r="F726" s="86">
        <f t="shared" si="54"/>
        <v>855700</v>
      </c>
      <c r="G726" s="86">
        <f t="shared" si="54"/>
        <v>0</v>
      </c>
      <c r="H726" s="86">
        <f t="shared" si="54"/>
        <v>2368500</v>
      </c>
      <c r="I726" s="86">
        <f t="shared" si="54"/>
        <v>0</v>
      </c>
      <c r="J726" s="86">
        <f t="shared" si="54"/>
        <v>2368500</v>
      </c>
      <c r="K726" s="86">
        <f t="shared" si="54"/>
        <v>0</v>
      </c>
      <c r="L726" s="86">
        <f t="shared" si="54"/>
        <v>0</v>
      </c>
      <c r="M726" s="86">
        <f t="shared" si="54"/>
        <v>0</v>
      </c>
      <c r="N726" s="86">
        <f t="shared" si="54"/>
        <v>0</v>
      </c>
      <c r="O726" s="86">
        <f t="shared" si="54"/>
        <v>2487000</v>
      </c>
      <c r="P726" s="86">
        <f t="shared" si="54"/>
        <v>2487000</v>
      </c>
      <c r="Q726" s="83"/>
      <c r="R726" s="83"/>
      <c r="S726" s="83"/>
      <c r="T726" s="83"/>
      <c r="U726" s="83"/>
      <c r="V726" s="83"/>
      <c r="W726" s="83"/>
      <c r="X726" s="83"/>
      <c r="Y726" s="83"/>
      <c r="Z726" s="83"/>
      <c r="AA726" s="83"/>
      <c r="AB726" s="83"/>
      <c r="AC726" s="83"/>
      <c r="AD726" s="83"/>
      <c r="AE726" s="83"/>
      <c r="AF726" s="83"/>
      <c r="AG726" s="83"/>
      <c r="AH726" s="83"/>
      <c r="AI726" s="83"/>
      <c r="AJ726" s="83"/>
      <c r="AK726" s="83"/>
      <c r="AL726" s="83"/>
      <c r="AM726" s="83"/>
      <c r="AN726" s="83"/>
      <c r="AO726" s="83"/>
      <c r="AP726" s="83"/>
      <c r="AQ726" s="83"/>
      <c r="AR726" s="83"/>
      <c r="AS726" s="83"/>
      <c r="AT726" s="83"/>
      <c r="AU726" s="83"/>
      <c r="AV726" s="83"/>
      <c r="AW726" s="83"/>
      <c r="AX726" s="83"/>
      <c r="AY726" s="83"/>
      <c r="AZ726" s="83"/>
      <c r="BA726" s="83"/>
      <c r="BB726" s="83"/>
      <c r="BC726" s="83"/>
      <c r="BD726" s="83"/>
      <c r="BE726" s="83"/>
      <c r="BF726" s="83"/>
      <c r="BG726" s="83"/>
      <c r="BH726" s="83"/>
      <c r="BI726" s="83"/>
      <c r="BJ726" s="83"/>
      <c r="BK726" s="83"/>
      <c r="BL726" s="83"/>
      <c r="BM726" s="83"/>
      <c r="BN726" s="83"/>
      <c r="BO726" s="83"/>
      <c r="BP726" s="83"/>
      <c r="BQ726" s="83"/>
      <c r="BR726" s="83"/>
      <c r="BS726" s="83"/>
      <c r="BT726" s="83"/>
      <c r="BU726" s="83"/>
      <c r="BV726" s="83"/>
      <c r="BW726" s="83"/>
      <c r="BX726" s="83"/>
      <c r="BY726" s="83"/>
      <c r="BZ726" s="83"/>
      <c r="CA726" s="83"/>
      <c r="CB726" s="83"/>
      <c r="CC726" s="83"/>
      <c r="CD726" s="83"/>
      <c r="CE726" s="83"/>
      <c r="CF726" s="83"/>
      <c r="CG726" s="83"/>
      <c r="CH726" s="83"/>
      <c r="CI726" s="83"/>
      <c r="CJ726" s="83"/>
      <c r="CK726" s="83"/>
      <c r="CL726" s="83"/>
      <c r="CM726" s="83"/>
      <c r="CN726" s="83"/>
      <c r="CO726" s="83"/>
      <c r="CP726" s="83"/>
      <c r="CQ726" s="83"/>
      <c r="CR726" s="83"/>
      <c r="CS726" s="83"/>
      <c r="CT726" s="83"/>
      <c r="CU726" s="83"/>
      <c r="CV726" s="83"/>
      <c r="CW726" s="83"/>
      <c r="CX726" s="83"/>
    </row>
    <row r="727" spans="1:102" s="94" customFormat="1" ht="32.25" customHeight="1" hidden="1">
      <c r="A727" s="138" t="s">
        <v>414</v>
      </c>
      <c r="B727" s="90"/>
      <c r="C727" s="90"/>
      <c r="D727" s="91"/>
      <c r="E727" s="92"/>
      <c r="F727" s="92"/>
      <c r="G727" s="92"/>
      <c r="H727" s="92"/>
      <c r="I727" s="92"/>
      <c r="J727" s="92"/>
      <c r="K727" s="92"/>
      <c r="L727" s="92"/>
      <c r="M727" s="92"/>
      <c r="N727" s="92"/>
      <c r="O727" s="92"/>
      <c r="P727" s="92"/>
      <c r="Q727" s="93"/>
      <c r="R727" s="93"/>
      <c r="S727" s="93"/>
      <c r="T727" s="93"/>
      <c r="U727" s="93"/>
      <c r="V727" s="93"/>
      <c r="W727" s="93"/>
      <c r="X727" s="93"/>
      <c r="Y727" s="93"/>
      <c r="Z727" s="93"/>
      <c r="AA727" s="93"/>
      <c r="AB727" s="93"/>
      <c r="AC727" s="93"/>
      <c r="AD727" s="93"/>
      <c r="AE727" s="93"/>
      <c r="AF727" s="93"/>
      <c r="AG727" s="93"/>
      <c r="AH727" s="93"/>
      <c r="AI727" s="93"/>
      <c r="AJ727" s="93"/>
      <c r="AK727" s="93"/>
      <c r="AL727" s="93"/>
      <c r="AM727" s="93"/>
      <c r="AN727" s="93"/>
      <c r="AO727" s="93"/>
      <c r="AP727" s="93"/>
      <c r="AQ727" s="93"/>
      <c r="AR727" s="93"/>
      <c r="AS727" s="93"/>
      <c r="AT727" s="93"/>
      <c r="AU727" s="93"/>
      <c r="AV727" s="93"/>
      <c r="AW727" s="93"/>
      <c r="AX727" s="93"/>
      <c r="AY727" s="93"/>
      <c r="AZ727" s="93"/>
      <c r="BA727" s="93"/>
      <c r="BB727" s="93"/>
      <c r="BC727" s="93"/>
      <c r="BD727" s="93"/>
      <c r="BE727" s="93"/>
      <c r="BF727" s="93"/>
      <c r="BG727" s="93"/>
      <c r="BH727" s="93"/>
      <c r="BI727" s="93"/>
      <c r="BJ727" s="93"/>
      <c r="BK727" s="93"/>
      <c r="BL727" s="93"/>
      <c r="BM727" s="93"/>
      <c r="BN727" s="93"/>
      <c r="BO727" s="93"/>
      <c r="BP727" s="93"/>
      <c r="BQ727" s="93"/>
      <c r="BR727" s="93"/>
      <c r="BS727" s="93"/>
      <c r="BT727" s="93"/>
      <c r="BU727" s="93"/>
      <c r="BV727" s="93"/>
      <c r="BW727" s="93"/>
      <c r="BX727" s="93"/>
      <c r="BY727" s="93"/>
      <c r="BZ727" s="93"/>
      <c r="CA727" s="93"/>
      <c r="CB727" s="93"/>
      <c r="CC727" s="93"/>
      <c r="CD727" s="93"/>
      <c r="CE727" s="93"/>
      <c r="CF727" s="93"/>
      <c r="CG727" s="93"/>
      <c r="CH727" s="93"/>
      <c r="CI727" s="93"/>
      <c r="CJ727" s="93"/>
      <c r="CK727" s="93"/>
      <c r="CL727" s="93"/>
      <c r="CM727" s="93"/>
      <c r="CN727" s="93"/>
      <c r="CO727" s="93"/>
      <c r="CP727" s="93"/>
      <c r="CQ727" s="93"/>
      <c r="CR727" s="93"/>
      <c r="CS727" s="93"/>
      <c r="CT727" s="93"/>
      <c r="CU727" s="93"/>
      <c r="CV727" s="93"/>
      <c r="CW727" s="93"/>
      <c r="CX727" s="93"/>
    </row>
    <row r="728" spans="1:102" s="71" customFormat="1" ht="12.75" hidden="1">
      <c r="A728" s="68" t="s">
        <v>73</v>
      </c>
      <c r="B728" s="87"/>
      <c r="C728" s="87"/>
      <c r="D728" s="89">
        <f>D729+D736</f>
        <v>0</v>
      </c>
      <c r="E728" s="89">
        <f>E729+E736</f>
        <v>855700</v>
      </c>
      <c r="F728" s="89">
        <f>D728+E728</f>
        <v>855700</v>
      </c>
      <c r="G728" s="89">
        <f>G729+G736</f>
        <v>0</v>
      </c>
      <c r="H728" s="89">
        <f>H729+H736</f>
        <v>2368500</v>
      </c>
      <c r="I728" s="89">
        <f>I729+I736</f>
        <v>0</v>
      </c>
      <c r="J728" s="89">
        <f>G728+H728</f>
        <v>2368500</v>
      </c>
      <c r="K728" s="89">
        <f>K729+K736</f>
        <v>0</v>
      </c>
      <c r="L728" s="89">
        <f>L729+L736</f>
        <v>0</v>
      </c>
      <c r="M728" s="89">
        <f>M729+M736</f>
        <v>0</v>
      </c>
      <c r="N728" s="89">
        <f>N729+N736</f>
        <v>0</v>
      </c>
      <c r="O728" s="89">
        <f>O729+O736</f>
        <v>2487000</v>
      </c>
      <c r="P728" s="89">
        <f>N728+O728</f>
        <v>2487000</v>
      </c>
      <c r="Q728" s="70"/>
      <c r="R728" s="70"/>
      <c r="S728" s="70"/>
      <c r="T728" s="70"/>
      <c r="U728" s="70"/>
      <c r="V728" s="70"/>
      <c r="W728" s="70"/>
      <c r="X728" s="70"/>
      <c r="Y728" s="70"/>
      <c r="Z728" s="70"/>
      <c r="AA728" s="70"/>
      <c r="AB728" s="70"/>
      <c r="AC728" s="70"/>
      <c r="AD728" s="70"/>
      <c r="AE728" s="70"/>
      <c r="AF728" s="70"/>
      <c r="AG728" s="70"/>
      <c r="AH728" s="70"/>
      <c r="AI728" s="70"/>
      <c r="AJ728" s="70"/>
      <c r="AK728" s="70"/>
      <c r="AL728" s="70"/>
      <c r="AM728" s="70"/>
      <c r="AN728" s="70"/>
      <c r="AO728" s="70"/>
      <c r="AP728" s="70"/>
      <c r="AQ728" s="70"/>
      <c r="AR728" s="70"/>
      <c r="AS728" s="70"/>
      <c r="AT728" s="70"/>
      <c r="AU728" s="70"/>
      <c r="AV728" s="70"/>
      <c r="AW728" s="70"/>
      <c r="AX728" s="70"/>
      <c r="AY728" s="70"/>
      <c r="AZ728" s="70"/>
      <c r="BA728" s="70"/>
      <c r="BB728" s="70"/>
      <c r="BC728" s="70"/>
      <c r="BD728" s="70"/>
      <c r="BE728" s="70"/>
      <c r="BF728" s="70"/>
      <c r="BG728" s="70"/>
      <c r="BH728" s="70"/>
      <c r="BI728" s="70"/>
      <c r="BJ728" s="70"/>
      <c r="BK728" s="70"/>
      <c r="BL728" s="70"/>
      <c r="BM728" s="70"/>
      <c r="BN728" s="70"/>
      <c r="BO728" s="70"/>
      <c r="BP728" s="70"/>
      <c r="BQ728" s="70"/>
      <c r="BR728" s="70"/>
      <c r="BS728" s="70"/>
      <c r="BT728" s="70"/>
      <c r="BU728" s="70"/>
      <c r="BV728" s="70"/>
      <c r="BW728" s="70"/>
      <c r="BX728" s="70"/>
      <c r="BY728" s="70"/>
      <c r="BZ728" s="70"/>
      <c r="CA728" s="70"/>
      <c r="CB728" s="70"/>
      <c r="CC728" s="70"/>
      <c r="CD728" s="70"/>
      <c r="CE728" s="70"/>
      <c r="CF728" s="70"/>
      <c r="CG728" s="70"/>
      <c r="CH728" s="70"/>
      <c r="CI728" s="70"/>
      <c r="CJ728" s="70"/>
      <c r="CK728" s="70"/>
      <c r="CL728" s="70"/>
      <c r="CM728" s="70"/>
      <c r="CN728" s="70"/>
      <c r="CO728" s="70"/>
      <c r="CP728" s="70"/>
      <c r="CQ728" s="70"/>
      <c r="CR728" s="70"/>
      <c r="CS728" s="70"/>
      <c r="CT728" s="70"/>
      <c r="CU728" s="70"/>
      <c r="CV728" s="70"/>
      <c r="CW728" s="70"/>
      <c r="CX728" s="70"/>
    </row>
    <row r="729" spans="1:102" s="11" customFormat="1" ht="13.5" hidden="1">
      <c r="A729" s="137" t="s">
        <v>74</v>
      </c>
      <c r="B729" s="145"/>
      <c r="C729" s="145"/>
      <c r="D729" s="205"/>
      <c r="E729" s="205">
        <f>E731</f>
        <v>300700</v>
      </c>
      <c r="F729" s="205">
        <f>E729</f>
        <v>300700</v>
      </c>
      <c r="G729" s="205"/>
      <c r="H729" s="205">
        <f>H731</f>
        <v>368500</v>
      </c>
      <c r="I729" s="205"/>
      <c r="J729" s="205">
        <f>H729</f>
        <v>368500</v>
      </c>
      <c r="K729" s="205"/>
      <c r="L729" s="205"/>
      <c r="M729" s="205"/>
      <c r="N729" s="205"/>
      <c r="O729" s="205">
        <f>O731</f>
        <v>387000</v>
      </c>
      <c r="P729" s="205">
        <f>O729</f>
        <v>387000</v>
      </c>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c r="BZ729" s="10"/>
      <c r="CA729" s="10"/>
      <c r="CB729" s="10"/>
      <c r="CC729" s="10"/>
      <c r="CD729" s="10"/>
      <c r="CE729" s="10"/>
      <c r="CF729" s="10"/>
      <c r="CG729" s="10"/>
      <c r="CH729" s="10"/>
      <c r="CI729" s="10"/>
      <c r="CJ729" s="10"/>
      <c r="CK729" s="10"/>
      <c r="CL729" s="10"/>
      <c r="CM729" s="10"/>
      <c r="CN729" s="10"/>
      <c r="CO729" s="10"/>
      <c r="CP729" s="10"/>
      <c r="CQ729" s="10"/>
      <c r="CR729" s="10"/>
      <c r="CS729" s="10"/>
      <c r="CT729" s="10"/>
      <c r="CU729" s="10"/>
      <c r="CV729" s="10"/>
      <c r="CW729" s="10"/>
      <c r="CX729" s="10"/>
    </row>
    <row r="730" spans="1:16" ht="13.5" customHeight="1" hidden="1">
      <c r="A730" s="148" t="s">
        <v>183</v>
      </c>
      <c r="B730" s="147"/>
      <c r="C730" s="147"/>
      <c r="D730" s="117"/>
      <c r="E730" s="117"/>
      <c r="F730" s="117"/>
      <c r="G730" s="117"/>
      <c r="H730" s="117"/>
      <c r="I730" s="117"/>
      <c r="J730" s="117"/>
      <c r="K730" s="117"/>
      <c r="L730" s="117"/>
      <c r="M730" s="117"/>
      <c r="N730" s="117"/>
      <c r="O730" s="117"/>
      <c r="P730" s="117"/>
    </row>
    <row r="731" spans="1:16" ht="26.25" customHeight="1" hidden="1">
      <c r="A731" s="149" t="s">
        <v>167</v>
      </c>
      <c r="B731" s="147"/>
      <c r="C731" s="147"/>
      <c r="D731" s="117"/>
      <c r="E731" s="117">
        <f>350000-49300</f>
        <v>300700</v>
      </c>
      <c r="F731" s="117">
        <f>E731</f>
        <v>300700</v>
      </c>
      <c r="G731" s="117"/>
      <c r="H731" s="117">
        <v>368500</v>
      </c>
      <c r="I731" s="117"/>
      <c r="J731" s="117">
        <f>H731</f>
        <v>368500</v>
      </c>
      <c r="K731" s="117"/>
      <c r="L731" s="117"/>
      <c r="M731" s="117"/>
      <c r="N731" s="117"/>
      <c r="O731" s="117">
        <v>387000</v>
      </c>
      <c r="P731" s="117">
        <f>O731</f>
        <v>387000</v>
      </c>
    </row>
    <row r="732" spans="1:16" ht="16.5" customHeight="1" hidden="1">
      <c r="A732" s="133" t="s">
        <v>184</v>
      </c>
      <c r="B732" s="147"/>
      <c r="C732" s="147"/>
      <c r="D732" s="117"/>
      <c r="E732" s="117"/>
      <c r="F732" s="117"/>
      <c r="G732" s="117"/>
      <c r="H732" s="117"/>
      <c r="I732" s="117"/>
      <c r="J732" s="117"/>
      <c r="K732" s="117"/>
      <c r="L732" s="117"/>
      <c r="M732" s="117"/>
      <c r="N732" s="117"/>
      <c r="O732" s="117"/>
      <c r="P732" s="117"/>
    </row>
    <row r="733" spans="1:16" ht="15.75" customHeight="1" hidden="1">
      <c r="A733" s="134" t="s">
        <v>325</v>
      </c>
      <c r="B733" s="147"/>
      <c r="C733" s="147"/>
      <c r="D733" s="117"/>
      <c r="E733" s="242">
        <f>E731/E735</f>
        <v>214.78571428571428</v>
      </c>
      <c r="F733" s="242">
        <f>E733</f>
        <v>214.78571428571428</v>
      </c>
      <c r="G733" s="117"/>
      <c r="H733" s="242">
        <f>H731/H735</f>
        <v>246.6532797858099</v>
      </c>
      <c r="I733" s="242"/>
      <c r="J733" s="242">
        <f>H733</f>
        <v>246.6532797858099</v>
      </c>
      <c r="K733" s="242"/>
      <c r="L733" s="242"/>
      <c r="M733" s="242"/>
      <c r="N733" s="242"/>
      <c r="O733" s="242">
        <f>O731/O735</f>
        <v>244.3181818181818</v>
      </c>
      <c r="P733" s="242">
        <f>P731/P735</f>
        <v>244.3181818181818</v>
      </c>
    </row>
    <row r="734" spans="1:16" ht="17.25" customHeight="1" hidden="1">
      <c r="A734" s="146" t="s">
        <v>186</v>
      </c>
      <c r="B734" s="147"/>
      <c r="C734" s="147"/>
      <c r="D734" s="117"/>
      <c r="E734" s="117"/>
      <c r="F734" s="117"/>
      <c r="G734" s="117"/>
      <c r="H734" s="117"/>
      <c r="I734" s="117"/>
      <c r="J734" s="117"/>
      <c r="K734" s="117"/>
      <c r="L734" s="117"/>
      <c r="M734" s="117"/>
      <c r="N734" s="117"/>
      <c r="O734" s="117"/>
      <c r="P734" s="117"/>
    </row>
    <row r="735" spans="1:16" ht="15" customHeight="1" hidden="1">
      <c r="A735" s="134" t="s">
        <v>397</v>
      </c>
      <c r="B735" s="147"/>
      <c r="C735" s="147"/>
      <c r="D735" s="117"/>
      <c r="E735" s="117">
        <v>1400</v>
      </c>
      <c r="F735" s="117">
        <f>E735</f>
        <v>1400</v>
      </c>
      <c r="G735" s="117"/>
      <c r="H735" s="117">
        <v>1494</v>
      </c>
      <c r="I735" s="117"/>
      <c r="J735" s="117">
        <f>H735</f>
        <v>1494</v>
      </c>
      <c r="K735" s="117"/>
      <c r="L735" s="117"/>
      <c r="M735" s="117"/>
      <c r="N735" s="117"/>
      <c r="O735" s="117">
        <v>1584</v>
      </c>
      <c r="P735" s="117">
        <v>1584</v>
      </c>
    </row>
    <row r="736" spans="1:102" s="43" customFormat="1" ht="27" hidden="1">
      <c r="A736" s="137" t="s">
        <v>80</v>
      </c>
      <c r="B736" s="141"/>
      <c r="C736" s="141"/>
      <c r="D736" s="225"/>
      <c r="E736" s="225">
        <f>E738</f>
        <v>555000</v>
      </c>
      <c r="F736" s="225">
        <f>E736</f>
        <v>555000</v>
      </c>
      <c r="G736" s="225"/>
      <c r="H736" s="225">
        <f>H738</f>
        <v>2000000</v>
      </c>
      <c r="I736" s="225"/>
      <c r="J736" s="225">
        <f>H736</f>
        <v>2000000</v>
      </c>
      <c r="K736" s="225"/>
      <c r="L736" s="225"/>
      <c r="M736" s="225"/>
      <c r="N736" s="225"/>
      <c r="O736" s="225">
        <f>O738</f>
        <v>2100000</v>
      </c>
      <c r="P736" s="225">
        <f>O736</f>
        <v>2100000</v>
      </c>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c r="AS736" s="52"/>
      <c r="AT736" s="52"/>
      <c r="AU736" s="52"/>
      <c r="AV736" s="52"/>
      <c r="AW736" s="52"/>
      <c r="AX736" s="52"/>
      <c r="AY736" s="52"/>
      <c r="AZ736" s="52"/>
      <c r="BA736" s="52"/>
      <c r="BB736" s="52"/>
      <c r="BC736" s="52"/>
      <c r="BD736" s="52"/>
      <c r="BE736" s="52"/>
      <c r="BF736" s="52"/>
      <c r="BG736" s="52"/>
      <c r="BH736" s="52"/>
      <c r="BI736" s="52"/>
      <c r="BJ736" s="52"/>
      <c r="BK736" s="52"/>
      <c r="BL736" s="52"/>
      <c r="BM736" s="52"/>
      <c r="BN736" s="52"/>
      <c r="BO736" s="52"/>
      <c r="BP736" s="52"/>
      <c r="BQ736" s="52"/>
      <c r="BR736" s="52"/>
      <c r="BS736" s="52"/>
      <c r="BT736" s="52"/>
      <c r="BU736" s="52"/>
      <c r="BV736" s="52"/>
      <c r="BW736" s="52"/>
      <c r="BX736" s="52"/>
      <c r="BY736" s="52"/>
      <c r="BZ736" s="52"/>
      <c r="CA736" s="52"/>
      <c r="CB736" s="52"/>
      <c r="CC736" s="52"/>
      <c r="CD736" s="52"/>
      <c r="CE736" s="52"/>
      <c r="CF736" s="52"/>
      <c r="CG736" s="52"/>
      <c r="CH736" s="52"/>
      <c r="CI736" s="52"/>
      <c r="CJ736" s="52"/>
      <c r="CK736" s="52"/>
      <c r="CL736" s="52"/>
      <c r="CM736" s="52"/>
      <c r="CN736" s="52"/>
      <c r="CO736" s="52"/>
      <c r="CP736" s="52"/>
      <c r="CQ736" s="52"/>
      <c r="CR736" s="52"/>
      <c r="CS736" s="52"/>
      <c r="CT736" s="52"/>
      <c r="CU736" s="52"/>
      <c r="CV736" s="52"/>
      <c r="CW736" s="52"/>
      <c r="CX736" s="52"/>
    </row>
    <row r="737" spans="1:16" ht="15" customHeight="1" hidden="1">
      <c r="A737" s="148" t="s">
        <v>183</v>
      </c>
      <c r="B737" s="147"/>
      <c r="C737" s="147"/>
      <c r="D737" s="117"/>
      <c r="E737" s="117"/>
      <c r="F737" s="117"/>
      <c r="G737" s="117"/>
      <c r="H737" s="117"/>
      <c r="I737" s="117"/>
      <c r="J737" s="117"/>
      <c r="K737" s="117"/>
      <c r="L737" s="117"/>
      <c r="M737" s="117"/>
      <c r="N737" s="117"/>
      <c r="O737" s="117"/>
      <c r="P737" s="117"/>
    </row>
    <row r="738" spans="1:16" ht="15" customHeight="1" hidden="1">
      <c r="A738" s="149" t="s">
        <v>204</v>
      </c>
      <c r="B738" s="147"/>
      <c r="C738" s="147"/>
      <c r="D738" s="117"/>
      <c r="E738" s="117">
        <f>1950000-1395000</f>
        <v>555000</v>
      </c>
      <c r="F738" s="117">
        <f>E738</f>
        <v>555000</v>
      </c>
      <c r="G738" s="117"/>
      <c r="H738" s="117">
        <v>2000000</v>
      </c>
      <c r="I738" s="117"/>
      <c r="J738" s="117">
        <f>H738</f>
        <v>2000000</v>
      </c>
      <c r="K738" s="117"/>
      <c r="L738" s="117"/>
      <c r="M738" s="117"/>
      <c r="N738" s="117"/>
      <c r="O738" s="117">
        <v>2100000</v>
      </c>
      <c r="P738" s="117">
        <f>O738</f>
        <v>2100000</v>
      </c>
    </row>
    <row r="739" spans="1:16" ht="15" customHeight="1" hidden="1">
      <c r="A739" s="133" t="s">
        <v>184</v>
      </c>
      <c r="B739" s="147"/>
      <c r="C739" s="147"/>
      <c r="D739" s="117"/>
      <c r="E739" s="117"/>
      <c r="F739" s="117"/>
      <c r="G739" s="117"/>
      <c r="H739" s="117"/>
      <c r="I739" s="117"/>
      <c r="J739" s="117"/>
      <c r="K739" s="117"/>
      <c r="L739" s="117"/>
      <c r="M739" s="117"/>
      <c r="N739" s="117"/>
      <c r="O739" s="117"/>
      <c r="P739" s="117"/>
    </row>
    <row r="740" spans="1:16" ht="25.5" hidden="1">
      <c r="A740" s="134" t="s">
        <v>242</v>
      </c>
      <c r="B740" s="147"/>
      <c r="C740" s="147"/>
      <c r="D740" s="242"/>
      <c r="E740" s="242">
        <v>8</v>
      </c>
      <c r="F740" s="242">
        <f>E740</f>
        <v>8</v>
      </c>
      <c r="G740" s="242"/>
      <c r="H740" s="242">
        <v>9</v>
      </c>
      <c r="I740" s="242"/>
      <c r="J740" s="242">
        <f>H740</f>
        <v>9</v>
      </c>
      <c r="K740" s="242"/>
      <c r="L740" s="242"/>
      <c r="M740" s="242"/>
      <c r="N740" s="242"/>
      <c r="O740" s="242">
        <v>9</v>
      </c>
      <c r="P740" s="242">
        <f>O740</f>
        <v>9</v>
      </c>
    </row>
    <row r="741" spans="1:16" ht="15" customHeight="1" hidden="1">
      <c r="A741" s="133" t="s">
        <v>186</v>
      </c>
      <c r="B741" s="147"/>
      <c r="C741" s="147"/>
      <c r="D741" s="117"/>
      <c r="E741" s="117"/>
      <c r="F741" s="117"/>
      <c r="G741" s="117"/>
      <c r="H741" s="117"/>
      <c r="I741" s="117"/>
      <c r="J741" s="117"/>
      <c r="K741" s="117"/>
      <c r="L741" s="117"/>
      <c r="M741" s="117"/>
      <c r="N741" s="117"/>
      <c r="O741" s="117"/>
      <c r="P741" s="117"/>
    </row>
    <row r="742" spans="1:16" ht="25.5" hidden="1">
      <c r="A742" s="134" t="s">
        <v>415</v>
      </c>
      <c r="B742" s="147"/>
      <c r="C742" s="147"/>
      <c r="D742" s="117"/>
      <c r="E742" s="117">
        <f>E738/E740</f>
        <v>69375</v>
      </c>
      <c r="F742" s="117">
        <f>E742</f>
        <v>69375</v>
      </c>
      <c r="G742" s="117"/>
      <c r="H742" s="117">
        <f>H738/H740</f>
        <v>222222.22222222222</v>
      </c>
      <c r="I742" s="117"/>
      <c r="J742" s="117">
        <f>H742</f>
        <v>222222.22222222222</v>
      </c>
      <c r="K742" s="117"/>
      <c r="L742" s="117"/>
      <c r="M742" s="117"/>
      <c r="N742" s="117"/>
      <c r="O742" s="117">
        <f>O738/O740</f>
        <v>233333.33333333334</v>
      </c>
      <c r="P742" s="117">
        <f>O742</f>
        <v>233333.33333333334</v>
      </c>
    </row>
    <row r="743" spans="1:102" s="76" customFormat="1" ht="27.75" customHeight="1" hidden="1">
      <c r="A743" s="73" t="s">
        <v>296</v>
      </c>
      <c r="B743" s="73"/>
      <c r="C743" s="73"/>
      <c r="D743" s="74">
        <f>D745</f>
        <v>350000</v>
      </c>
      <c r="E743" s="74">
        <f>E745</f>
        <v>0</v>
      </c>
      <c r="F743" s="74">
        <f>F745</f>
        <v>350000</v>
      </c>
      <c r="G743" s="74">
        <f>G745</f>
        <v>603000</v>
      </c>
      <c r="H743" s="74"/>
      <c r="I743" s="74">
        <f>I745</f>
        <v>0</v>
      </c>
      <c r="J743" s="74">
        <f>G743</f>
        <v>603000</v>
      </c>
      <c r="K743" s="74" t="e">
        <f>#REF!+K745</f>
        <v>#REF!</v>
      </c>
      <c r="L743" s="74" t="e">
        <f>#REF!+L745</f>
        <v>#REF!</v>
      </c>
      <c r="M743" s="74" t="e">
        <f>#REF!+M745</f>
        <v>#REF!</v>
      </c>
      <c r="N743" s="74">
        <f>N745</f>
        <v>450000</v>
      </c>
      <c r="O743" s="74"/>
      <c r="P743" s="74">
        <f>N743+O743</f>
        <v>450000</v>
      </c>
      <c r="Q743" s="75"/>
      <c r="R743" s="75"/>
      <c r="S743" s="75"/>
      <c r="T743" s="75"/>
      <c r="U743" s="75"/>
      <c r="V743" s="75"/>
      <c r="W743" s="75"/>
      <c r="X743" s="75"/>
      <c r="Y743" s="75"/>
      <c r="Z743" s="75"/>
      <c r="AA743" s="75"/>
      <c r="AB743" s="75"/>
      <c r="AC743" s="75"/>
      <c r="AD743" s="75"/>
      <c r="AE743" s="75"/>
      <c r="AF743" s="75"/>
      <c r="AG743" s="75"/>
      <c r="AH743" s="75"/>
      <c r="AI743" s="75"/>
      <c r="AJ743" s="75"/>
      <c r="AK743" s="75"/>
      <c r="AL743" s="75"/>
      <c r="AM743" s="75"/>
      <c r="AN743" s="75"/>
      <c r="AO743" s="75"/>
      <c r="AP743" s="75"/>
      <c r="AQ743" s="75"/>
      <c r="AR743" s="75"/>
      <c r="AS743" s="75"/>
      <c r="AT743" s="75"/>
      <c r="AU743" s="75"/>
      <c r="AV743" s="75"/>
      <c r="AW743" s="75"/>
      <c r="AX743" s="75"/>
      <c r="AY743" s="75"/>
      <c r="AZ743" s="75"/>
      <c r="BA743" s="75"/>
      <c r="BB743" s="75"/>
      <c r="BC743" s="75"/>
      <c r="BD743" s="75"/>
      <c r="BE743" s="75"/>
      <c r="BF743" s="75"/>
      <c r="BG743" s="75"/>
      <c r="BH743" s="75"/>
      <c r="BI743" s="75"/>
      <c r="BJ743" s="75"/>
      <c r="BK743" s="75"/>
      <c r="BL743" s="75"/>
      <c r="BM743" s="75"/>
      <c r="BN743" s="75"/>
      <c r="BO743" s="75"/>
      <c r="BP743" s="75"/>
      <c r="BQ743" s="75"/>
      <c r="BR743" s="75"/>
      <c r="BS743" s="75"/>
      <c r="BT743" s="75"/>
      <c r="BU743" s="75"/>
      <c r="BV743" s="75"/>
      <c r="BW743" s="75"/>
      <c r="BX743" s="75"/>
      <c r="BY743" s="75"/>
      <c r="BZ743" s="75"/>
      <c r="CA743" s="75"/>
      <c r="CB743" s="75"/>
      <c r="CC743" s="75"/>
      <c r="CD743" s="75"/>
      <c r="CE743" s="75"/>
      <c r="CF743" s="75"/>
      <c r="CG743" s="75"/>
      <c r="CH743" s="75"/>
      <c r="CI743" s="75"/>
      <c r="CJ743" s="75"/>
      <c r="CK743" s="75"/>
      <c r="CL743" s="75"/>
      <c r="CM743" s="75"/>
      <c r="CN743" s="75"/>
      <c r="CO743" s="75"/>
      <c r="CP743" s="75"/>
      <c r="CQ743" s="75"/>
      <c r="CR743" s="75"/>
      <c r="CS743" s="75"/>
      <c r="CT743" s="75"/>
      <c r="CU743" s="75"/>
      <c r="CV743" s="75"/>
      <c r="CW743" s="75"/>
      <c r="CX743" s="75"/>
    </row>
    <row r="744" spans="1:102" s="37" customFormat="1" ht="25.5" hidden="1">
      <c r="A744" s="138" t="s">
        <v>336</v>
      </c>
      <c r="B744" s="158"/>
      <c r="C744" s="158"/>
      <c r="D744" s="168"/>
      <c r="E744" s="168"/>
      <c r="F744" s="168"/>
      <c r="G744" s="168"/>
      <c r="H744" s="168"/>
      <c r="I744" s="168"/>
      <c r="J744" s="168"/>
      <c r="K744" s="168"/>
      <c r="L744" s="168"/>
      <c r="M744" s="168"/>
      <c r="N744" s="168"/>
      <c r="O744" s="168"/>
      <c r="P744" s="168"/>
      <c r="Q744" s="36"/>
      <c r="R744" s="36"/>
      <c r="S744" s="36"/>
      <c r="T744" s="36"/>
      <c r="U744" s="36"/>
      <c r="V744" s="36"/>
      <c r="W744" s="36"/>
      <c r="X744" s="36"/>
      <c r="Y744" s="36"/>
      <c r="Z744" s="36"/>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c r="BC744" s="36"/>
      <c r="BD744" s="36"/>
      <c r="BE744" s="36"/>
      <c r="BF744" s="36"/>
      <c r="BG744" s="36"/>
      <c r="BH744" s="36"/>
      <c r="BI744" s="36"/>
      <c r="BJ744" s="36"/>
      <c r="BK744" s="36"/>
      <c r="BL744" s="36"/>
      <c r="BM744" s="36"/>
      <c r="BN744" s="36"/>
      <c r="BO744" s="36"/>
      <c r="BP744" s="36"/>
      <c r="BQ744" s="36"/>
      <c r="BR744" s="36"/>
      <c r="BS744" s="36"/>
      <c r="BT744" s="36"/>
      <c r="BU744" s="36"/>
      <c r="BV744" s="36"/>
      <c r="BW744" s="36"/>
      <c r="BX744" s="36"/>
      <c r="BY744" s="36"/>
      <c r="BZ744" s="36"/>
      <c r="CA744" s="36"/>
      <c r="CB744" s="36"/>
      <c r="CC744" s="36"/>
      <c r="CD744" s="36"/>
      <c r="CE744" s="36"/>
      <c r="CF744" s="36"/>
      <c r="CG744" s="36"/>
      <c r="CH744" s="36"/>
      <c r="CI744" s="36"/>
      <c r="CJ744" s="36"/>
      <c r="CK744" s="36"/>
      <c r="CL744" s="36"/>
      <c r="CM744" s="36"/>
      <c r="CN744" s="36"/>
      <c r="CO744" s="36"/>
      <c r="CP744" s="36"/>
      <c r="CQ744" s="36"/>
      <c r="CR744" s="36"/>
      <c r="CS744" s="36"/>
      <c r="CT744" s="36"/>
      <c r="CU744" s="36"/>
      <c r="CV744" s="36"/>
      <c r="CW744" s="36"/>
      <c r="CX744" s="36"/>
    </row>
    <row r="745" spans="1:102" s="96" customFormat="1" ht="25.5" hidden="1">
      <c r="A745" s="68" t="s">
        <v>81</v>
      </c>
      <c r="B745" s="69"/>
      <c r="C745" s="69"/>
      <c r="D745" s="67">
        <f>D747</f>
        <v>350000</v>
      </c>
      <c r="E745" s="67"/>
      <c r="F745" s="67">
        <f>D745+E745</f>
        <v>350000</v>
      </c>
      <c r="G745" s="67">
        <f>G747</f>
        <v>603000</v>
      </c>
      <c r="H745" s="67"/>
      <c r="I745" s="67">
        <f>I747</f>
        <v>0</v>
      </c>
      <c r="J745" s="67">
        <f>G745</f>
        <v>603000</v>
      </c>
      <c r="K745" s="67"/>
      <c r="L745" s="67"/>
      <c r="M745" s="67"/>
      <c r="N745" s="67">
        <f>N747</f>
        <v>450000</v>
      </c>
      <c r="O745" s="67"/>
      <c r="P745" s="67">
        <f>N745+O745</f>
        <v>450000</v>
      </c>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5"/>
      <c r="AY745" s="95"/>
      <c r="AZ745" s="95"/>
      <c r="BA745" s="95"/>
      <c r="BB745" s="95"/>
      <c r="BC745" s="95"/>
      <c r="BD745" s="95"/>
      <c r="BE745" s="95"/>
      <c r="BF745" s="95"/>
      <c r="BG745" s="95"/>
      <c r="BH745" s="95"/>
      <c r="BI745" s="95"/>
      <c r="BJ745" s="95"/>
      <c r="BK745" s="95"/>
      <c r="BL745" s="95"/>
      <c r="BM745" s="95"/>
      <c r="BN745" s="95"/>
      <c r="BO745" s="95"/>
      <c r="BP745" s="95"/>
      <c r="BQ745" s="95"/>
      <c r="BR745" s="95"/>
      <c r="BS745" s="95"/>
      <c r="BT745" s="95"/>
      <c r="BU745" s="95"/>
      <c r="BV745" s="95"/>
      <c r="BW745" s="95"/>
      <c r="BX745" s="95"/>
      <c r="BY745" s="95"/>
      <c r="BZ745" s="95"/>
      <c r="CA745" s="95"/>
      <c r="CB745" s="95"/>
      <c r="CC745" s="95"/>
      <c r="CD745" s="95"/>
      <c r="CE745" s="95"/>
      <c r="CF745" s="95"/>
      <c r="CG745" s="95"/>
      <c r="CH745" s="95"/>
      <c r="CI745" s="95"/>
      <c r="CJ745" s="95"/>
      <c r="CK745" s="95"/>
      <c r="CL745" s="95"/>
      <c r="CM745" s="95"/>
      <c r="CN745" s="95"/>
      <c r="CO745" s="95"/>
      <c r="CP745" s="95"/>
      <c r="CQ745" s="95"/>
      <c r="CR745" s="95"/>
      <c r="CS745" s="95"/>
      <c r="CT745" s="95"/>
      <c r="CU745" s="95"/>
      <c r="CV745" s="95"/>
      <c r="CW745" s="95"/>
      <c r="CX745" s="95"/>
    </row>
    <row r="746" spans="1:16" ht="12.75" hidden="1">
      <c r="A746" s="133" t="s">
        <v>183</v>
      </c>
      <c r="B746" s="164"/>
      <c r="C746" s="164"/>
      <c r="D746" s="131"/>
      <c r="E746" s="131"/>
      <c r="F746" s="131"/>
      <c r="G746" s="131"/>
      <c r="H746" s="131"/>
      <c r="I746" s="131"/>
      <c r="J746" s="131"/>
      <c r="K746" s="131"/>
      <c r="L746" s="131"/>
      <c r="M746" s="131"/>
      <c r="N746" s="131"/>
      <c r="O746" s="131"/>
      <c r="P746" s="131"/>
    </row>
    <row r="747" spans="1:16" ht="28.5" customHeight="1" hidden="1">
      <c r="A747" s="134" t="s">
        <v>297</v>
      </c>
      <c r="B747" s="164"/>
      <c r="C747" s="164"/>
      <c r="D747" s="131">
        <f>350000+1160000-1160000</f>
        <v>350000</v>
      </c>
      <c r="E747" s="131"/>
      <c r="F747" s="131">
        <f>D747</f>
        <v>350000</v>
      </c>
      <c r="G747" s="131">
        <f>400000+203000</f>
        <v>603000</v>
      </c>
      <c r="H747" s="131"/>
      <c r="I747" s="131"/>
      <c r="J747" s="131">
        <f>G747+H747</f>
        <v>603000</v>
      </c>
      <c r="K747" s="131"/>
      <c r="L747" s="131"/>
      <c r="M747" s="131"/>
      <c r="N747" s="131">
        <v>450000</v>
      </c>
      <c r="O747" s="131"/>
      <c r="P747" s="131">
        <f>N747+O747</f>
        <v>450000</v>
      </c>
    </row>
    <row r="748" spans="1:16" ht="12.75" hidden="1">
      <c r="A748" s="133" t="s">
        <v>184</v>
      </c>
      <c r="B748" s="164"/>
      <c r="C748" s="164"/>
      <c r="D748" s="131"/>
      <c r="E748" s="131"/>
      <c r="F748" s="131"/>
      <c r="G748" s="131"/>
      <c r="H748" s="131"/>
      <c r="I748" s="131"/>
      <c r="J748" s="131"/>
      <c r="K748" s="131"/>
      <c r="L748" s="131"/>
      <c r="M748" s="131"/>
      <c r="N748" s="131"/>
      <c r="O748" s="131"/>
      <c r="P748" s="131"/>
    </row>
    <row r="749" spans="1:16" ht="30.75" customHeight="1" hidden="1">
      <c r="A749" s="134" t="s">
        <v>298</v>
      </c>
      <c r="B749" s="164"/>
      <c r="C749" s="164"/>
      <c r="D749" s="166">
        <v>1</v>
      </c>
      <c r="E749" s="166"/>
      <c r="F749" s="166">
        <f>D749</f>
        <v>1</v>
      </c>
      <c r="G749" s="166">
        <v>2</v>
      </c>
      <c r="H749" s="166"/>
      <c r="I749" s="166"/>
      <c r="J749" s="166">
        <f>G749</f>
        <v>2</v>
      </c>
      <c r="K749" s="166"/>
      <c r="L749" s="166"/>
      <c r="M749" s="166"/>
      <c r="N749" s="166">
        <v>1</v>
      </c>
      <c r="O749" s="166"/>
      <c r="P749" s="166">
        <f>N749+O749</f>
        <v>1</v>
      </c>
    </row>
    <row r="750" spans="1:16" ht="12.75" hidden="1">
      <c r="A750" s="133" t="s">
        <v>186</v>
      </c>
      <c r="B750" s="164"/>
      <c r="C750" s="164"/>
      <c r="D750" s="131"/>
      <c r="E750" s="131"/>
      <c r="F750" s="131"/>
      <c r="G750" s="131"/>
      <c r="H750" s="131"/>
      <c r="I750" s="131"/>
      <c r="J750" s="131"/>
      <c r="K750" s="131"/>
      <c r="L750" s="131"/>
      <c r="M750" s="131"/>
      <c r="N750" s="131"/>
      <c r="O750" s="131"/>
      <c r="P750" s="131"/>
    </row>
    <row r="751" spans="1:16" ht="26.25" customHeight="1" hidden="1">
      <c r="A751" s="134" t="s">
        <v>299</v>
      </c>
      <c r="B751" s="164"/>
      <c r="C751" s="164"/>
      <c r="D751" s="131">
        <f>D747/D749</f>
        <v>350000</v>
      </c>
      <c r="E751" s="131"/>
      <c r="F751" s="131">
        <f>F747/F749</f>
        <v>350000</v>
      </c>
      <c r="G751" s="131">
        <f>G747/G749</f>
        <v>301500</v>
      </c>
      <c r="H751" s="131"/>
      <c r="I751" s="131"/>
      <c r="J751" s="131">
        <f>G751+H751</f>
        <v>301500</v>
      </c>
      <c r="K751" s="131"/>
      <c r="L751" s="131"/>
      <c r="M751" s="131"/>
      <c r="N751" s="131">
        <f>N747/N749</f>
        <v>450000</v>
      </c>
      <c r="O751" s="131"/>
      <c r="P751" s="131">
        <f>P747/P749</f>
        <v>450000</v>
      </c>
    </row>
    <row r="752" spans="1:102" s="76" customFormat="1" ht="22.5" customHeight="1" hidden="1">
      <c r="A752" s="73" t="s">
        <v>301</v>
      </c>
      <c r="B752" s="97"/>
      <c r="C752" s="97"/>
      <c r="D752" s="74">
        <f>D754</f>
        <v>6071400</v>
      </c>
      <c r="E752" s="74">
        <f aca="true" t="shared" si="55" ref="E752:Q752">E754</f>
        <v>0</v>
      </c>
      <c r="F752" s="74">
        <f t="shared" si="55"/>
        <v>6071400</v>
      </c>
      <c r="G752" s="74">
        <f>G754</f>
        <v>66439000</v>
      </c>
      <c r="H752" s="74">
        <f t="shared" si="55"/>
        <v>0</v>
      </c>
      <c r="I752" s="74" t="e">
        <f t="shared" si="55"/>
        <v>#REF!</v>
      </c>
      <c r="J752" s="74">
        <f t="shared" si="55"/>
        <v>66439000</v>
      </c>
      <c r="K752" s="74" t="e">
        <f t="shared" si="55"/>
        <v>#REF!</v>
      </c>
      <c r="L752" s="74" t="e">
        <f t="shared" si="55"/>
        <v>#REF!</v>
      </c>
      <c r="M752" s="74" t="e">
        <f t="shared" si="55"/>
        <v>#REF!</v>
      </c>
      <c r="N752" s="74">
        <f t="shared" si="55"/>
        <v>1234200</v>
      </c>
      <c r="O752" s="74">
        <f t="shared" si="55"/>
        <v>0</v>
      </c>
      <c r="P752" s="74">
        <f t="shared" si="55"/>
        <v>1234200</v>
      </c>
      <c r="Q752" s="74">
        <f t="shared" si="55"/>
        <v>0</v>
      </c>
      <c r="R752" s="75"/>
      <c r="S752" s="75"/>
      <c r="T752" s="75"/>
      <c r="U752" s="75"/>
      <c r="V752" s="75"/>
      <c r="W752" s="75"/>
      <c r="X752" s="75"/>
      <c r="Y752" s="75"/>
      <c r="Z752" s="75"/>
      <c r="AA752" s="75"/>
      <c r="AB752" s="75"/>
      <c r="AC752" s="75"/>
      <c r="AD752" s="75"/>
      <c r="AE752" s="75"/>
      <c r="AF752" s="75"/>
      <c r="AG752" s="75"/>
      <c r="AH752" s="75"/>
      <c r="AI752" s="75"/>
      <c r="AJ752" s="75"/>
      <c r="AK752" s="75"/>
      <c r="AL752" s="75"/>
      <c r="AM752" s="75"/>
      <c r="AN752" s="75"/>
      <c r="AO752" s="75"/>
      <c r="AP752" s="75"/>
      <c r="AQ752" s="75"/>
      <c r="AR752" s="75"/>
      <c r="AS752" s="75"/>
      <c r="AT752" s="75"/>
      <c r="AU752" s="75"/>
      <c r="AV752" s="75"/>
      <c r="AW752" s="75"/>
      <c r="AX752" s="75"/>
      <c r="AY752" s="75"/>
      <c r="AZ752" s="75"/>
      <c r="BA752" s="75"/>
      <c r="BB752" s="75"/>
      <c r="BC752" s="75"/>
      <c r="BD752" s="75"/>
      <c r="BE752" s="75"/>
      <c r="BF752" s="75"/>
      <c r="BG752" s="75"/>
      <c r="BH752" s="75"/>
      <c r="BI752" s="75"/>
      <c r="BJ752" s="75"/>
      <c r="BK752" s="75"/>
      <c r="BL752" s="75"/>
      <c r="BM752" s="75"/>
      <c r="BN752" s="75"/>
      <c r="BO752" s="75"/>
      <c r="BP752" s="75"/>
      <c r="BQ752" s="75"/>
      <c r="BR752" s="75"/>
      <c r="BS752" s="75"/>
      <c r="BT752" s="75"/>
      <c r="BU752" s="75"/>
      <c r="BV752" s="75"/>
      <c r="BW752" s="75"/>
      <c r="BX752" s="75"/>
      <c r="BY752" s="75"/>
      <c r="BZ752" s="75"/>
      <c r="CA752" s="75"/>
      <c r="CB752" s="75"/>
      <c r="CC752" s="75"/>
      <c r="CD752" s="75"/>
      <c r="CE752" s="75"/>
      <c r="CF752" s="75"/>
      <c r="CG752" s="75"/>
      <c r="CH752" s="75"/>
      <c r="CI752" s="75"/>
      <c r="CJ752" s="75"/>
      <c r="CK752" s="75"/>
      <c r="CL752" s="75"/>
      <c r="CM752" s="75"/>
      <c r="CN752" s="75"/>
      <c r="CO752" s="75"/>
      <c r="CP752" s="75"/>
      <c r="CQ752" s="75"/>
      <c r="CR752" s="75"/>
      <c r="CS752" s="75"/>
      <c r="CT752" s="75"/>
      <c r="CU752" s="75"/>
      <c r="CV752" s="75"/>
      <c r="CW752" s="75"/>
      <c r="CX752" s="75"/>
    </row>
    <row r="753" spans="1:16" ht="12.75" hidden="1">
      <c r="A753" s="134" t="s">
        <v>245</v>
      </c>
      <c r="B753" s="164"/>
      <c r="C753" s="164"/>
      <c r="D753" s="131"/>
      <c r="E753" s="131"/>
      <c r="F753" s="131"/>
      <c r="G753" s="131"/>
      <c r="H753" s="131"/>
      <c r="I753" s="131"/>
      <c r="J753" s="131"/>
      <c r="K753" s="131"/>
      <c r="L753" s="131"/>
      <c r="M753" s="131"/>
      <c r="N753" s="131"/>
      <c r="O753" s="131"/>
      <c r="P753" s="131"/>
    </row>
    <row r="754" spans="1:102" s="71" customFormat="1" ht="31.5" customHeight="1" hidden="1">
      <c r="A754" s="68" t="s">
        <v>113</v>
      </c>
      <c r="B754" s="69"/>
      <c r="C754" s="69"/>
      <c r="D754" s="67">
        <f>D755+D762+D765+D768+D776+D783+D791+D798+D805+D812</f>
        <v>6071400</v>
      </c>
      <c r="E754" s="67">
        <f>E755+E762+E765+E768+E776+E783+E791+E798+E805+E812</f>
        <v>0</v>
      </c>
      <c r="F754" s="67">
        <f>D754+E754</f>
        <v>6071400</v>
      </c>
      <c r="G754" s="67">
        <f>G755+G762+G765+G768+G776+G783+G791+G798+G805+G812</f>
        <v>66439000</v>
      </c>
      <c r="H754" s="67">
        <f>H755+H762+H765+H768+H776+H783+H791+H798+H805</f>
        <v>0</v>
      </c>
      <c r="I754" s="67" t="e">
        <f>I755+I762+I768+I776+I783+I791+#REF!+I798</f>
        <v>#REF!</v>
      </c>
      <c r="J754" s="67">
        <f>G754+H754</f>
        <v>66439000</v>
      </c>
      <c r="K754" s="67" t="e">
        <f>K755+K762+K768+K776+K783+K791+#REF!+K798</f>
        <v>#REF!</v>
      </c>
      <c r="L754" s="67" t="e">
        <f>L755+L762+L768+L776+L783+L791+#REF!+L798</f>
        <v>#REF!</v>
      </c>
      <c r="M754" s="67" t="e">
        <f>M755+M762+M768+M776+M783+M791+#REF!+M798</f>
        <v>#REF!</v>
      </c>
      <c r="N754" s="67">
        <f>N755+N762+N765+N768+N776+N783+N791+N798+N805</f>
        <v>1234200</v>
      </c>
      <c r="O754" s="67">
        <f>O755+O762+O765+O768+O776+O783+O791+O798+O805</f>
        <v>0</v>
      </c>
      <c r="P754" s="67">
        <f>N754+O754</f>
        <v>1234200</v>
      </c>
      <c r="Q754" s="70"/>
      <c r="R754" s="70"/>
      <c r="S754" s="70"/>
      <c r="T754" s="70"/>
      <c r="U754" s="70"/>
      <c r="V754" s="70"/>
      <c r="W754" s="70"/>
      <c r="X754" s="70"/>
      <c r="Y754" s="70"/>
      <c r="Z754" s="70"/>
      <c r="AA754" s="70"/>
      <c r="AB754" s="70"/>
      <c r="AC754" s="70"/>
      <c r="AD754" s="70"/>
      <c r="AE754" s="70"/>
      <c r="AF754" s="70"/>
      <c r="AG754" s="70"/>
      <c r="AH754" s="70"/>
      <c r="AI754" s="70"/>
      <c r="AJ754" s="70"/>
      <c r="AK754" s="70"/>
      <c r="AL754" s="70"/>
      <c r="AM754" s="70"/>
      <c r="AN754" s="70"/>
      <c r="AO754" s="70"/>
      <c r="AP754" s="70"/>
      <c r="AQ754" s="70"/>
      <c r="AR754" s="70"/>
      <c r="AS754" s="70"/>
      <c r="AT754" s="70"/>
      <c r="AU754" s="70"/>
      <c r="AV754" s="70"/>
      <c r="AW754" s="70"/>
      <c r="AX754" s="70"/>
      <c r="AY754" s="70"/>
      <c r="AZ754" s="70"/>
      <c r="BA754" s="70"/>
      <c r="BB754" s="70"/>
      <c r="BC754" s="70"/>
      <c r="BD754" s="70"/>
      <c r="BE754" s="70"/>
      <c r="BF754" s="70"/>
      <c r="BG754" s="70"/>
      <c r="BH754" s="70"/>
      <c r="BI754" s="70"/>
      <c r="BJ754" s="70"/>
      <c r="BK754" s="70"/>
      <c r="BL754" s="70"/>
      <c r="BM754" s="70"/>
      <c r="BN754" s="70"/>
      <c r="BO754" s="70"/>
      <c r="BP754" s="70"/>
      <c r="BQ754" s="70"/>
      <c r="BR754" s="70"/>
      <c r="BS754" s="70"/>
      <c r="BT754" s="70"/>
      <c r="BU754" s="70"/>
      <c r="BV754" s="70"/>
      <c r="BW754" s="70"/>
      <c r="BX754" s="70"/>
      <c r="BY754" s="70"/>
      <c r="BZ754" s="70"/>
      <c r="CA754" s="70"/>
      <c r="CB754" s="70"/>
      <c r="CC754" s="70"/>
      <c r="CD754" s="70"/>
      <c r="CE754" s="70"/>
      <c r="CF754" s="70"/>
      <c r="CG754" s="70"/>
      <c r="CH754" s="70"/>
      <c r="CI754" s="70"/>
      <c r="CJ754" s="70"/>
      <c r="CK754" s="70"/>
      <c r="CL754" s="70"/>
      <c r="CM754" s="70"/>
      <c r="CN754" s="70"/>
      <c r="CO754" s="70"/>
      <c r="CP754" s="70"/>
      <c r="CQ754" s="70"/>
      <c r="CR754" s="70"/>
      <c r="CS754" s="70"/>
      <c r="CT754" s="70"/>
      <c r="CU754" s="70"/>
      <c r="CV754" s="70"/>
      <c r="CW754" s="70"/>
      <c r="CX754" s="70"/>
    </row>
    <row r="755" spans="1:102" s="43" customFormat="1" ht="34.5" customHeight="1" hidden="1">
      <c r="A755" s="137" t="s">
        <v>125</v>
      </c>
      <c r="B755" s="159"/>
      <c r="C755" s="159"/>
      <c r="D755" s="160">
        <f>D757</f>
        <v>588400</v>
      </c>
      <c r="E755" s="160"/>
      <c r="F755" s="160">
        <f>F757</f>
        <v>588400</v>
      </c>
      <c r="G755" s="160">
        <f>G757</f>
        <v>578000</v>
      </c>
      <c r="H755" s="160"/>
      <c r="I755" s="160">
        <f>3448484+120000</f>
        <v>3568484</v>
      </c>
      <c r="J755" s="160">
        <f>G755</f>
        <v>578000</v>
      </c>
      <c r="K755" s="160">
        <f>3448484+120000</f>
        <v>3568484</v>
      </c>
      <c r="L755" s="160">
        <f>3448484+120000</f>
        <v>3568484</v>
      </c>
      <c r="M755" s="160">
        <f>3448484+120000</f>
        <v>3568484</v>
      </c>
      <c r="N755" s="160"/>
      <c r="O755" s="160"/>
      <c r="P755" s="160">
        <f>N755</f>
        <v>0</v>
      </c>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c r="AS755" s="52"/>
      <c r="AT755" s="52"/>
      <c r="AU755" s="52"/>
      <c r="AV755" s="52"/>
      <c r="AW755" s="52"/>
      <c r="AX755" s="52"/>
      <c r="AY755" s="52"/>
      <c r="AZ755" s="52"/>
      <c r="BA755" s="52"/>
      <c r="BB755" s="52"/>
      <c r="BC755" s="52"/>
      <c r="BD755" s="52"/>
      <c r="BE755" s="52"/>
      <c r="BF755" s="52"/>
      <c r="BG755" s="52"/>
      <c r="BH755" s="52"/>
      <c r="BI755" s="52"/>
      <c r="BJ755" s="52"/>
      <c r="BK755" s="52"/>
      <c r="BL755" s="52"/>
      <c r="BM755" s="52"/>
      <c r="BN755" s="52"/>
      <c r="BO755" s="52"/>
      <c r="BP755" s="52"/>
      <c r="BQ755" s="52"/>
      <c r="BR755" s="52"/>
      <c r="BS755" s="52"/>
      <c r="BT755" s="52"/>
      <c r="BU755" s="52"/>
      <c r="BV755" s="52"/>
      <c r="BW755" s="52"/>
      <c r="BX755" s="52"/>
      <c r="BY755" s="52"/>
      <c r="BZ755" s="52"/>
      <c r="CA755" s="52"/>
      <c r="CB755" s="52"/>
      <c r="CC755" s="52"/>
      <c r="CD755" s="52"/>
      <c r="CE755" s="52"/>
      <c r="CF755" s="52"/>
      <c r="CG755" s="52"/>
      <c r="CH755" s="52"/>
      <c r="CI755" s="52"/>
      <c r="CJ755" s="52"/>
      <c r="CK755" s="52"/>
      <c r="CL755" s="52"/>
      <c r="CM755" s="52"/>
      <c r="CN755" s="52"/>
      <c r="CO755" s="52"/>
      <c r="CP755" s="52"/>
      <c r="CQ755" s="52"/>
      <c r="CR755" s="52"/>
      <c r="CS755" s="52"/>
      <c r="CT755" s="52"/>
      <c r="CU755" s="52"/>
      <c r="CV755" s="52"/>
      <c r="CW755" s="52"/>
      <c r="CX755" s="52"/>
    </row>
    <row r="756" spans="1:16" ht="12" customHeight="1" hidden="1">
      <c r="A756" s="133" t="s">
        <v>183</v>
      </c>
      <c r="B756" s="164"/>
      <c r="C756" s="164"/>
      <c r="D756" s="131"/>
      <c r="E756" s="131"/>
      <c r="F756" s="131"/>
      <c r="G756" s="131"/>
      <c r="H756" s="131"/>
      <c r="I756" s="131"/>
      <c r="J756" s="131"/>
      <c r="K756" s="131"/>
      <c r="L756" s="131"/>
      <c r="M756" s="131"/>
      <c r="N756" s="131"/>
      <c r="O756" s="131"/>
      <c r="P756" s="131"/>
    </row>
    <row r="757" spans="1:16" ht="13.5" customHeight="1" hidden="1">
      <c r="A757" s="134" t="s">
        <v>204</v>
      </c>
      <c r="B757" s="164"/>
      <c r="C757" s="164"/>
      <c r="D757" s="131">
        <f>264000+269000+55400</f>
        <v>588400</v>
      </c>
      <c r="E757" s="131"/>
      <c r="F757" s="131">
        <f>D757</f>
        <v>588400</v>
      </c>
      <c r="G757" s="131">
        <f>276000+2000+300000</f>
        <v>578000</v>
      </c>
      <c r="H757" s="131"/>
      <c r="I757" s="131"/>
      <c r="J757" s="131">
        <f>SUM(G757)</f>
        <v>578000</v>
      </c>
      <c r="K757" s="131"/>
      <c r="L757" s="131"/>
      <c r="M757" s="131"/>
      <c r="N757" s="131"/>
      <c r="O757" s="131"/>
      <c r="P757" s="131">
        <f>N757</f>
        <v>0</v>
      </c>
    </row>
    <row r="758" spans="1:16" ht="12" customHeight="1" hidden="1">
      <c r="A758" s="133" t="s">
        <v>184</v>
      </c>
      <c r="B758" s="164"/>
      <c r="C758" s="164"/>
      <c r="D758" s="131"/>
      <c r="E758" s="131"/>
      <c r="F758" s="131"/>
      <c r="G758" s="131"/>
      <c r="H758" s="131"/>
      <c r="I758" s="131"/>
      <c r="J758" s="131"/>
      <c r="K758" s="131"/>
      <c r="L758" s="131"/>
      <c r="M758" s="131"/>
      <c r="N758" s="131"/>
      <c r="O758" s="131"/>
      <c r="P758" s="131"/>
    </row>
    <row r="759" spans="1:16" ht="25.5" hidden="1">
      <c r="A759" s="138" t="s">
        <v>153</v>
      </c>
      <c r="B759" s="164"/>
      <c r="C759" s="164"/>
      <c r="D759" s="131">
        <v>12</v>
      </c>
      <c r="E759" s="131"/>
      <c r="F759" s="131">
        <f>D759</f>
        <v>12</v>
      </c>
      <c r="G759" s="131">
        <v>12</v>
      </c>
      <c r="H759" s="131"/>
      <c r="I759" s="131"/>
      <c r="J759" s="131">
        <f>G759</f>
        <v>12</v>
      </c>
      <c r="K759" s="131"/>
      <c r="L759" s="131"/>
      <c r="M759" s="131"/>
      <c r="N759" s="131">
        <v>0</v>
      </c>
      <c r="O759" s="131"/>
      <c r="P759" s="131">
        <v>0</v>
      </c>
    </row>
    <row r="760" spans="1:16" ht="12.75" hidden="1">
      <c r="A760" s="133" t="s">
        <v>186</v>
      </c>
      <c r="B760" s="164"/>
      <c r="C760" s="164"/>
      <c r="D760" s="131"/>
      <c r="E760" s="131"/>
      <c r="F760" s="131"/>
      <c r="G760" s="131"/>
      <c r="H760" s="131"/>
      <c r="I760" s="131"/>
      <c r="J760" s="131"/>
      <c r="K760" s="131"/>
      <c r="L760" s="131"/>
      <c r="M760" s="131"/>
      <c r="N760" s="131"/>
      <c r="O760" s="131"/>
      <c r="P760" s="131"/>
    </row>
    <row r="761" spans="1:16" ht="25.5" hidden="1">
      <c r="A761" s="134" t="s">
        <v>300</v>
      </c>
      <c r="B761" s="164"/>
      <c r="C761" s="164"/>
      <c r="D761" s="131">
        <f>SUM(D757)/D759</f>
        <v>49033.333333333336</v>
      </c>
      <c r="E761" s="131"/>
      <c r="F761" s="131">
        <f>D761</f>
        <v>49033.333333333336</v>
      </c>
      <c r="G761" s="131">
        <f>SUM(G757)/G759</f>
        <v>48166.666666666664</v>
      </c>
      <c r="H761" s="131"/>
      <c r="I761" s="131"/>
      <c r="J761" s="131">
        <f>G761</f>
        <v>48166.666666666664</v>
      </c>
      <c r="K761" s="131"/>
      <c r="L761" s="131"/>
      <c r="M761" s="131"/>
      <c r="N761" s="131"/>
      <c r="O761" s="131"/>
      <c r="P761" s="131"/>
    </row>
    <row r="762" spans="1:102" s="37" customFormat="1" ht="27" hidden="1">
      <c r="A762" s="137" t="s">
        <v>82</v>
      </c>
      <c r="B762" s="162"/>
      <c r="C762" s="162"/>
      <c r="D762" s="160"/>
      <c r="E762" s="160"/>
      <c r="F762" s="160"/>
      <c r="G762" s="161"/>
      <c r="H762" s="161"/>
      <c r="I762" s="161"/>
      <c r="J762" s="161"/>
      <c r="K762" s="161"/>
      <c r="L762" s="161"/>
      <c r="M762" s="161"/>
      <c r="N762" s="161"/>
      <c r="O762" s="161"/>
      <c r="P762" s="161"/>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c r="AY762" s="36"/>
      <c r="AZ762" s="36"/>
      <c r="BA762" s="36"/>
      <c r="BB762" s="36"/>
      <c r="BC762" s="36"/>
      <c r="BD762" s="36"/>
      <c r="BE762" s="36"/>
      <c r="BF762" s="36"/>
      <c r="BG762" s="36"/>
      <c r="BH762" s="36"/>
      <c r="BI762" s="36"/>
      <c r="BJ762" s="36"/>
      <c r="BK762" s="36"/>
      <c r="BL762" s="36"/>
      <c r="BM762" s="36"/>
      <c r="BN762" s="36"/>
      <c r="BO762" s="36"/>
      <c r="BP762" s="36"/>
      <c r="BQ762" s="36"/>
      <c r="BR762" s="36"/>
      <c r="BS762" s="36"/>
      <c r="BT762" s="36"/>
      <c r="BU762" s="36"/>
      <c r="BV762" s="36"/>
      <c r="BW762" s="36"/>
      <c r="BX762" s="36"/>
      <c r="BY762" s="36"/>
      <c r="BZ762" s="36"/>
      <c r="CA762" s="36"/>
      <c r="CB762" s="36"/>
      <c r="CC762" s="36"/>
      <c r="CD762" s="36"/>
      <c r="CE762" s="36"/>
      <c r="CF762" s="36"/>
      <c r="CG762" s="36"/>
      <c r="CH762" s="36"/>
      <c r="CI762" s="36"/>
      <c r="CJ762" s="36"/>
      <c r="CK762" s="36"/>
      <c r="CL762" s="36"/>
      <c r="CM762" s="36"/>
      <c r="CN762" s="36"/>
      <c r="CO762" s="36"/>
      <c r="CP762" s="36"/>
      <c r="CQ762" s="36"/>
      <c r="CR762" s="36"/>
      <c r="CS762" s="36"/>
      <c r="CT762" s="36"/>
      <c r="CU762" s="36"/>
      <c r="CV762" s="36"/>
      <c r="CW762" s="36"/>
      <c r="CX762" s="36"/>
    </row>
    <row r="763" spans="1:16" ht="15.75" customHeight="1" hidden="1">
      <c r="A763" s="133" t="s">
        <v>183</v>
      </c>
      <c r="B763" s="164"/>
      <c r="C763" s="164"/>
      <c r="D763" s="131"/>
      <c r="E763" s="131"/>
      <c r="F763" s="131"/>
      <c r="G763" s="131"/>
      <c r="H763" s="131"/>
      <c r="I763" s="131"/>
      <c r="J763" s="131"/>
      <c r="K763" s="131"/>
      <c r="L763" s="131"/>
      <c r="M763" s="131"/>
      <c r="N763" s="131"/>
      <c r="O763" s="131"/>
      <c r="P763" s="131"/>
    </row>
    <row r="764" spans="1:16" ht="15.75" customHeight="1" hidden="1">
      <c r="A764" s="134" t="s">
        <v>204</v>
      </c>
      <c r="B764" s="164"/>
      <c r="C764" s="164"/>
      <c r="D764" s="131">
        <f>D762</f>
        <v>0</v>
      </c>
      <c r="E764" s="131"/>
      <c r="F764" s="131">
        <f>D764</f>
        <v>0</v>
      </c>
      <c r="G764" s="131"/>
      <c r="H764" s="131"/>
      <c r="I764" s="131"/>
      <c r="J764" s="131"/>
      <c r="K764" s="131"/>
      <c r="L764" s="131"/>
      <c r="M764" s="131"/>
      <c r="N764" s="131"/>
      <c r="O764" s="131"/>
      <c r="P764" s="131"/>
    </row>
    <row r="765" spans="1:102" s="37" customFormat="1" ht="27" hidden="1">
      <c r="A765" s="137" t="s">
        <v>83</v>
      </c>
      <c r="B765" s="162"/>
      <c r="C765" s="162"/>
      <c r="D765" s="160"/>
      <c r="E765" s="160"/>
      <c r="F765" s="160">
        <f>D765</f>
        <v>0</v>
      </c>
      <c r="G765" s="161"/>
      <c r="H765" s="161"/>
      <c r="I765" s="161"/>
      <c r="J765" s="161"/>
      <c r="K765" s="161"/>
      <c r="L765" s="161"/>
      <c r="M765" s="161"/>
      <c r="N765" s="161"/>
      <c r="O765" s="161"/>
      <c r="P765" s="161"/>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6"/>
      <c r="AY765" s="36"/>
      <c r="AZ765" s="36"/>
      <c r="BA765" s="36"/>
      <c r="BB765" s="36"/>
      <c r="BC765" s="36"/>
      <c r="BD765" s="36"/>
      <c r="BE765" s="36"/>
      <c r="BF765" s="36"/>
      <c r="BG765" s="36"/>
      <c r="BH765" s="36"/>
      <c r="BI765" s="36"/>
      <c r="BJ765" s="36"/>
      <c r="BK765" s="36"/>
      <c r="BL765" s="36"/>
      <c r="BM765" s="36"/>
      <c r="BN765" s="36"/>
      <c r="BO765" s="36"/>
      <c r="BP765" s="36"/>
      <c r="BQ765" s="36"/>
      <c r="BR765" s="36"/>
      <c r="BS765" s="36"/>
      <c r="BT765" s="36"/>
      <c r="BU765" s="36"/>
      <c r="BV765" s="36"/>
      <c r="BW765" s="36"/>
      <c r="BX765" s="36"/>
      <c r="BY765" s="36"/>
      <c r="BZ765" s="36"/>
      <c r="CA765" s="36"/>
      <c r="CB765" s="36"/>
      <c r="CC765" s="36"/>
      <c r="CD765" s="36"/>
      <c r="CE765" s="36"/>
      <c r="CF765" s="36"/>
      <c r="CG765" s="36"/>
      <c r="CH765" s="36"/>
      <c r="CI765" s="36"/>
      <c r="CJ765" s="36"/>
      <c r="CK765" s="36"/>
      <c r="CL765" s="36"/>
      <c r="CM765" s="36"/>
      <c r="CN765" s="36"/>
      <c r="CO765" s="36"/>
      <c r="CP765" s="36"/>
      <c r="CQ765" s="36"/>
      <c r="CR765" s="36"/>
      <c r="CS765" s="36"/>
      <c r="CT765" s="36"/>
      <c r="CU765" s="36"/>
      <c r="CV765" s="36"/>
      <c r="CW765" s="36"/>
      <c r="CX765" s="36"/>
    </row>
    <row r="766" spans="1:16" ht="15.75" customHeight="1" hidden="1">
      <c r="A766" s="133" t="s">
        <v>183</v>
      </c>
      <c r="B766" s="164"/>
      <c r="C766" s="164"/>
      <c r="D766" s="131"/>
      <c r="E766" s="131"/>
      <c r="F766" s="131"/>
      <c r="G766" s="131"/>
      <c r="H766" s="131"/>
      <c r="I766" s="131"/>
      <c r="J766" s="131"/>
      <c r="K766" s="131"/>
      <c r="L766" s="131"/>
      <c r="M766" s="131"/>
      <c r="N766" s="131"/>
      <c r="O766" s="131"/>
      <c r="P766" s="131"/>
    </row>
    <row r="767" spans="1:16" ht="15.75" customHeight="1" hidden="1">
      <c r="A767" s="134" t="s">
        <v>204</v>
      </c>
      <c r="B767" s="164"/>
      <c r="C767" s="164"/>
      <c r="D767" s="131"/>
      <c r="E767" s="131"/>
      <c r="F767" s="131">
        <f>D767</f>
        <v>0</v>
      </c>
      <c r="G767" s="131"/>
      <c r="H767" s="131"/>
      <c r="I767" s="131"/>
      <c r="J767" s="131"/>
      <c r="K767" s="131"/>
      <c r="L767" s="131"/>
      <c r="M767" s="131"/>
      <c r="N767" s="131"/>
      <c r="O767" s="131"/>
      <c r="P767" s="131"/>
    </row>
    <row r="768" spans="1:102" s="43" customFormat="1" ht="15" customHeight="1" hidden="1">
      <c r="A768" s="137" t="s">
        <v>84</v>
      </c>
      <c r="B768" s="159"/>
      <c r="C768" s="159"/>
      <c r="D768" s="168">
        <f>500000-55400-444600</f>
        <v>0</v>
      </c>
      <c r="E768" s="168"/>
      <c r="F768" s="168">
        <f>D768</f>
        <v>0</v>
      </c>
      <c r="G768" s="168">
        <f>500000-374000</f>
        <v>126000</v>
      </c>
      <c r="H768" s="168"/>
      <c r="I768" s="168"/>
      <c r="J768" s="168">
        <f>G768+H768</f>
        <v>126000</v>
      </c>
      <c r="K768" s="160"/>
      <c r="L768" s="160"/>
      <c r="M768" s="160"/>
      <c r="N768" s="168"/>
      <c r="O768" s="168"/>
      <c r="P768" s="168">
        <f>N768+O768</f>
        <v>0</v>
      </c>
      <c r="Q768" s="52"/>
      <c r="R768" s="52"/>
      <c r="S768" s="52"/>
      <c r="T768" s="52"/>
      <c r="U768" s="52"/>
      <c r="V768" s="52"/>
      <c r="W768" s="52"/>
      <c r="X768" s="52"/>
      <c r="Y768" s="52"/>
      <c r="Z768" s="52"/>
      <c r="AA768" s="52"/>
      <c r="AB768" s="52"/>
      <c r="AC768" s="52"/>
      <c r="AD768" s="52"/>
      <c r="AE768" s="52"/>
      <c r="AF768" s="52"/>
      <c r="AG768" s="52"/>
      <c r="AH768" s="52"/>
      <c r="AI768" s="52"/>
      <c r="AJ768" s="52"/>
      <c r="AK768" s="52"/>
      <c r="AL768" s="52"/>
      <c r="AM768" s="52"/>
      <c r="AN768" s="52"/>
      <c r="AO768" s="52"/>
      <c r="AP768" s="52"/>
      <c r="AQ768" s="52"/>
      <c r="AR768" s="52"/>
      <c r="AS768" s="52"/>
      <c r="AT768" s="52"/>
      <c r="AU768" s="52"/>
      <c r="AV768" s="52"/>
      <c r="AW768" s="52"/>
      <c r="AX768" s="52"/>
      <c r="AY768" s="52"/>
      <c r="AZ768" s="52"/>
      <c r="BA768" s="52"/>
      <c r="BB768" s="52"/>
      <c r="BC768" s="52"/>
      <c r="BD768" s="52"/>
      <c r="BE768" s="52"/>
      <c r="BF768" s="52"/>
      <c r="BG768" s="52"/>
      <c r="BH768" s="52"/>
      <c r="BI768" s="52"/>
      <c r="BJ768" s="52"/>
      <c r="BK768" s="52"/>
      <c r="BL768" s="52"/>
      <c r="BM768" s="52"/>
      <c r="BN768" s="52"/>
      <c r="BO768" s="52"/>
      <c r="BP768" s="52"/>
      <c r="BQ768" s="52"/>
      <c r="BR768" s="52"/>
      <c r="BS768" s="52"/>
      <c r="BT768" s="52"/>
      <c r="BU768" s="52"/>
      <c r="BV768" s="52"/>
      <c r="BW768" s="52"/>
      <c r="BX768" s="52"/>
      <c r="BY768" s="52"/>
      <c r="BZ768" s="52"/>
      <c r="CA768" s="52"/>
      <c r="CB768" s="52"/>
      <c r="CC768" s="52"/>
      <c r="CD768" s="52"/>
      <c r="CE768" s="52"/>
      <c r="CF768" s="52"/>
      <c r="CG768" s="52"/>
      <c r="CH768" s="52"/>
      <c r="CI768" s="52"/>
      <c r="CJ768" s="52"/>
      <c r="CK768" s="52"/>
      <c r="CL768" s="52"/>
      <c r="CM768" s="52"/>
      <c r="CN768" s="52"/>
      <c r="CO768" s="52"/>
      <c r="CP768" s="52"/>
      <c r="CQ768" s="52"/>
      <c r="CR768" s="52"/>
      <c r="CS768" s="52"/>
      <c r="CT768" s="52"/>
      <c r="CU768" s="52"/>
      <c r="CV768" s="52"/>
      <c r="CW768" s="52"/>
      <c r="CX768" s="52"/>
    </row>
    <row r="769" spans="1:16" ht="12" customHeight="1" hidden="1">
      <c r="A769" s="133" t="s">
        <v>183</v>
      </c>
      <c r="B769" s="164"/>
      <c r="C769" s="164"/>
      <c r="D769" s="131"/>
      <c r="E769" s="131"/>
      <c r="F769" s="131"/>
      <c r="G769" s="131"/>
      <c r="H769" s="131"/>
      <c r="I769" s="131"/>
      <c r="J769" s="161"/>
      <c r="K769" s="131"/>
      <c r="L769" s="131"/>
      <c r="M769" s="131"/>
      <c r="N769" s="131"/>
      <c r="O769" s="131"/>
      <c r="P769" s="181"/>
    </row>
    <row r="770" spans="1:16" ht="12" customHeight="1" hidden="1">
      <c r="A770" s="134" t="s">
        <v>204</v>
      </c>
      <c r="B770" s="164"/>
      <c r="C770" s="164"/>
      <c r="D770" s="131">
        <f>D768</f>
        <v>0</v>
      </c>
      <c r="E770" s="131"/>
      <c r="F770" s="131">
        <f>D770</f>
        <v>0</v>
      </c>
      <c r="G770" s="131">
        <f>G768</f>
        <v>126000</v>
      </c>
      <c r="H770" s="131"/>
      <c r="I770" s="131"/>
      <c r="J770" s="161">
        <f aca="true" t="shared" si="56" ref="J770:J775">G770+H770</f>
        <v>126000</v>
      </c>
      <c r="K770" s="131"/>
      <c r="L770" s="131"/>
      <c r="M770" s="131"/>
      <c r="N770" s="131">
        <f>N768</f>
        <v>0</v>
      </c>
      <c r="O770" s="131"/>
      <c r="P770" s="181">
        <f aca="true" t="shared" si="57" ref="P770:P775">N770+O770</f>
        <v>0</v>
      </c>
    </row>
    <row r="771" spans="1:16" ht="12" customHeight="1" hidden="1">
      <c r="A771" s="133" t="s">
        <v>184</v>
      </c>
      <c r="B771" s="164"/>
      <c r="C771" s="164"/>
      <c r="D771" s="131"/>
      <c r="E771" s="131"/>
      <c r="F771" s="131"/>
      <c r="G771" s="131"/>
      <c r="H771" s="131"/>
      <c r="I771" s="131"/>
      <c r="J771" s="161"/>
      <c r="K771" s="131"/>
      <c r="L771" s="131"/>
      <c r="M771" s="131"/>
      <c r="N771" s="131"/>
      <c r="O771" s="131"/>
      <c r="P771" s="181"/>
    </row>
    <row r="772" spans="1:16" ht="12.75" hidden="1">
      <c r="A772" s="134" t="s">
        <v>168</v>
      </c>
      <c r="B772" s="164"/>
      <c r="C772" s="164"/>
      <c r="D772" s="166">
        <v>0</v>
      </c>
      <c r="E772" s="166"/>
      <c r="F772" s="166">
        <v>57</v>
      </c>
      <c r="G772" s="166">
        <v>27</v>
      </c>
      <c r="H772" s="166"/>
      <c r="I772" s="166"/>
      <c r="J772" s="169">
        <f t="shared" si="56"/>
        <v>27</v>
      </c>
      <c r="K772" s="166"/>
      <c r="L772" s="166"/>
      <c r="M772" s="166"/>
      <c r="N772" s="166"/>
      <c r="O772" s="166"/>
      <c r="P772" s="280">
        <f t="shared" si="57"/>
        <v>0</v>
      </c>
    </row>
    <row r="773" spans="1:16" ht="15.75" customHeight="1" hidden="1">
      <c r="A773" s="134" t="s">
        <v>255</v>
      </c>
      <c r="B773" s="164"/>
      <c r="C773" s="164"/>
      <c r="D773" s="131">
        <v>0</v>
      </c>
      <c r="E773" s="131"/>
      <c r="F773" s="131">
        <f>D773</f>
        <v>0</v>
      </c>
      <c r="G773" s="131">
        <v>27</v>
      </c>
      <c r="H773" s="131"/>
      <c r="I773" s="131"/>
      <c r="J773" s="161">
        <f t="shared" si="56"/>
        <v>27</v>
      </c>
      <c r="K773" s="131"/>
      <c r="L773" s="131"/>
      <c r="M773" s="131"/>
      <c r="N773" s="131"/>
      <c r="O773" s="131"/>
      <c r="P773" s="181">
        <f t="shared" si="57"/>
        <v>0</v>
      </c>
    </row>
    <row r="774" spans="1:16" ht="12.75" customHeight="1" hidden="1">
      <c r="A774" s="133" t="s">
        <v>186</v>
      </c>
      <c r="B774" s="164"/>
      <c r="C774" s="164"/>
      <c r="D774" s="131"/>
      <c r="E774" s="131"/>
      <c r="F774" s="131"/>
      <c r="G774" s="131"/>
      <c r="H774" s="131"/>
      <c r="I774" s="131"/>
      <c r="J774" s="161"/>
      <c r="K774" s="131"/>
      <c r="L774" s="131"/>
      <c r="M774" s="131"/>
      <c r="N774" s="131"/>
      <c r="O774" s="131"/>
      <c r="P774" s="181"/>
    </row>
    <row r="775" spans="1:16" ht="17.25" customHeight="1" hidden="1">
      <c r="A775" s="134" t="s">
        <v>256</v>
      </c>
      <c r="B775" s="164"/>
      <c r="C775" s="164"/>
      <c r="D775" s="131">
        <v>0</v>
      </c>
      <c r="E775" s="131"/>
      <c r="F775" s="131">
        <f>D775</f>
        <v>0</v>
      </c>
      <c r="G775" s="131">
        <v>1950.89</v>
      </c>
      <c r="H775" s="131"/>
      <c r="I775" s="131"/>
      <c r="J775" s="161">
        <f t="shared" si="56"/>
        <v>1950.89</v>
      </c>
      <c r="K775" s="131"/>
      <c r="L775" s="131"/>
      <c r="M775" s="131"/>
      <c r="N775" s="131"/>
      <c r="O775" s="131"/>
      <c r="P775" s="181">
        <f t="shared" si="57"/>
        <v>0</v>
      </c>
    </row>
    <row r="776" spans="1:102" s="43" customFormat="1" ht="30.75" customHeight="1" hidden="1">
      <c r="A776" s="137" t="s">
        <v>85</v>
      </c>
      <c r="B776" s="159"/>
      <c r="C776" s="159"/>
      <c r="D776" s="160">
        <f>600000-389000-11000</f>
        <v>200000</v>
      </c>
      <c r="E776" s="160"/>
      <c r="F776" s="160">
        <f>D776</f>
        <v>200000</v>
      </c>
      <c r="G776" s="160">
        <v>600000</v>
      </c>
      <c r="H776" s="160"/>
      <c r="I776" s="160"/>
      <c r="J776" s="160">
        <f>G776+H776</f>
        <v>600000</v>
      </c>
      <c r="K776" s="160"/>
      <c r="L776" s="160"/>
      <c r="M776" s="160"/>
      <c r="N776" s="160">
        <v>634200</v>
      </c>
      <c r="O776" s="160"/>
      <c r="P776" s="160">
        <f>M776+N776</f>
        <v>634200</v>
      </c>
      <c r="Q776" s="52"/>
      <c r="R776" s="52"/>
      <c r="S776" s="52"/>
      <c r="T776" s="52"/>
      <c r="U776" s="52"/>
      <c r="V776" s="52"/>
      <c r="W776" s="52"/>
      <c r="X776" s="52"/>
      <c r="Y776" s="52"/>
      <c r="Z776" s="52"/>
      <c r="AA776" s="52"/>
      <c r="AB776" s="52"/>
      <c r="AC776" s="52"/>
      <c r="AD776" s="52"/>
      <c r="AE776" s="52"/>
      <c r="AF776" s="52"/>
      <c r="AG776" s="52"/>
      <c r="AH776" s="52"/>
      <c r="AI776" s="52"/>
      <c r="AJ776" s="52"/>
      <c r="AK776" s="52"/>
      <c r="AL776" s="52"/>
      <c r="AM776" s="52"/>
      <c r="AN776" s="52"/>
      <c r="AO776" s="52"/>
      <c r="AP776" s="52"/>
      <c r="AQ776" s="52"/>
      <c r="AR776" s="52"/>
      <c r="AS776" s="52"/>
      <c r="AT776" s="52"/>
      <c r="AU776" s="52"/>
      <c r="AV776" s="52"/>
      <c r="AW776" s="52"/>
      <c r="AX776" s="52"/>
      <c r="AY776" s="52"/>
      <c r="AZ776" s="52"/>
      <c r="BA776" s="52"/>
      <c r="BB776" s="52"/>
      <c r="BC776" s="52"/>
      <c r="BD776" s="52"/>
      <c r="BE776" s="52"/>
      <c r="BF776" s="52"/>
      <c r="BG776" s="52"/>
      <c r="BH776" s="52"/>
      <c r="BI776" s="52"/>
      <c r="BJ776" s="52"/>
      <c r="BK776" s="52"/>
      <c r="BL776" s="52"/>
      <c r="BM776" s="52"/>
      <c r="BN776" s="52"/>
      <c r="BO776" s="52"/>
      <c r="BP776" s="52"/>
      <c r="BQ776" s="52"/>
      <c r="BR776" s="52"/>
      <c r="BS776" s="52"/>
      <c r="BT776" s="52"/>
      <c r="BU776" s="52"/>
      <c r="BV776" s="52"/>
      <c r="BW776" s="52"/>
      <c r="BX776" s="52"/>
      <c r="BY776" s="52"/>
      <c r="BZ776" s="52"/>
      <c r="CA776" s="52"/>
      <c r="CB776" s="52"/>
      <c r="CC776" s="52"/>
      <c r="CD776" s="52"/>
      <c r="CE776" s="52"/>
      <c r="CF776" s="52"/>
      <c r="CG776" s="52"/>
      <c r="CH776" s="52"/>
      <c r="CI776" s="52"/>
      <c r="CJ776" s="52"/>
      <c r="CK776" s="52"/>
      <c r="CL776" s="52"/>
      <c r="CM776" s="52"/>
      <c r="CN776" s="52"/>
      <c r="CO776" s="52"/>
      <c r="CP776" s="52"/>
      <c r="CQ776" s="52"/>
      <c r="CR776" s="52"/>
      <c r="CS776" s="52"/>
      <c r="CT776" s="52"/>
      <c r="CU776" s="52"/>
      <c r="CV776" s="52"/>
      <c r="CW776" s="52"/>
      <c r="CX776" s="52"/>
    </row>
    <row r="777" spans="1:16" ht="11.25" customHeight="1" hidden="1">
      <c r="A777" s="133" t="s">
        <v>183</v>
      </c>
      <c r="B777" s="164"/>
      <c r="C777" s="164"/>
      <c r="D777" s="131"/>
      <c r="E777" s="131"/>
      <c r="F777" s="131"/>
      <c r="G777" s="131"/>
      <c r="H777" s="131"/>
      <c r="I777" s="131"/>
      <c r="J777" s="181"/>
      <c r="K777" s="131"/>
      <c r="L777" s="131"/>
      <c r="M777" s="131"/>
      <c r="N777" s="131"/>
      <c r="O777" s="131"/>
      <c r="P777" s="244"/>
    </row>
    <row r="778" spans="1:16" ht="14.25" customHeight="1" hidden="1">
      <c r="A778" s="134" t="s">
        <v>204</v>
      </c>
      <c r="B778" s="164"/>
      <c r="C778" s="164"/>
      <c r="D778" s="131">
        <f>D776</f>
        <v>200000</v>
      </c>
      <c r="E778" s="131"/>
      <c r="F778" s="131">
        <f>D778+E778</f>
        <v>200000</v>
      </c>
      <c r="G778" s="131">
        <f>G776</f>
        <v>600000</v>
      </c>
      <c r="H778" s="131"/>
      <c r="I778" s="131"/>
      <c r="J778" s="181">
        <f>G778+H778</f>
        <v>600000</v>
      </c>
      <c r="K778" s="131"/>
      <c r="L778" s="131"/>
      <c r="M778" s="131"/>
      <c r="N778" s="131">
        <f>N776</f>
        <v>634200</v>
      </c>
      <c r="O778" s="131"/>
      <c r="P778" s="244">
        <f>M778+N778</f>
        <v>634200</v>
      </c>
    </row>
    <row r="779" spans="1:16" ht="10.5" customHeight="1" hidden="1">
      <c r="A779" s="133" t="s">
        <v>184</v>
      </c>
      <c r="B779" s="164"/>
      <c r="C779" s="164"/>
      <c r="D779" s="131"/>
      <c r="E779" s="131"/>
      <c r="F779" s="131"/>
      <c r="G779" s="131"/>
      <c r="H779" s="131"/>
      <c r="I779" s="131"/>
      <c r="J779" s="181"/>
      <c r="K779" s="131"/>
      <c r="L779" s="131"/>
      <c r="M779" s="131"/>
      <c r="N779" s="131"/>
      <c r="O779" s="131"/>
      <c r="P779" s="244"/>
    </row>
    <row r="780" spans="1:16" ht="12.75" hidden="1">
      <c r="A780" s="134" t="s">
        <v>258</v>
      </c>
      <c r="B780" s="164"/>
      <c r="C780" s="164"/>
      <c r="D780" s="166">
        <v>55</v>
      </c>
      <c r="E780" s="166"/>
      <c r="F780" s="166">
        <f>D780</f>
        <v>55</v>
      </c>
      <c r="G780" s="166">
        <v>200</v>
      </c>
      <c r="H780" s="166"/>
      <c r="I780" s="166"/>
      <c r="J780" s="280">
        <f>G780+H780</f>
        <v>200</v>
      </c>
      <c r="K780" s="166"/>
      <c r="L780" s="166"/>
      <c r="M780" s="166"/>
      <c r="N780" s="166">
        <v>200</v>
      </c>
      <c r="O780" s="166"/>
      <c r="P780" s="255">
        <f>M780+N780</f>
        <v>200</v>
      </c>
    </row>
    <row r="781" spans="1:16" ht="12.75" hidden="1">
      <c r="A781" s="133" t="s">
        <v>186</v>
      </c>
      <c r="B781" s="164"/>
      <c r="C781" s="164"/>
      <c r="D781" s="131"/>
      <c r="E781" s="131"/>
      <c r="F781" s="131"/>
      <c r="G781" s="131"/>
      <c r="H781" s="131"/>
      <c r="I781" s="131"/>
      <c r="J781" s="181"/>
      <c r="K781" s="131"/>
      <c r="L781" s="131"/>
      <c r="M781" s="131"/>
      <c r="N781" s="131"/>
      <c r="O781" s="131"/>
      <c r="P781" s="244"/>
    </row>
    <row r="782" spans="1:16" ht="12.75" hidden="1">
      <c r="A782" s="134" t="s">
        <v>259</v>
      </c>
      <c r="B782" s="164"/>
      <c r="C782" s="164"/>
      <c r="D782" s="131">
        <f>D778/D780</f>
        <v>3636.3636363636365</v>
      </c>
      <c r="E782" s="131"/>
      <c r="F782" s="131">
        <f>D782</f>
        <v>3636.3636363636365</v>
      </c>
      <c r="G782" s="131">
        <f>G778/G780</f>
        <v>3000</v>
      </c>
      <c r="H782" s="131"/>
      <c r="I782" s="131"/>
      <c r="J782" s="181">
        <f>G782+H782</f>
        <v>3000</v>
      </c>
      <c r="K782" s="131"/>
      <c r="L782" s="131"/>
      <c r="M782" s="131"/>
      <c r="N782" s="131">
        <f>N778/N780</f>
        <v>3171</v>
      </c>
      <c r="O782" s="131"/>
      <c r="P782" s="244">
        <f>M782+N782</f>
        <v>3171</v>
      </c>
    </row>
    <row r="783" spans="1:102" s="43" customFormat="1" ht="27" hidden="1">
      <c r="A783" s="137" t="s">
        <v>172</v>
      </c>
      <c r="B783" s="159"/>
      <c r="C783" s="159"/>
      <c r="D783" s="160">
        <f>350000-271000-100</f>
        <v>78900</v>
      </c>
      <c r="E783" s="160"/>
      <c r="F783" s="160">
        <f>D783+E783</f>
        <v>78900</v>
      </c>
      <c r="G783" s="160">
        <f>371700-271700</f>
        <v>100000</v>
      </c>
      <c r="H783" s="160"/>
      <c r="I783" s="160"/>
      <c r="J783" s="160">
        <f>G783+H783</f>
        <v>100000</v>
      </c>
      <c r="K783" s="160"/>
      <c r="L783" s="160"/>
      <c r="M783" s="160"/>
      <c r="N783" s="160">
        <v>393000</v>
      </c>
      <c r="O783" s="160"/>
      <c r="P783" s="160">
        <f>M783+N783</f>
        <v>393000</v>
      </c>
      <c r="Q783" s="52"/>
      <c r="R783" s="52"/>
      <c r="S783" s="52"/>
      <c r="T783" s="52"/>
      <c r="U783" s="52"/>
      <c r="V783" s="52"/>
      <c r="W783" s="52"/>
      <c r="X783" s="52"/>
      <c r="Y783" s="52"/>
      <c r="Z783" s="52"/>
      <c r="AA783" s="52"/>
      <c r="AB783" s="52"/>
      <c r="AC783" s="52"/>
      <c r="AD783" s="52"/>
      <c r="AE783" s="52"/>
      <c r="AF783" s="52"/>
      <c r="AG783" s="52"/>
      <c r="AH783" s="52"/>
      <c r="AI783" s="52"/>
      <c r="AJ783" s="52"/>
      <c r="AK783" s="52"/>
      <c r="AL783" s="52"/>
      <c r="AM783" s="52"/>
      <c r="AN783" s="52"/>
      <c r="AO783" s="52"/>
      <c r="AP783" s="52"/>
      <c r="AQ783" s="52"/>
      <c r="AR783" s="52"/>
      <c r="AS783" s="52"/>
      <c r="AT783" s="52"/>
      <c r="AU783" s="52"/>
      <c r="AV783" s="52"/>
      <c r="AW783" s="52"/>
      <c r="AX783" s="52"/>
      <c r="AY783" s="52"/>
      <c r="AZ783" s="52"/>
      <c r="BA783" s="52"/>
      <c r="BB783" s="52"/>
      <c r="BC783" s="52"/>
      <c r="BD783" s="52"/>
      <c r="BE783" s="52"/>
      <c r="BF783" s="52"/>
      <c r="BG783" s="52"/>
      <c r="BH783" s="52"/>
      <c r="BI783" s="52"/>
      <c r="BJ783" s="52"/>
      <c r="BK783" s="52"/>
      <c r="BL783" s="52"/>
      <c r="BM783" s="52"/>
      <c r="BN783" s="52"/>
      <c r="BO783" s="52"/>
      <c r="BP783" s="52"/>
      <c r="BQ783" s="52"/>
      <c r="BR783" s="52"/>
      <c r="BS783" s="52"/>
      <c r="BT783" s="52"/>
      <c r="BU783" s="52"/>
      <c r="BV783" s="52"/>
      <c r="BW783" s="52"/>
      <c r="BX783" s="52"/>
      <c r="BY783" s="52"/>
      <c r="BZ783" s="52"/>
      <c r="CA783" s="52"/>
      <c r="CB783" s="52"/>
      <c r="CC783" s="52"/>
      <c r="CD783" s="52"/>
      <c r="CE783" s="52"/>
      <c r="CF783" s="52"/>
      <c r="CG783" s="52"/>
      <c r="CH783" s="52"/>
      <c r="CI783" s="52"/>
      <c r="CJ783" s="52"/>
      <c r="CK783" s="52"/>
      <c r="CL783" s="52"/>
      <c r="CM783" s="52"/>
      <c r="CN783" s="52"/>
      <c r="CO783" s="52"/>
      <c r="CP783" s="52"/>
      <c r="CQ783" s="52"/>
      <c r="CR783" s="52"/>
      <c r="CS783" s="52"/>
      <c r="CT783" s="52"/>
      <c r="CU783" s="52"/>
      <c r="CV783" s="52"/>
      <c r="CW783" s="52"/>
      <c r="CX783" s="52"/>
    </row>
    <row r="784" spans="1:16" ht="12.75" hidden="1">
      <c r="A784" s="133" t="s">
        <v>183</v>
      </c>
      <c r="B784" s="164"/>
      <c r="C784" s="164"/>
      <c r="D784" s="131"/>
      <c r="E784" s="131"/>
      <c r="F784" s="131"/>
      <c r="G784" s="131"/>
      <c r="H784" s="131"/>
      <c r="I784" s="131"/>
      <c r="J784" s="181"/>
      <c r="K784" s="131"/>
      <c r="L784" s="131"/>
      <c r="M784" s="131"/>
      <c r="N784" s="131"/>
      <c r="O784" s="131"/>
      <c r="P784" s="244">
        <f aca="true" t="shared" si="58" ref="P784:P790">M784+N784</f>
        <v>0</v>
      </c>
    </row>
    <row r="785" spans="1:16" ht="12.75" hidden="1">
      <c r="A785" s="134" t="s">
        <v>169</v>
      </c>
      <c r="B785" s="164"/>
      <c r="C785" s="164"/>
      <c r="D785" s="131">
        <f>D783</f>
        <v>78900</v>
      </c>
      <c r="E785" s="131">
        <f>E783</f>
        <v>0</v>
      </c>
      <c r="F785" s="131">
        <f>D785+E785</f>
        <v>78900</v>
      </c>
      <c r="G785" s="131">
        <f>G783</f>
        <v>100000</v>
      </c>
      <c r="H785" s="131"/>
      <c r="I785" s="131"/>
      <c r="J785" s="181">
        <f aca="true" t="shared" si="59" ref="J785:J797">G785+H785</f>
        <v>100000</v>
      </c>
      <c r="K785" s="131"/>
      <c r="L785" s="131"/>
      <c r="M785" s="131"/>
      <c r="N785" s="131">
        <f>N783</f>
        <v>393000</v>
      </c>
      <c r="O785" s="131"/>
      <c r="P785" s="131">
        <f t="shared" si="58"/>
        <v>393000</v>
      </c>
    </row>
    <row r="786" spans="1:16" ht="12.75" hidden="1">
      <c r="A786" s="133" t="s">
        <v>184</v>
      </c>
      <c r="B786" s="164"/>
      <c r="C786" s="164"/>
      <c r="D786" s="131"/>
      <c r="E786" s="131"/>
      <c r="F786" s="131"/>
      <c r="G786" s="131"/>
      <c r="H786" s="131"/>
      <c r="I786" s="131"/>
      <c r="J786" s="181"/>
      <c r="K786" s="131"/>
      <c r="L786" s="131"/>
      <c r="M786" s="131"/>
      <c r="N786" s="131"/>
      <c r="O786" s="131"/>
      <c r="P786" s="131">
        <f t="shared" si="58"/>
        <v>0</v>
      </c>
    </row>
    <row r="787" spans="1:16" ht="13.5" customHeight="1" hidden="1">
      <c r="A787" s="150" t="s">
        <v>171</v>
      </c>
      <c r="B787" s="164"/>
      <c r="C787" s="164"/>
      <c r="D787" s="169">
        <v>5</v>
      </c>
      <c r="E787" s="166"/>
      <c r="F787" s="166">
        <f>D787+E787</f>
        <v>5</v>
      </c>
      <c r="G787" s="166">
        <v>5</v>
      </c>
      <c r="H787" s="166"/>
      <c r="I787" s="166"/>
      <c r="J787" s="280">
        <f t="shared" si="59"/>
        <v>5</v>
      </c>
      <c r="K787" s="166"/>
      <c r="L787" s="166"/>
      <c r="M787" s="166"/>
      <c r="N787" s="166">
        <v>5</v>
      </c>
      <c r="O787" s="166"/>
      <c r="P787" s="166">
        <f t="shared" si="58"/>
        <v>5</v>
      </c>
    </row>
    <row r="788" spans="1:16" ht="18" customHeight="1" hidden="1">
      <c r="A788" s="150" t="s">
        <v>327</v>
      </c>
      <c r="B788" s="164"/>
      <c r="C788" s="164"/>
      <c r="D788" s="161">
        <v>0</v>
      </c>
      <c r="E788" s="131"/>
      <c r="F788" s="131">
        <f>D788+E788</f>
        <v>0</v>
      </c>
      <c r="G788" s="131">
        <v>0</v>
      </c>
      <c r="H788" s="131"/>
      <c r="I788" s="131"/>
      <c r="J788" s="181">
        <f t="shared" si="59"/>
        <v>0</v>
      </c>
      <c r="K788" s="131"/>
      <c r="L788" s="131"/>
      <c r="M788" s="131"/>
      <c r="N788" s="131">
        <v>0</v>
      </c>
      <c r="O788" s="131"/>
      <c r="P788" s="131">
        <f t="shared" si="58"/>
        <v>0</v>
      </c>
    </row>
    <row r="789" spans="1:16" ht="12.75" hidden="1">
      <c r="A789" s="133" t="s">
        <v>186</v>
      </c>
      <c r="B789" s="164"/>
      <c r="C789" s="164"/>
      <c r="D789" s="131"/>
      <c r="E789" s="131"/>
      <c r="F789" s="131"/>
      <c r="G789" s="131"/>
      <c r="H789" s="131"/>
      <c r="I789" s="131"/>
      <c r="J789" s="181"/>
      <c r="K789" s="131"/>
      <c r="L789" s="131"/>
      <c r="M789" s="131"/>
      <c r="N789" s="131"/>
      <c r="O789" s="131"/>
      <c r="P789" s="131">
        <f t="shared" si="58"/>
        <v>0</v>
      </c>
    </row>
    <row r="790" spans="1:16" ht="25.5" hidden="1">
      <c r="A790" s="134" t="s">
        <v>170</v>
      </c>
      <c r="B790" s="164"/>
      <c r="C790" s="164"/>
      <c r="D790" s="131">
        <f>D785/D787</f>
        <v>15780</v>
      </c>
      <c r="E790" s="131"/>
      <c r="F790" s="131">
        <f>D790+E790</f>
        <v>15780</v>
      </c>
      <c r="G790" s="131">
        <f>G785/G787</f>
        <v>20000</v>
      </c>
      <c r="H790" s="131"/>
      <c r="I790" s="131"/>
      <c r="J790" s="181">
        <f t="shared" si="59"/>
        <v>20000</v>
      </c>
      <c r="K790" s="131"/>
      <c r="L790" s="131"/>
      <c r="M790" s="131"/>
      <c r="N790" s="131">
        <f>N785/N787</f>
        <v>78600</v>
      </c>
      <c r="O790" s="131"/>
      <c r="P790" s="131">
        <f t="shared" si="58"/>
        <v>78600</v>
      </c>
    </row>
    <row r="791" spans="1:17" s="43" customFormat="1" ht="27" hidden="1">
      <c r="A791" s="137" t="s">
        <v>556</v>
      </c>
      <c r="B791" s="159"/>
      <c r="C791" s="159"/>
      <c r="D791" s="160">
        <f>13000-13000</f>
        <v>0</v>
      </c>
      <c r="E791" s="160"/>
      <c r="F791" s="160">
        <f>D791</f>
        <v>0</v>
      </c>
      <c r="G791" s="160">
        <f>15000+45000</f>
        <v>60000</v>
      </c>
      <c r="H791" s="160"/>
      <c r="I791" s="160"/>
      <c r="J791" s="160">
        <f t="shared" si="59"/>
        <v>60000</v>
      </c>
      <c r="K791" s="160"/>
      <c r="L791" s="160"/>
      <c r="M791" s="160"/>
      <c r="N791" s="160">
        <v>17000</v>
      </c>
      <c r="O791" s="160"/>
      <c r="P791" s="160">
        <f>N791</f>
        <v>17000</v>
      </c>
      <c r="Q791" s="42"/>
    </row>
    <row r="792" spans="1:102" ht="12.75" hidden="1">
      <c r="A792" s="133" t="s">
        <v>183</v>
      </c>
      <c r="B792" s="164"/>
      <c r="C792" s="164"/>
      <c r="D792" s="131"/>
      <c r="E792" s="131"/>
      <c r="F792" s="131"/>
      <c r="G792" s="131"/>
      <c r="H792" s="131"/>
      <c r="I792" s="131"/>
      <c r="J792" s="181"/>
      <c r="K792" s="131"/>
      <c r="L792" s="131"/>
      <c r="M792" s="131"/>
      <c r="N792" s="131"/>
      <c r="O792" s="131"/>
      <c r="P792" s="131"/>
      <c r="Q792" s="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row>
    <row r="793" spans="1:102" ht="12.75" hidden="1">
      <c r="A793" s="134" t="s">
        <v>204</v>
      </c>
      <c r="B793" s="164"/>
      <c r="C793" s="164"/>
      <c r="D793" s="131">
        <f>D791</f>
        <v>0</v>
      </c>
      <c r="E793" s="131"/>
      <c r="F793" s="131">
        <f>D793</f>
        <v>0</v>
      </c>
      <c r="G793" s="131">
        <f>G791</f>
        <v>60000</v>
      </c>
      <c r="H793" s="131"/>
      <c r="I793" s="131"/>
      <c r="J793" s="181">
        <f t="shared" si="59"/>
        <v>60000</v>
      </c>
      <c r="K793" s="131"/>
      <c r="L793" s="131"/>
      <c r="M793" s="131"/>
      <c r="N793" s="131">
        <f>N791</f>
        <v>17000</v>
      </c>
      <c r="O793" s="131"/>
      <c r="P793" s="131">
        <f>N793</f>
        <v>17000</v>
      </c>
      <c r="Q793" s="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row>
    <row r="794" spans="1:102" ht="12.75" hidden="1">
      <c r="A794" s="133" t="s">
        <v>184</v>
      </c>
      <c r="B794" s="164"/>
      <c r="C794" s="164"/>
      <c r="D794" s="131"/>
      <c r="E794" s="131"/>
      <c r="F794" s="131"/>
      <c r="G794" s="131"/>
      <c r="H794" s="131"/>
      <c r="I794" s="131"/>
      <c r="J794" s="181"/>
      <c r="K794" s="131"/>
      <c r="L794" s="131"/>
      <c r="M794" s="131"/>
      <c r="N794" s="131"/>
      <c r="O794" s="131"/>
      <c r="P794" s="131"/>
      <c r="Q794" s="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row>
    <row r="795" spans="1:102" ht="12.75" hidden="1">
      <c r="A795" s="134" t="s">
        <v>330</v>
      </c>
      <c r="B795" s="164"/>
      <c r="C795" s="164"/>
      <c r="D795" s="166">
        <v>0</v>
      </c>
      <c r="E795" s="166"/>
      <c r="F795" s="166">
        <f>D795</f>
        <v>0</v>
      </c>
      <c r="G795" s="166">
        <v>3</v>
      </c>
      <c r="H795" s="166"/>
      <c r="I795" s="166"/>
      <c r="J795" s="280">
        <f t="shared" si="59"/>
        <v>3</v>
      </c>
      <c r="K795" s="166"/>
      <c r="L795" s="166"/>
      <c r="M795" s="166"/>
      <c r="N795" s="166">
        <v>1</v>
      </c>
      <c r="O795" s="166"/>
      <c r="P795" s="166">
        <f>N795</f>
        <v>1</v>
      </c>
      <c r="Q795" s="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row>
    <row r="796" spans="1:102" ht="12.75" hidden="1">
      <c r="A796" s="133" t="s">
        <v>186</v>
      </c>
      <c r="B796" s="164"/>
      <c r="C796" s="164"/>
      <c r="D796" s="131"/>
      <c r="E796" s="131"/>
      <c r="F796" s="131"/>
      <c r="G796" s="131"/>
      <c r="H796" s="131"/>
      <c r="I796" s="131"/>
      <c r="J796" s="181"/>
      <c r="K796" s="131"/>
      <c r="L796" s="131"/>
      <c r="M796" s="131"/>
      <c r="N796" s="131"/>
      <c r="O796" s="131"/>
      <c r="P796" s="131"/>
      <c r="Q796" s="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row>
    <row r="797" spans="1:102" ht="12.75" hidden="1">
      <c r="A797" s="134" t="s">
        <v>320</v>
      </c>
      <c r="B797" s="164"/>
      <c r="C797" s="164"/>
      <c r="D797" s="131" t="e">
        <f>D793/D795</f>
        <v>#DIV/0!</v>
      </c>
      <c r="E797" s="131"/>
      <c r="F797" s="131" t="e">
        <f>D797</f>
        <v>#DIV/0!</v>
      </c>
      <c r="G797" s="131">
        <f>G793/G795</f>
        <v>20000</v>
      </c>
      <c r="H797" s="131"/>
      <c r="I797" s="131"/>
      <c r="J797" s="181">
        <f t="shared" si="59"/>
        <v>20000</v>
      </c>
      <c r="K797" s="131"/>
      <c r="L797" s="131"/>
      <c r="M797" s="131"/>
      <c r="N797" s="131">
        <f>N793/N795</f>
        <v>17000</v>
      </c>
      <c r="O797" s="131"/>
      <c r="P797" s="131">
        <f>N797</f>
        <v>17000</v>
      </c>
      <c r="Q797" s="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row>
    <row r="798" spans="1:17" s="37" customFormat="1" ht="27" hidden="1">
      <c r="A798" s="137" t="s">
        <v>126</v>
      </c>
      <c r="B798" s="162"/>
      <c r="C798" s="162"/>
      <c r="D798" s="168">
        <f>100000+120000-25000</f>
        <v>195000</v>
      </c>
      <c r="E798" s="168"/>
      <c r="F798" s="168">
        <f>D798</f>
        <v>195000</v>
      </c>
      <c r="G798" s="168">
        <f>120000+98000+100000</f>
        <v>318000</v>
      </c>
      <c r="H798" s="168"/>
      <c r="I798" s="168"/>
      <c r="J798" s="168">
        <f>G798+H798</f>
        <v>318000</v>
      </c>
      <c r="K798" s="168"/>
      <c r="L798" s="168"/>
      <c r="M798" s="168"/>
      <c r="N798" s="168">
        <v>140000</v>
      </c>
      <c r="O798" s="168"/>
      <c r="P798" s="168">
        <f>N798+O798</f>
        <v>140000</v>
      </c>
      <c r="Q798" s="98"/>
    </row>
    <row r="799" spans="1:102" ht="12.75" hidden="1">
      <c r="A799" s="134" t="s">
        <v>183</v>
      </c>
      <c r="B799" s="164"/>
      <c r="C799" s="164"/>
      <c r="D799" s="131"/>
      <c r="E799" s="131"/>
      <c r="F799" s="131"/>
      <c r="G799" s="131"/>
      <c r="H799" s="131"/>
      <c r="I799" s="131"/>
      <c r="J799" s="131"/>
      <c r="K799" s="131"/>
      <c r="L799" s="131"/>
      <c r="M799" s="131"/>
      <c r="N799" s="131"/>
      <c r="O799" s="131"/>
      <c r="P799" s="161">
        <f aca="true" t="shared" si="60" ref="P799:P804">N799+O799</f>
        <v>0</v>
      </c>
      <c r="Q799" s="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row>
    <row r="800" spans="1:102" ht="12.75" hidden="1">
      <c r="A800" s="134" t="s">
        <v>204</v>
      </c>
      <c r="B800" s="164"/>
      <c r="C800" s="164"/>
      <c r="D800" s="131">
        <f>D798</f>
        <v>195000</v>
      </c>
      <c r="E800" s="131"/>
      <c r="F800" s="131">
        <f>F798</f>
        <v>195000</v>
      </c>
      <c r="G800" s="131">
        <f>G798</f>
        <v>318000</v>
      </c>
      <c r="H800" s="131"/>
      <c r="I800" s="131"/>
      <c r="J800" s="131">
        <f>G800+H800</f>
        <v>318000</v>
      </c>
      <c r="K800" s="131"/>
      <c r="L800" s="131"/>
      <c r="M800" s="131"/>
      <c r="N800" s="131">
        <f>N798</f>
        <v>140000</v>
      </c>
      <c r="O800" s="131"/>
      <c r="P800" s="161">
        <f t="shared" si="60"/>
        <v>140000</v>
      </c>
      <c r="Q800" s="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row>
    <row r="801" spans="1:102" ht="12.75" hidden="1">
      <c r="A801" s="134" t="s">
        <v>523</v>
      </c>
      <c r="B801" s="164"/>
      <c r="C801" s="164"/>
      <c r="D801" s="131"/>
      <c r="E801" s="131"/>
      <c r="F801" s="131"/>
      <c r="G801" s="131"/>
      <c r="H801" s="131"/>
      <c r="I801" s="131"/>
      <c r="J801" s="131"/>
      <c r="K801" s="131"/>
      <c r="L801" s="131"/>
      <c r="M801" s="131"/>
      <c r="N801" s="131"/>
      <c r="O801" s="131"/>
      <c r="P801" s="161"/>
      <c r="Q801" s="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row>
    <row r="802" spans="1:102" ht="12.75" hidden="1">
      <c r="A802" s="134" t="s">
        <v>330</v>
      </c>
      <c r="B802" s="164"/>
      <c r="C802" s="164"/>
      <c r="D802" s="166">
        <v>6</v>
      </c>
      <c r="E802" s="166"/>
      <c r="F802" s="166">
        <v>6</v>
      </c>
      <c r="G802" s="166">
        <v>9</v>
      </c>
      <c r="H802" s="166"/>
      <c r="I802" s="166"/>
      <c r="J802" s="166">
        <f>G802+H802</f>
        <v>9</v>
      </c>
      <c r="K802" s="166"/>
      <c r="L802" s="166"/>
      <c r="M802" s="166"/>
      <c r="N802" s="166">
        <v>6</v>
      </c>
      <c r="O802" s="166"/>
      <c r="P802" s="169">
        <f t="shared" si="60"/>
        <v>6</v>
      </c>
      <c r="Q802" s="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row>
    <row r="803" spans="1:102" ht="12.75" hidden="1">
      <c r="A803" s="134" t="s">
        <v>524</v>
      </c>
      <c r="B803" s="164"/>
      <c r="C803" s="164"/>
      <c r="D803" s="131"/>
      <c r="E803" s="131"/>
      <c r="F803" s="131"/>
      <c r="G803" s="131"/>
      <c r="H803" s="131"/>
      <c r="I803" s="131"/>
      <c r="J803" s="131"/>
      <c r="K803" s="131"/>
      <c r="L803" s="131"/>
      <c r="M803" s="131"/>
      <c r="N803" s="131"/>
      <c r="O803" s="131"/>
      <c r="P803" s="161"/>
      <c r="Q803" s="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row>
    <row r="804" spans="1:102" ht="12.75" hidden="1">
      <c r="A804" s="134" t="s">
        <v>320</v>
      </c>
      <c r="B804" s="164"/>
      <c r="C804" s="164"/>
      <c r="D804" s="131">
        <f>D800/D802</f>
        <v>32500</v>
      </c>
      <c r="E804" s="131"/>
      <c r="F804" s="131">
        <f>D804</f>
        <v>32500</v>
      </c>
      <c r="G804" s="131">
        <f>G800/G802</f>
        <v>35333.333333333336</v>
      </c>
      <c r="H804" s="131"/>
      <c r="I804" s="131"/>
      <c r="J804" s="131">
        <f>G804+H804</f>
        <v>35333.333333333336</v>
      </c>
      <c r="K804" s="131"/>
      <c r="L804" s="131"/>
      <c r="M804" s="131"/>
      <c r="N804" s="131">
        <f>N800/N802</f>
        <v>23333.333333333332</v>
      </c>
      <c r="O804" s="131"/>
      <c r="P804" s="161">
        <f t="shared" si="60"/>
        <v>23333.333333333332</v>
      </c>
      <c r="Q804" s="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row>
    <row r="805" spans="1:102" ht="29.25" customHeight="1" hidden="1">
      <c r="A805" s="137" t="s">
        <v>503</v>
      </c>
      <c r="B805" s="164"/>
      <c r="C805" s="164"/>
      <c r="D805" s="9">
        <f>D807</f>
        <v>9100</v>
      </c>
      <c r="E805" s="9"/>
      <c r="F805" s="9">
        <f>D805+E805</f>
        <v>9100</v>
      </c>
      <c r="G805" s="9">
        <f>G807</f>
        <v>45000</v>
      </c>
      <c r="H805" s="9"/>
      <c r="I805" s="9"/>
      <c r="J805" s="9">
        <f aca="true" t="shared" si="61" ref="J805:J811">G805+H805</f>
        <v>45000</v>
      </c>
      <c r="K805" s="9"/>
      <c r="L805" s="9"/>
      <c r="M805" s="9"/>
      <c r="N805" s="9">
        <f>N807</f>
        <v>50000</v>
      </c>
      <c r="O805" s="9"/>
      <c r="P805" s="9">
        <f aca="true" t="shared" si="62" ref="P805:P811">N805+O805</f>
        <v>50000</v>
      </c>
      <c r="Q805" s="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row>
    <row r="806" spans="1:102" ht="12.75" hidden="1">
      <c r="A806" s="133" t="s">
        <v>183</v>
      </c>
      <c r="B806" s="164"/>
      <c r="C806" s="164"/>
      <c r="D806" s="131"/>
      <c r="E806" s="131"/>
      <c r="F806" s="131"/>
      <c r="G806" s="131"/>
      <c r="H806" s="131"/>
      <c r="I806" s="131"/>
      <c r="J806" s="131"/>
      <c r="K806" s="131"/>
      <c r="L806" s="131"/>
      <c r="M806" s="131"/>
      <c r="N806" s="131"/>
      <c r="O806" s="131"/>
      <c r="P806" s="131">
        <f t="shared" si="62"/>
        <v>0</v>
      </c>
      <c r="Q806" s="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row>
    <row r="807" spans="1:102" ht="12.75" hidden="1">
      <c r="A807" s="134" t="s">
        <v>204</v>
      </c>
      <c r="B807" s="164"/>
      <c r="C807" s="164"/>
      <c r="D807" s="131">
        <f>D809*D811</f>
        <v>9100</v>
      </c>
      <c r="E807" s="131"/>
      <c r="F807" s="131">
        <f>D807+E807</f>
        <v>9100</v>
      </c>
      <c r="G807" s="131">
        <f>G809*G811</f>
        <v>45000</v>
      </c>
      <c r="H807" s="131"/>
      <c r="I807" s="131"/>
      <c r="J807" s="131">
        <f t="shared" si="61"/>
        <v>45000</v>
      </c>
      <c r="K807" s="131"/>
      <c r="L807" s="131"/>
      <c r="M807" s="131"/>
      <c r="N807" s="131">
        <f>N809*N811</f>
        <v>50000</v>
      </c>
      <c r="O807" s="131"/>
      <c r="P807" s="131">
        <f t="shared" si="62"/>
        <v>50000</v>
      </c>
      <c r="Q807" s="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row>
    <row r="808" spans="1:102" ht="12.75" hidden="1">
      <c r="A808" s="133" t="s">
        <v>184</v>
      </c>
      <c r="B808" s="164"/>
      <c r="C808" s="164"/>
      <c r="D808" s="131"/>
      <c r="E808" s="131"/>
      <c r="F808" s="131"/>
      <c r="G808" s="131"/>
      <c r="H808" s="131"/>
      <c r="I808" s="131"/>
      <c r="J808" s="131"/>
      <c r="K808" s="131"/>
      <c r="L808" s="131"/>
      <c r="M808" s="131"/>
      <c r="N808" s="131"/>
      <c r="O808" s="131"/>
      <c r="P808" s="131">
        <f t="shared" si="62"/>
        <v>0</v>
      </c>
      <c r="Q808" s="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row>
    <row r="809" spans="1:102" ht="12.75" hidden="1">
      <c r="A809" s="134" t="s">
        <v>330</v>
      </c>
      <c r="B809" s="164"/>
      <c r="C809" s="164"/>
      <c r="D809" s="166">
        <v>1</v>
      </c>
      <c r="E809" s="166"/>
      <c r="F809" s="166">
        <f>D809+E809</f>
        <v>1</v>
      </c>
      <c r="G809" s="166">
        <v>2</v>
      </c>
      <c r="H809" s="166"/>
      <c r="I809" s="166"/>
      <c r="J809" s="166">
        <f t="shared" si="61"/>
        <v>2</v>
      </c>
      <c r="K809" s="166"/>
      <c r="L809" s="166"/>
      <c r="M809" s="166"/>
      <c r="N809" s="166">
        <v>2</v>
      </c>
      <c r="O809" s="166"/>
      <c r="P809" s="166">
        <f t="shared" si="62"/>
        <v>2</v>
      </c>
      <c r="Q809" s="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row>
    <row r="810" spans="1:102" ht="12.75" hidden="1">
      <c r="A810" s="133" t="s">
        <v>186</v>
      </c>
      <c r="B810" s="164"/>
      <c r="C810" s="164"/>
      <c r="D810" s="131"/>
      <c r="E810" s="131"/>
      <c r="F810" s="131"/>
      <c r="G810" s="131"/>
      <c r="H810" s="131"/>
      <c r="I810" s="131"/>
      <c r="J810" s="131"/>
      <c r="K810" s="131"/>
      <c r="L810" s="131"/>
      <c r="M810" s="131"/>
      <c r="N810" s="131"/>
      <c r="O810" s="131"/>
      <c r="P810" s="131">
        <f t="shared" si="62"/>
        <v>0</v>
      </c>
      <c r="Q810" s="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row>
    <row r="811" spans="1:102" ht="12.75" hidden="1">
      <c r="A811" s="134" t="s">
        <v>320</v>
      </c>
      <c r="B811" s="164"/>
      <c r="C811" s="164"/>
      <c r="D811" s="131">
        <v>9100</v>
      </c>
      <c r="E811" s="131"/>
      <c r="F811" s="131">
        <f>D811+E811</f>
        <v>9100</v>
      </c>
      <c r="G811" s="131">
        <v>22500</v>
      </c>
      <c r="H811" s="131"/>
      <c r="I811" s="131"/>
      <c r="J811" s="131">
        <f t="shared" si="61"/>
        <v>22500</v>
      </c>
      <c r="K811" s="131"/>
      <c r="L811" s="131"/>
      <c r="M811" s="131"/>
      <c r="N811" s="131">
        <v>25000</v>
      </c>
      <c r="O811" s="131"/>
      <c r="P811" s="131">
        <f t="shared" si="62"/>
        <v>25000</v>
      </c>
      <c r="Q811" s="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row>
    <row r="812" spans="1:102" ht="135" hidden="1">
      <c r="A812" s="170" t="s">
        <v>574</v>
      </c>
      <c r="B812" s="164"/>
      <c r="C812" s="164"/>
      <c r="D812" s="160">
        <v>5000000</v>
      </c>
      <c r="E812" s="311"/>
      <c r="F812" s="160">
        <f>D812</f>
        <v>5000000</v>
      </c>
      <c r="G812" s="160">
        <f>6000000+30000000+500000+3000000+950000+3162000+16000000+1000000+4000000</f>
        <v>64612000</v>
      </c>
      <c r="H812" s="131"/>
      <c r="I812" s="131"/>
      <c r="J812" s="163">
        <f>G812+H812</f>
        <v>64612000</v>
      </c>
      <c r="K812" s="131"/>
      <c r="L812" s="131"/>
      <c r="M812" s="131"/>
      <c r="N812" s="131"/>
      <c r="O812" s="131"/>
      <c r="P812" s="131"/>
      <c r="Q812" s="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row>
    <row r="813" spans="1:102" ht="12.75" hidden="1">
      <c r="A813" s="133" t="s">
        <v>183</v>
      </c>
      <c r="B813" s="164"/>
      <c r="C813" s="164"/>
      <c r="D813" s="131"/>
      <c r="E813" s="131"/>
      <c r="F813" s="131"/>
      <c r="G813" s="131"/>
      <c r="H813" s="131"/>
      <c r="I813" s="131"/>
      <c r="J813" s="244"/>
      <c r="K813" s="131"/>
      <c r="L813" s="131"/>
      <c r="M813" s="131"/>
      <c r="N813" s="131"/>
      <c r="O813" s="131"/>
      <c r="P813" s="131"/>
      <c r="Q813" s="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row>
    <row r="814" spans="1:102" ht="12.75" hidden="1">
      <c r="A814" s="134" t="s">
        <v>204</v>
      </c>
      <c r="B814" s="164"/>
      <c r="C814" s="164"/>
      <c r="D814" s="131">
        <f>D812</f>
        <v>5000000</v>
      </c>
      <c r="E814" s="131"/>
      <c r="F814" s="131">
        <f>D814+E814</f>
        <v>5000000</v>
      </c>
      <c r="G814" s="131">
        <f>G812</f>
        <v>64612000</v>
      </c>
      <c r="H814" s="131"/>
      <c r="I814" s="131"/>
      <c r="J814" s="131">
        <f>G814+H814</f>
        <v>64612000</v>
      </c>
      <c r="K814" s="131"/>
      <c r="L814" s="131"/>
      <c r="M814" s="131"/>
      <c r="N814" s="131"/>
      <c r="O814" s="131"/>
      <c r="P814" s="131"/>
      <c r="Q814" s="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row>
    <row r="815" spans="1:102" ht="12.75" hidden="1">
      <c r="A815" s="133" t="s">
        <v>184</v>
      </c>
      <c r="B815" s="164"/>
      <c r="C815" s="164"/>
      <c r="D815" s="131"/>
      <c r="E815" s="131"/>
      <c r="F815" s="131"/>
      <c r="G815" s="131"/>
      <c r="H815" s="131"/>
      <c r="I815" s="131"/>
      <c r="J815" s="131"/>
      <c r="K815" s="131"/>
      <c r="L815" s="131"/>
      <c r="M815" s="131"/>
      <c r="N815" s="131"/>
      <c r="O815" s="131"/>
      <c r="P815" s="131"/>
      <c r="Q815" s="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c r="CV815" s="13"/>
      <c r="CW815" s="13"/>
      <c r="CX815" s="13"/>
    </row>
    <row r="816" spans="1:102" ht="20.25" customHeight="1" hidden="1">
      <c r="A816" s="134" t="s">
        <v>173</v>
      </c>
      <c r="B816" s="164"/>
      <c r="C816" s="164"/>
      <c r="D816" s="166">
        <v>1</v>
      </c>
      <c r="E816" s="166"/>
      <c r="F816" s="166">
        <f>D816</f>
        <v>1</v>
      </c>
      <c r="G816" s="166">
        <v>1</v>
      </c>
      <c r="H816" s="166"/>
      <c r="I816" s="166"/>
      <c r="J816" s="166">
        <f>G816+H816</f>
        <v>1</v>
      </c>
      <c r="K816" s="131"/>
      <c r="L816" s="131"/>
      <c r="M816" s="131"/>
      <c r="N816" s="131"/>
      <c r="O816" s="131"/>
      <c r="P816" s="131"/>
      <c r="Q816" s="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row>
    <row r="817" spans="1:102" ht="12.75" hidden="1">
      <c r="A817" s="133" t="s">
        <v>186</v>
      </c>
      <c r="B817" s="164"/>
      <c r="C817" s="164"/>
      <c r="D817" s="131"/>
      <c r="E817" s="131"/>
      <c r="F817" s="131"/>
      <c r="G817" s="131"/>
      <c r="H817" s="131"/>
      <c r="I817" s="131"/>
      <c r="J817" s="131"/>
      <c r="K817" s="131"/>
      <c r="L817" s="131"/>
      <c r="M817" s="131"/>
      <c r="N817" s="131"/>
      <c r="O817" s="131"/>
      <c r="P817" s="131"/>
      <c r="Q817" s="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row>
    <row r="818" spans="1:102" ht="18.75" customHeight="1" hidden="1">
      <c r="A818" s="134" t="s">
        <v>174</v>
      </c>
      <c r="B818" s="164"/>
      <c r="C818" s="164"/>
      <c r="D818" s="131">
        <f>D814/D816</f>
        <v>5000000</v>
      </c>
      <c r="E818" s="131"/>
      <c r="F818" s="131">
        <f>D818</f>
        <v>5000000</v>
      </c>
      <c r="G818" s="131">
        <f>G814/G816</f>
        <v>64612000</v>
      </c>
      <c r="H818" s="131"/>
      <c r="I818" s="131"/>
      <c r="J818" s="131">
        <f>G818+H818</f>
        <v>64612000</v>
      </c>
      <c r="K818" s="131"/>
      <c r="L818" s="131"/>
      <c r="M818" s="131"/>
      <c r="N818" s="131"/>
      <c r="O818" s="131"/>
      <c r="P818" s="131"/>
      <c r="Q818" s="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row>
    <row r="819" spans="1:17" s="76" customFormat="1" ht="27.75" customHeight="1" hidden="1">
      <c r="A819" s="73" t="s">
        <v>302</v>
      </c>
      <c r="B819" s="97"/>
      <c r="C819" s="97"/>
      <c r="D819" s="74">
        <f>D821</f>
        <v>2899999.9999989998</v>
      </c>
      <c r="E819" s="74"/>
      <c r="F819" s="74">
        <f>D819</f>
        <v>2899999.9999989998</v>
      </c>
      <c r="G819" s="74">
        <f>G821</f>
        <v>4896499.9998</v>
      </c>
      <c r="H819" s="74"/>
      <c r="I819" s="74">
        <f>I821</f>
        <v>0</v>
      </c>
      <c r="J819" s="74">
        <f>J821</f>
        <v>4896499.9998</v>
      </c>
      <c r="K819" s="74"/>
      <c r="L819" s="74"/>
      <c r="M819" s="74"/>
      <c r="N819" s="74">
        <f>N821</f>
        <v>5181299.999999</v>
      </c>
      <c r="O819" s="74"/>
      <c r="P819" s="74">
        <f>P821</f>
        <v>5181299.999999</v>
      </c>
      <c r="Q819" s="99"/>
    </row>
    <row r="820" spans="1:102" ht="51" customHeight="1" hidden="1">
      <c r="A820" s="134" t="s">
        <v>260</v>
      </c>
      <c r="B820" s="164"/>
      <c r="C820" s="164"/>
      <c r="D820" s="161"/>
      <c r="E820" s="161"/>
      <c r="F820" s="161"/>
      <c r="G820" s="161"/>
      <c r="H820" s="161"/>
      <c r="I820" s="161"/>
      <c r="J820" s="161"/>
      <c r="K820" s="161"/>
      <c r="L820" s="161"/>
      <c r="M820" s="161"/>
      <c r="N820" s="161"/>
      <c r="O820" s="161"/>
      <c r="P820" s="161"/>
      <c r="Q820" s="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row>
    <row r="821" spans="1:17" s="101" customFormat="1" ht="18.75" customHeight="1" hidden="1">
      <c r="A821" s="68" t="s">
        <v>86</v>
      </c>
      <c r="B821" s="69"/>
      <c r="C821" s="69"/>
      <c r="D821" s="89">
        <f>D822+D829+D836</f>
        <v>2899999.9999989998</v>
      </c>
      <c r="E821" s="89">
        <f aca="true" t="shared" si="63" ref="E821:O821">E822+E829</f>
        <v>0</v>
      </c>
      <c r="F821" s="89">
        <f>D821+E821</f>
        <v>2899999.9999989998</v>
      </c>
      <c r="G821" s="89">
        <f>G822+G829+G836</f>
        <v>4896499.9998</v>
      </c>
      <c r="H821" s="89">
        <f t="shared" si="63"/>
        <v>0</v>
      </c>
      <c r="I821" s="89">
        <f t="shared" si="63"/>
        <v>0</v>
      </c>
      <c r="J821" s="89">
        <f>G821+H821</f>
        <v>4896499.9998</v>
      </c>
      <c r="K821" s="89">
        <f t="shared" si="63"/>
        <v>0</v>
      </c>
      <c r="L821" s="89">
        <f t="shared" si="63"/>
        <v>0</v>
      </c>
      <c r="M821" s="89">
        <f t="shared" si="63"/>
        <v>0</v>
      </c>
      <c r="N821" s="89">
        <f>N822+N829+N836</f>
        <v>5181299.999999</v>
      </c>
      <c r="O821" s="89">
        <f t="shared" si="63"/>
        <v>0</v>
      </c>
      <c r="P821" s="89">
        <f>N821+O821</f>
        <v>5181299.999999</v>
      </c>
      <c r="Q821" s="100"/>
    </row>
    <row r="822" spans="1:17" s="16" customFormat="1" ht="45" customHeight="1" hidden="1">
      <c r="A822" s="151" t="s">
        <v>101</v>
      </c>
      <c r="B822" s="243"/>
      <c r="C822" s="243"/>
      <c r="D822" s="225">
        <f>1600500-1100500</f>
        <v>500000</v>
      </c>
      <c r="E822" s="225"/>
      <c r="F822" s="225">
        <f>D822+E822</f>
        <v>500000</v>
      </c>
      <c r="G822" s="160">
        <v>1696500</v>
      </c>
      <c r="H822" s="160"/>
      <c r="I822" s="160">
        <f>I826*I828</f>
        <v>0</v>
      </c>
      <c r="J822" s="160">
        <f>G822</f>
        <v>1696500</v>
      </c>
      <c r="K822" s="160">
        <f>K826*K828</f>
        <v>0</v>
      </c>
      <c r="L822" s="160">
        <f>L826*L828</f>
        <v>0</v>
      </c>
      <c r="M822" s="160">
        <f>M826*M828</f>
        <v>0</v>
      </c>
      <c r="N822" s="160">
        <v>1781300</v>
      </c>
      <c r="O822" s="160"/>
      <c r="P822" s="160">
        <f>N822</f>
        <v>1781300</v>
      </c>
      <c r="Q822" s="15"/>
    </row>
    <row r="823" spans="1:17" s="12" customFormat="1" ht="12.75" hidden="1">
      <c r="A823" s="133" t="s">
        <v>183</v>
      </c>
      <c r="B823" s="8"/>
      <c r="C823" s="8"/>
      <c r="D823" s="245"/>
      <c r="E823" s="245"/>
      <c r="F823" s="246"/>
      <c r="G823" s="168"/>
      <c r="H823" s="168"/>
      <c r="I823" s="168"/>
      <c r="J823" s="168"/>
      <c r="K823" s="168"/>
      <c r="L823" s="168"/>
      <c r="M823" s="168"/>
      <c r="N823" s="168"/>
      <c r="O823" s="168"/>
      <c r="P823" s="168"/>
      <c r="Q823" s="14"/>
    </row>
    <row r="824" spans="1:17" s="12" customFormat="1" ht="27.75" customHeight="1" hidden="1">
      <c r="A824" s="134" t="s">
        <v>261</v>
      </c>
      <c r="B824" s="8"/>
      <c r="C824" s="8"/>
      <c r="D824" s="206">
        <v>500</v>
      </c>
      <c r="E824" s="245"/>
      <c r="F824" s="246"/>
      <c r="G824" s="161">
        <v>500</v>
      </c>
      <c r="H824" s="168"/>
      <c r="I824" s="168"/>
      <c r="J824" s="161">
        <f>G824+H824</f>
        <v>500</v>
      </c>
      <c r="K824" s="168"/>
      <c r="L824" s="168"/>
      <c r="M824" s="168"/>
      <c r="N824" s="161">
        <f>N826</f>
        <v>500</v>
      </c>
      <c r="O824" s="161"/>
      <c r="P824" s="161">
        <f>N824+O824</f>
        <v>500</v>
      </c>
      <c r="Q824" s="14"/>
    </row>
    <row r="825" spans="1:17" s="12" customFormat="1" ht="12.75" hidden="1">
      <c r="A825" s="133" t="s">
        <v>184</v>
      </c>
      <c r="B825" s="8"/>
      <c r="C825" s="8"/>
      <c r="D825" s="245"/>
      <c r="E825" s="245"/>
      <c r="F825" s="246"/>
      <c r="G825" s="168"/>
      <c r="H825" s="168"/>
      <c r="I825" s="168"/>
      <c r="J825" s="161"/>
      <c r="K825" s="168"/>
      <c r="L825" s="168"/>
      <c r="M825" s="168"/>
      <c r="N825" s="168"/>
      <c r="O825" s="168"/>
      <c r="P825" s="161"/>
      <c r="Q825" s="14"/>
    </row>
    <row r="826" spans="1:17" s="12" customFormat="1" ht="12.75" hidden="1">
      <c r="A826" s="134" t="s">
        <v>262</v>
      </c>
      <c r="B826" s="8"/>
      <c r="C826" s="8"/>
      <c r="D826" s="206">
        <v>500</v>
      </c>
      <c r="E826" s="245"/>
      <c r="F826" s="246"/>
      <c r="G826" s="161">
        <f>G824</f>
        <v>500</v>
      </c>
      <c r="H826" s="161"/>
      <c r="I826" s="161"/>
      <c r="J826" s="161">
        <f>G826+H826</f>
        <v>500</v>
      </c>
      <c r="K826" s="161">
        <f>K824</f>
        <v>0</v>
      </c>
      <c r="L826" s="161">
        <f>L824</f>
        <v>0</v>
      </c>
      <c r="M826" s="161">
        <f>M824</f>
        <v>0</v>
      </c>
      <c r="N826" s="161">
        <v>500</v>
      </c>
      <c r="O826" s="161"/>
      <c r="P826" s="161">
        <f>N826+O826</f>
        <v>500</v>
      </c>
      <c r="Q826" s="14"/>
    </row>
    <row r="827" spans="1:17" s="12" customFormat="1" ht="12.75" hidden="1">
      <c r="A827" s="133" t="s">
        <v>186</v>
      </c>
      <c r="B827" s="8"/>
      <c r="C827" s="8"/>
      <c r="D827" s="245"/>
      <c r="E827" s="245"/>
      <c r="F827" s="246"/>
      <c r="G827" s="168"/>
      <c r="H827" s="168"/>
      <c r="I827" s="168"/>
      <c r="J827" s="161"/>
      <c r="K827" s="168"/>
      <c r="L827" s="168"/>
      <c r="M827" s="168"/>
      <c r="N827" s="168"/>
      <c r="O827" s="168"/>
      <c r="P827" s="161"/>
      <c r="Q827" s="14"/>
    </row>
    <row r="828" spans="1:17" s="12" customFormat="1" ht="17.25" customHeight="1" hidden="1">
      <c r="A828" s="134" t="s">
        <v>263</v>
      </c>
      <c r="B828" s="8"/>
      <c r="C828" s="8"/>
      <c r="D828" s="245">
        <f>D822/D824</f>
        <v>1000</v>
      </c>
      <c r="E828" s="245"/>
      <c r="F828" s="246"/>
      <c r="G828" s="161">
        <f>G822/G826</f>
        <v>3393</v>
      </c>
      <c r="H828" s="168"/>
      <c r="I828" s="168"/>
      <c r="J828" s="161">
        <f>G828+H828</f>
        <v>3393</v>
      </c>
      <c r="K828" s="168"/>
      <c r="L828" s="168"/>
      <c r="M828" s="168"/>
      <c r="N828" s="161">
        <f>N822/N826</f>
        <v>3562.6</v>
      </c>
      <c r="O828" s="161"/>
      <c r="P828" s="161">
        <f>N828+O828</f>
        <v>3562.6</v>
      </c>
      <c r="Q828" s="14"/>
    </row>
    <row r="829" spans="1:17" s="18" customFormat="1" ht="57" customHeight="1" hidden="1">
      <c r="A829" s="151" t="s">
        <v>137</v>
      </c>
      <c r="B829" s="132"/>
      <c r="C829" s="132"/>
      <c r="D829" s="225">
        <f>2400800-400800-600000</f>
        <v>1400000</v>
      </c>
      <c r="E829" s="225"/>
      <c r="F829" s="225">
        <f>D829+E829</f>
        <v>1400000</v>
      </c>
      <c r="G829" s="160">
        <f>2544800-344800-145000</f>
        <v>2055000</v>
      </c>
      <c r="H829" s="160"/>
      <c r="I829" s="160">
        <f>I833*I835</f>
        <v>0</v>
      </c>
      <c r="J829" s="160">
        <f>G829</f>
        <v>2055000</v>
      </c>
      <c r="K829" s="160">
        <f>K833*K835</f>
        <v>0</v>
      </c>
      <c r="L829" s="160">
        <f>L833*L835</f>
        <v>0</v>
      </c>
      <c r="M829" s="160">
        <f>M833*M835</f>
        <v>0</v>
      </c>
      <c r="N829" s="160">
        <f>2672000-272000</f>
        <v>2400000</v>
      </c>
      <c r="O829" s="160"/>
      <c r="P829" s="160">
        <f>N829</f>
        <v>2400000</v>
      </c>
      <c r="Q829" s="17"/>
    </row>
    <row r="830" spans="1:102" ht="12.75" hidden="1">
      <c r="A830" s="133" t="s">
        <v>183</v>
      </c>
      <c r="B830" s="164"/>
      <c r="C830" s="164"/>
      <c r="D830" s="247"/>
      <c r="E830" s="247"/>
      <c r="F830" s="247"/>
      <c r="G830" s="161"/>
      <c r="H830" s="161"/>
      <c r="I830" s="161"/>
      <c r="J830" s="161"/>
      <c r="K830" s="161"/>
      <c r="L830" s="161"/>
      <c r="M830" s="161"/>
      <c r="N830" s="161"/>
      <c r="O830" s="161"/>
      <c r="P830" s="161"/>
      <c r="Q830" s="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row>
    <row r="831" spans="1:102" ht="33" customHeight="1" hidden="1">
      <c r="A831" s="134" t="s">
        <v>261</v>
      </c>
      <c r="B831" s="164"/>
      <c r="C831" s="164"/>
      <c r="D831" s="91">
        <v>30</v>
      </c>
      <c r="E831" s="91"/>
      <c r="F831" s="91">
        <f>D831</f>
        <v>30</v>
      </c>
      <c r="G831" s="91">
        <f>G833</f>
        <v>30</v>
      </c>
      <c r="H831" s="91"/>
      <c r="I831" s="91"/>
      <c r="J831" s="161">
        <f>G831+H831</f>
        <v>30</v>
      </c>
      <c r="K831" s="91">
        <f>H831</f>
        <v>0</v>
      </c>
      <c r="L831" s="91">
        <f>J831</f>
        <v>30</v>
      </c>
      <c r="M831" s="91">
        <f>K831</f>
        <v>0</v>
      </c>
      <c r="N831" s="91">
        <f>N833</f>
        <v>30</v>
      </c>
      <c r="O831" s="91"/>
      <c r="P831" s="91">
        <f>N831</f>
        <v>30</v>
      </c>
      <c r="Q831" s="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row>
    <row r="832" spans="1:102" ht="12.75" hidden="1">
      <c r="A832" s="133" t="s">
        <v>184</v>
      </c>
      <c r="B832" s="164"/>
      <c r="C832" s="164"/>
      <c r="D832" s="91"/>
      <c r="E832" s="91"/>
      <c r="F832" s="91"/>
      <c r="G832" s="161"/>
      <c r="H832" s="161"/>
      <c r="I832" s="161"/>
      <c r="J832" s="161"/>
      <c r="K832" s="161"/>
      <c r="L832" s="161"/>
      <c r="M832" s="161"/>
      <c r="N832" s="161"/>
      <c r="O832" s="161"/>
      <c r="P832" s="161"/>
      <c r="Q832" s="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row>
    <row r="833" spans="1:102" ht="22.5" customHeight="1" hidden="1">
      <c r="A833" s="134" t="s">
        <v>391</v>
      </c>
      <c r="B833" s="164"/>
      <c r="C833" s="164"/>
      <c r="D833" s="91">
        <v>30</v>
      </c>
      <c r="E833" s="91"/>
      <c r="F833" s="91">
        <f>D833</f>
        <v>30</v>
      </c>
      <c r="G833" s="161">
        <v>30</v>
      </c>
      <c r="H833" s="161"/>
      <c r="I833" s="161"/>
      <c r="J833" s="161">
        <f>G833+H833</f>
        <v>30</v>
      </c>
      <c r="K833" s="161"/>
      <c r="L833" s="161"/>
      <c r="M833" s="161"/>
      <c r="N833" s="161">
        <v>30</v>
      </c>
      <c r="O833" s="161"/>
      <c r="P833" s="161">
        <f>N833</f>
        <v>30</v>
      </c>
      <c r="Q833" s="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row>
    <row r="834" spans="1:102" ht="12.75" hidden="1">
      <c r="A834" s="133" t="s">
        <v>186</v>
      </c>
      <c r="B834" s="164"/>
      <c r="C834" s="164"/>
      <c r="D834" s="91"/>
      <c r="E834" s="91"/>
      <c r="F834" s="91"/>
      <c r="G834" s="161"/>
      <c r="H834" s="161"/>
      <c r="I834" s="161"/>
      <c r="J834" s="161"/>
      <c r="K834" s="161"/>
      <c r="L834" s="161"/>
      <c r="M834" s="161"/>
      <c r="N834" s="161"/>
      <c r="O834" s="161"/>
      <c r="P834" s="161"/>
      <c r="Q834" s="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row>
    <row r="835" spans="1:102" ht="12" customHeight="1" hidden="1">
      <c r="A835" s="134" t="s">
        <v>263</v>
      </c>
      <c r="B835" s="164"/>
      <c r="C835" s="164"/>
      <c r="D835" s="91">
        <f>D829/D833</f>
        <v>46666.666666666664</v>
      </c>
      <c r="E835" s="91"/>
      <c r="F835" s="91">
        <f>D835</f>
        <v>46666.666666666664</v>
      </c>
      <c r="G835" s="161">
        <f>G829/G831</f>
        <v>68500</v>
      </c>
      <c r="H835" s="161"/>
      <c r="I835" s="161"/>
      <c r="J835" s="161">
        <f>G835+H835</f>
        <v>68500</v>
      </c>
      <c r="K835" s="161"/>
      <c r="L835" s="161"/>
      <c r="M835" s="161"/>
      <c r="N835" s="161">
        <f>N829/N831</f>
        <v>80000</v>
      </c>
      <c r="O835" s="161"/>
      <c r="P835" s="161">
        <f>N835</f>
        <v>80000</v>
      </c>
      <c r="Q835" s="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row>
    <row r="836" spans="1:17" s="115" customFormat="1" ht="47.25" customHeight="1" hidden="1">
      <c r="A836" s="152" t="s">
        <v>100</v>
      </c>
      <c r="B836" s="172"/>
      <c r="C836" s="172"/>
      <c r="D836" s="248">
        <f>D840*D842</f>
        <v>999999.999999</v>
      </c>
      <c r="E836" s="248"/>
      <c r="F836" s="248">
        <f>D836</f>
        <v>999999.999999</v>
      </c>
      <c r="G836" s="249">
        <f>G840*G842</f>
        <v>1144999.9997999999</v>
      </c>
      <c r="H836" s="249"/>
      <c r="I836" s="249"/>
      <c r="J836" s="249">
        <f>G836</f>
        <v>1144999.9997999999</v>
      </c>
      <c r="K836" s="249"/>
      <c r="L836" s="249"/>
      <c r="M836" s="249"/>
      <c r="N836" s="249">
        <f>N840*N842</f>
        <v>999999.999999</v>
      </c>
      <c r="O836" s="249"/>
      <c r="P836" s="249">
        <f>N836</f>
        <v>999999.999999</v>
      </c>
      <c r="Q836" s="114"/>
    </row>
    <row r="837" spans="1:102" ht="12.75" hidden="1">
      <c r="A837" s="133" t="s">
        <v>183</v>
      </c>
      <c r="B837" s="164"/>
      <c r="C837" s="164"/>
      <c r="D837" s="91"/>
      <c r="E837" s="91"/>
      <c r="F837" s="91"/>
      <c r="G837" s="161"/>
      <c r="H837" s="161"/>
      <c r="I837" s="161"/>
      <c r="J837" s="161"/>
      <c r="K837" s="161"/>
      <c r="L837" s="161"/>
      <c r="M837" s="161"/>
      <c r="N837" s="161"/>
      <c r="O837" s="161"/>
      <c r="P837" s="161"/>
      <c r="Q837" s="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row>
    <row r="838" spans="1:102" ht="30.75" customHeight="1" hidden="1">
      <c r="A838" s="134" t="s">
        <v>261</v>
      </c>
      <c r="B838" s="164"/>
      <c r="C838" s="164"/>
      <c r="D838" s="91">
        <v>3</v>
      </c>
      <c r="E838" s="91"/>
      <c r="F838" s="91">
        <f>D838</f>
        <v>3</v>
      </c>
      <c r="G838" s="161">
        <v>6</v>
      </c>
      <c r="H838" s="161"/>
      <c r="I838" s="161"/>
      <c r="J838" s="161">
        <f>G838</f>
        <v>6</v>
      </c>
      <c r="K838" s="161"/>
      <c r="L838" s="161"/>
      <c r="M838" s="161"/>
      <c r="N838" s="161">
        <v>3</v>
      </c>
      <c r="O838" s="161"/>
      <c r="P838" s="161">
        <f>N838</f>
        <v>3</v>
      </c>
      <c r="Q838" s="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row>
    <row r="839" spans="1:102" ht="12.75" hidden="1">
      <c r="A839" s="133" t="s">
        <v>184</v>
      </c>
      <c r="B839" s="164"/>
      <c r="C839" s="164"/>
      <c r="D839" s="91"/>
      <c r="E839" s="91"/>
      <c r="F839" s="91"/>
      <c r="G839" s="161"/>
      <c r="H839" s="161"/>
      <c r="I839" s="161"/>
      <c r="J839" s="161"/>
      <c r="K839" s="161"/>
      <c r="L839" s="161"/>
      <c r="M839" s="161"/>
      <c r="N839" s="161"/>
      <c r="O839" s="161"/>
      <c r="P839" s="161"/>
      <c r="Q839" s="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row>
    <row r="840" spans="1:102" ht="20.25" customHeight="1" hidden="1">
      <c r="A840" s="134" t="s">
        <v>391</v>
      </c>
      <c r="B840" s="164"/>
      <c r="C840" s="164"/>
      <c r="D840" s="91">
        <v>3</v>
      </c>
      <c r="E840" s="91"/>
      <c r="F840" s="91">
        <f>D840</f>
        <v>3</v>
      </c>
      <c r="G840" s="161">
        <v>6</v>
      </c>
      <c r="H840" s="161"/>
      <c r="I840" s="161"/>
      <c r="J840" s="161">
        <f>G840</f>
        <v>6</v>
      </c>
      <c r="K840" s="161"/>
      <c r="L840" s="161"/>
      <c r="M840" s="161"/>
      <c r="N840" s="161">
        <v>3</v>
      </c>
      <c r="O840" s="161"/>
      <c r="P840" s="161">
        <f>N840</f>
        <v>3</v>
      </c>
      <c r="Q840" s="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row>
    <row r="841" spans="1:102" ht="12.75" hidden="1">
      <c r="A841" s="133" t="s">
        <v>186</v>
      </c>
      <c r="B841" s="164"/>
      <c r="C841" s="164"/>
      <c r="D841" s="91"/>
      <c r="E841" s="91"/>
      <c r="F841" s="91"/>
      <c r="G841" s="161"/>
      <c r="H841" s="161"/>
      <c r="I841" s="161"/>
      <c r="J841" s="161"/>
      <c r="K841" s="161"/>
      <c r="L841" s="161"/>
      <c r="M841" s="161"/>
      <c r="N841" s="161"/>
      <c r="O841" s="161"/>
      <c r="P841" s="161"/>
      <c r="Q841" s="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row>
    <row r="842" spans="1:102" ht="12.75" hidden="1">
      <c r="A842" s="134" t="s">
        <v>263</v>
      </c>
      <c r="B842" s="164"/>
      <c r="C842" s="164"/>
      <c r="D842" s="91">
        <v>333333.333333</v>
      </c>
      <c r="E842" s="91"/>
      <c r="F842" s="91">
        <f>D842</f>
        <v>333333.333333</v>
      </c>
      <c r="G842" s="161">
        <v>190833.3333</v>
      </c>
      <c r="H842" s="161"/>
      <c r="I842" s="161"/>
      <c r="J842" s="161">
        <f>G842</f>
        <v>190833.3333</v>
      </c>
      <c r="K842" s="161"/>
      <c r="L842" s="161"/>
      <c r="M842" s="161"/>
      <c r="N842" s="161">
        <v>333333.333333</v>
      </c>
      <c r="O842" s="161"/>
      <c r="P842" s="161">
        <f>N842</f>
        <v>333333.333333</v>
      </c>
      <c r="Q842" s="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row>
    <row r="843" spans="1:17" s="76" customFormat="1" ht="33.75" customHeight="1" hidden="1">
      <c r="A843" s="73" t="s">
        <v>303</v>
      </c>
      <c r="B843" s="97"/>
      <c r="C843" s="97"/>
      <c r="D843" s="74">
        <f>D845</f>
        <v>0</v>
      </c>
      <c r="E843" s="74">
        <f>E845</f>
        <v>7151600</v>
      </c>
      <c r="F843" s="74">
        <f aca="true" t="shared" si="64" ref="F843:P843">F845</f>
        <v>7151600</v>
      </c>
      <c r="G843" s="74">
        <f t="shared" si="64"/>
        <v>0</v>
      </c>
      <c r="H843" s="74">
        <f t="shared" si="64"/>
        <v>8323500</v>
      </c>
      <c r="I843" s="74">
        <f t="shared" si="64"/>
        <v>0</v>
      </c>
      <c r="J843" s="74">
        <f t="shared" si="64"/>
        <v>8323500</v>
      </c>
      <c r="K843" s="74">
        <f t="shared" si="64"/>
        <v>0</v>
      </c>
      <c r="L843" s="74">
        <f t="shared" si="64"/>
        <v>0</v>
      </c>
      <c r="M843" s="74">
        <f t="shared" si="64"/>
        <v>0</v>
      </c>
      <c r="N843" s="74">
        <f t="shared" si="64"/>
        <v>0</v>
      </c>
      <c r="O843" s="74">
        <f t="shared" si="64"/>
        <v>0</v>
      </c>
      <c r="P843" s="74">
        <f t="shared" si="64"/>
        <v>0</v>
      </c>
      <c r="Q843" s="99"/>
    </row>
    <row r="844" spans="1:102" ht="12.75" hidden="1">
      <c r="A844" s="134" t="s">
        <v>265</v>
      </c>
      <c r="B844" s="164"/>
      <c r="C844" s="164"/>
      <c r="D844" s="131"/>
      <c r="E844" s="131"/>
      <c r="F844" s="131"/>
      <c r="G844" s="131"/>
      <c r="H844" s="131"/>
      <c r="I844" s="131"/>
      <c r="J844" s="131"/>
      <c r="K844" s="131"/>
      <c r="L844" s="131"/>
      <c r="M844" s="131"/>
      <c r="N844" s="131"/>
      <c r="O844" s="131"/>
      <c r="P844" s="131"/>
      <c r="Q844" s="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row>
    <row r="845" spans="1:17" s="71" customFormat="1" ht="32.25" customHeight="1" hidden="1">
      <c r="A845" s="68" t="s">
        <v>87</v>
      </c>
      <c r="B845" s="69"/>
      <c r="C845" s="69"/>
      <c r="D845" s="67"/>
      <c r="E845" s="67">
        <f>E847</f>
        <v>7151600</v>
      </c>
      <c r="F845" s="67">
        <f>D845+E845</f>
        <v>7151600</v>
      </c>
      <c r="G845" s="67"/>
      <c r="H845" s="67">
        <f>H847</f>
        <v>8323500</v>
      </c>
      <c r="I845" s="67">
        <f>I847</f>
        <v>0</v>
      </c>
      <c r="J845" s="67">
        <f>H845+I845</f>
        <v>8323500</v>
      </c>
      <c r="K845" s="67"/>
      <c r="L845" s="67"/>
      <c r="M845" s="67"/>
      <c r="N845" s="67"/>
      <c r="O845" s="67">
        <f>O849*O851</f>
        <v>0</v>
      </c>
      <c r="P845" s="67">
        <f>O845</f>
        <v>0</v>
      </c>
      <c r="Q845" s="100"/>
    </row>
    <row r="846" spans="1:102" ht="12.75" hidden="1">
      <c r="A846" s="133" t="s">
        <v>183</v>
      </c>
      <c r="B846" s="164"/>
      <c r="C846" s="164"/>
      <c r="D846" s="131"/>
      <c r="E846" s="131"/>
      <c r="F846" s="131"/>
      <c r="G846" s="131"/>
      <c r="H846" s="131"/>
      <c r="I846" s="131"/>
      <c r="J846" s="174"/>
      <c r="K846" s="131"/>
      <c r="L846" s="131"/>
      <c r="M846" s="131"/>
      <c r="N846" s="131"/>
      <c r="O846" s="131"/>
      <c r="P846" s="131"/>
      <c r="Q846" s="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row>
    <row r="847" spans="1:102" ht="12.75" hidden="1">
      <c r="A847" s="134" t="s">
        <v>204</v>
      </c>
      <c r="B847" s="164"/>
      <c r="C847" s="164"/>
      <c r="D847" s="131"/>
      <c r="E847" s="131">
        <f>20400000-3800000+5000000-16360000+1911600</f>
        <v>7151600</v>
      </c>
      <c r="F847" s="131">
        <f>D847+E847</f>
        <v>7151600</v>
      </c>
      <c r="G847" s="131"/>
      <c r="H847" s="131">
        <f>2160000+6163500</f>
        <v>8323500</v>
      </c>
      <c r="I847" s="131"/>
      <c r="J847" s="174">
        <f>H847+I847</f>
        <v>8323500</v>
      </c>
      <c r="K847" s="131"/>
      <c r="L847" s="131"/>
      <c r="M847" s="131"/>
      <c r="N847" s="131"/>
      <c r="O847" s="131"/>
      <c r="P847" s="131"/>
      <c r="Q847" s="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row>
    <row r="848" spans="1:102" ht="12.75" hidden="1">
      <c r="A848" s="133" t="s">
        <v>184</v>
      </c>
      <c r="B848" s="164"/>
      <c r="C848" s="164"/>
      <c r="D848" s="131"/>
      <c r="E848" s="131"/>
      <c r="F848" s="131"/>
      <c r="G848" s="131"/>
      <c r="H848" s="131"/>
      <c r="I848" s="131"/>
      <c r="J848" s="174"/>
      <c r="K848" s="131"/>
      <c r="L848" s="131"/>
      <c r="M848" s="131"/>
      <c r="N848" s="131"/>
      <c r="O848" s="131"/>
      <c r="P848" s="131"/>
      <c r="Q848" s="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row>
    <row r="849" spans="1:102" ht="25.5" hidden="1">
      <c r="A849" s="134" t="s">
        <v>266</v>
      </c>
      <c r="B849" s="164"/>
      <c r="C849" s="164"/>
      <c r="D849" s="131"/>
      <c r="E849" s="166">
        <v>2</v>
      </c>
      <c r="F849" s="166">
        <f>D849+E849</f>
        <v>2</v>
      </c>
      <c r="G849" s="131"/>
      <c r="H849" s="166">
        <v>1</v>
      </c>
      <c r="I849" s="131"/>
      <c r="J849" s="308">
        <f>H849+I849</f>
        <v>1</v>
      </c>
      <c r="K849" s="131"/>
      <c r="L849" s="131"/>
      <c r="M849" s="131"/>
      <c r="N849" s="131"/>
      <c r="O849" s="131"/>
      <c r="P849" s="131"/>
      <c r="Q849" s="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row>
    <row r="850" spans="1:102" ht="12.75" hidden="1">
      <c r="A850" s="133" t="s">
        <v>186</v>
      </c>
      <c r="B850" s="164"/>
      <c r="C850" s="164"/>
      <c r="D850" s="131"/>
      <c r="E850" s="131"/>
      <c r="F850" s="131"/>
      <c r="G850" s="131"/>
      <c r="H850" s="131"/>
      <c r="I850" s="131"/>
      <c r="J850" s="174"/>
      <c r="K850" s="131"/>
      <c r="L850" s="131"/>
      <c r="M850" s="131"/>
      <c r="N850" s="131"/>
      <c r="O850" s="131"/>
      <c r="P850" s="131"/>
      <c r="Q850" s="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row>
    <row r="851" spans="1:102" ht="24.75" customHeight="1" hidden="1">
      <c r="A851" s="134" t="s">
        <v>267</v>
      </c>
      <c r="B851" s="164"/>
      <c r="C851" s="164"/>
      <c r="D851" s="131"/>
      <c r="E851" s="131">
        <f>E847/E849</f>
        <v>3575800</v>
      </c>
      <c r="F851" s="131">
        <f>D851+E851</f>
        <v>3575800</v>
      </c>
      <c r="G851" s="131"/>
      <c r="H851" s="131">
        <f>H847/H849</f>
        <v>8323500</v>
      </c>
      <c r="I851" s="131"/>
      <c r="J851" s="174">
        <f>H851+I851</f>
        <v>8323500</v>
      </c>
      <c r="K851" s="131"/>
      <c r="L851" s="131"/>
      <c r="M851" s="131"/>
      <c r="N851" s="131"/>
      <c r="O851" s="131"/>
      <c r="P851" s="250"/>
      <c r="Q851" s="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row>
    <row r="852" spans="1:17" s="76" customFormat="1" ht="22.5" customHeight="1" hidden="1">
      <c r="A852" s="73" t="s">
        <v>304</v>
      </c>
      <c r="B852" s="97"/>
      <c r="C852" s="97"/>
      <c r="D852" s="74">
        <f>D854</f>
        <v>8896240</v>
      </c>
      <c r="E852" s="74">
        <f aca="true" t="shared" si="65" ref="E852:P852">E854</f>
        <v>3103760</v>
      </c>
      <c r="F852" s="74">
        <f t="shared" si="65"/>
        <v>12000000</v>
      </c>
      <c r="G852" s="74">
        <f t="shared" si="65"/>
        <v>3905746</v>
      </c>
      <c r="H852" s="74">
        <f t="shared" si="65"/>
        <v>9917787.61</v>
      </c>
      <c r="I852" s="74">
        <f t="shared" si="65"/>
        <v>13823533.61</v>
      </c>
      <c r="J852" s="74">
        <f t="shared" si="65"/>
        <v>13823533.61</v>
      </c>
      <c r="K852" s="74">
        <f t="shared" si="65"/>
        <v>0</v>
      </c>
      <c r="L852" s="74">
        <f t="shared" si="65"/>
        <v>0</v>
      </c>
      <c r="M852" s="74">
        <f t="shared" si="65"/>
        <v>0</v>
      </c>
      <c r="N852" s="74">
        <f t="shared" si="65"/>
        <v>0</v>
      </c>
      <c r="O852" s="74">
        <f t="shared" si="65"/>
        <v>15000000</v>
      </c>
      <c r="P852" s="74">
        <f t="shared" si="65"/>
        <v>15000000</v>
      </c>
      <c r="Q852" s="99"/>
    </row>
    <row r="853" spans="1:102" ht="48.75" customHeight="1" hidden="1">
      <c r="A853" s="134" t="s">
        <v>329</v>
      </c>
      <c r="B853" s="164"/>
      <c r="C853" s="164"/>
      <c r="D853" s="131"/>
      <c r="E853" s="131"/>
      <c r="F853" s="131"/>
      <c r="G853" s="131"/>
      <c r="H853" s="131"/>
      <c r="I853" s="131"/>
      <c r="J853" s="131"/>
      <c r="K853" s="131"/>
      <c r="L853" s="131"/>
      <c r="M853" s="131"/>
      <c r="N853" s="131"/>
      <c r="O853" s="131"/>
      <c r="P853" s="131"/>
      <c r="Q853" s="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row>
    <row r="854" spans="1:17" s="71" customFormat="1" ht="33.75" customHeight="1" hidden="1">
      <c r="A854" s="68" t="s">
        <v>88</v>
      </c>
      <c r="B854" s="69"/>
      <c r="C854" s="69"/>
      <c r="D854" s="67">
        <f>D856</f>
        <v>8896240</v>
      </c>
      <c r="E854" s="67">
        <f>E856</f>
        <v>3103760</v>
      </c>
      <c r="F854" s="67">
        <f>D854+E854</f>
        <v>12000000</v>
      </c>
      <c r="G854" s="67">
        <f>G856</f>
        <v>3905746</v>
      </c>
      <c r="H854" s="67">
        <f>H856</f>
        <v>9917787.61</v>
      </c>
      <c r="I854" s="67">
        <f>G854+H854</f>
        <v>13823533.61</v>
      </c>
      <c r="J854" s="67">
        <f>G854+H854</f>
        <v>13823533.61</v>
      </c>
      <c r="K854" s="67"/>
      <c r="L854" s="67"/>
      <c r="M854" s="67"/>
      <c r="N854" s="67">
        <f>N858*N860</f>
        <v>0</v>
      </c>
      <c r="O854" s="67">
        <f>O858*O860</f>
        <v>15000000</v>
      </c>
      <c r="P854" s="67">
        <f>N854+O854</f>
        <v>15000000</v>
      </c>
      <c r="Q854" s="100"/>
    </row>
    <row r="855" spans="1:102" ht="12.75" hidden="1">
      <c r="A855" s="133" t="s">
        <v>183</v>
      </c>
      <c r="B855" s="164"/>
      <c r="C855" s="164"/>
      <c r="D855" s="131"/>
      <c r="E855" s="131"/>
      <c r="F855" s="131"/>
      <c r="G855" s="131"/>
      <c r="H855" s="131"/>
      <c r="I855" s="131"/>
      <c r="J855" s="131"/>
      <c r="K855" s="131"/>
      <c r="L855" s="131"/>
      <c r="M855" s="131"/>
      <c r="N855" s="131"/>
      <c r="O855" s="131"/>
      <c r="P855" s="131"/>
      <c r="Q855" s="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row>
    <row r="856" spans="1:102" ht="12.75" hidden="1">
      <c r="A856" s="134" t="s">
        <v>204</v>
      </c>
      <c r="B856" s="164"/>
      <c r="C856" s="164"/>
      <c r="D856" s="131">
        <v>8896240</v>
      </c>
      <c r="E856" s="131">
        <v>3103760</v>
      </c>
      <c r="F856" s="131">
        <f>D856+E856</f>
        <v>12000000</v>
      </c>
      <c r="G856" s="131">
        <f>3192750+712996</f>
        <v>3905746</v>
      </c>
      <c r="H856" s="131">
        <f>9807250+110537.61</f>
        <v>9917787.61</v>
      </c>
      <c r="I856" s="131"/>
      <c r="J856" s="131">
        <f>G856+H856</f>
        <v>13823533.61</v>
      </c>
      <c r="K856" s="131"/>
      <c r="L856" s="131"/>
      <c r="M856" s="131"/>
      <c r="N856" s="131"/>
      <c r="O856" s="131">
        <v>15000000</v>
      </c>
      <c r="P856" s="131">
        <f>N856+O856</f>
        <v>15000000</v>
      </c>
      <c r="Q856" s="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row>
    <row r="857" spans="1:102" ht="12.75" hidden="1">
      <c r="A857" s="133" t="s">
        <v>184</v>
      </c>
      <c r="B857" s="164"/>
      <c r="C857" s="164"/>
      <c r="D857" s="131"/>
      <c r="E857" s="131"/>
      <c r="F857" s="131"/>
      <c r="G857" s="131"/>
      <c r="H857" s="131"/>
      <c r="I857" s="131"/>
      <c r="J857" s="131"/>
      <c r="K857" s="131"/>
      <c r="L857" s="131"/>
      <c r="M857" s="131"/>
      <c r="N857" s="131"/>
      <c r="O857" s="131"/>
      <c r="P857" s="131"/>
      <c r="Q857" s="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row>
    <row r="858" spans="1:102" ht="12.75" hidden="1">
      <c r="A858" s="134" t="s">
        <v>272</v>
      </c>
      <c r="B858" s="164"/>
      <c r="C858" s="164"/>
      <c r="D858" s="131">
        <v>1</v>
      </c>
      <c r="E858" s="131">
        <v>1</v>
      </c>
      <c r="F858" s="161">
        <v>1</v>
      </c>
      <c r="G858" s="161">
        <v>1</v>
      </c>
      <c r="H858" s="161">
        <v>1</v>
      </c>
      <c r="I858" s="161"/>
      <c r="J858" s="161">
        <v>1</v>
      </c>
      <c r="K858" s="161"/>
      <c r="L858" s="161"/>
      <c r="M858" s="161"/>
      <c r="N858" s="161"/>
      <c r="O858" s="161">
        <v>1</v>
      </c>
      <c r="P858" s="161">
        <f>N858+O858</f>
        <v>1</v>
      </c>
      <c r="Q858" s="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row>
    <row r="859" spans="1:102" ht="12.75" hidden="1">
      <c r="A859" s="133" t="s">
        <v>186</v>
      </c>
      <c r="B859" s="164"/>
      <c r="C859" s="164"/>
      <c r="D859" s="131"/>
      <c r="E859" s="131"/>
      <c r="F859" s="131"/>
      <c r="G859" s="131"/>
      <c r="H859" s="131"/>
      <c r="I859" s="131"/>
      <c r="J859" s="131"/>
      <c r="K859" s="131"/>
      <c r="L859" s="131"/>
      <c r="M859" s="131"/>
      <c r="N859" s="131"/>
      <c r="O859" s="131"/>
      <c r="P859" s="131"/>
      <c r="Q859" s="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row>
    <row r="860" spans="1:102" ht="12.75" hidden="1">
      <c r="A860" s="134" t="s">
        <v>273</v>
      </c>
      <c r="B860" s="164"/>
      <c r="C860" s="164"/>
      <c r="D860" s="131">
        <f>D856/D858</f>
        <v>8896240</v>
      </c>
      <c r="E860" s="131">
        <f>E856/E858</f>
        <v>3103760</v>
      </c>
      <c r="F860" s="131">
        <f>D860+E860</f>
        <v>12000000</v>
      </c>
      <c r="G860" s="131">
        <f>G856/G858</f>
        <v>3905746</v>
      </c>
      <c r="H860" s="131">
        <f>H856/H858</f>
        <v>9917787.61</v>
      </c>
      <c r="I860" s="131"/>
      <c r="J860" s="131">
        <f>G860+H860</f>
        <v>13823533.61</v>
      </c>
      <c r="K860" s="185"/>
      <c r="L860" s="185"/>
      <c r="M860" s="185"/>
      <c r="N860" s="185"/>
      <c r="O860" s="185">
        <f>O856/O858</f>
        <v>15000000</v>
      </c>
      <c r="P860" s="131">
        <f>N860+O860</f>
        <v>15000000</v>
      </c>
      <c r="Q860" s="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row>
    <row r="861" spans="1:17" s="76" customFormat="1" ht="31.5" customHeight="1" hidden="1">
      <c r="A861" s="73" t="s">
        <v>321</v>
      </c>
      <c r="B861" s="97"/>
      <c r="C861" s="97"/>
      <c r="D861" s="74">
        <f>D863</f>
        <v>110000</v>
      </c>
      <c r="E861" s="74"/>
      <c r="F861" s="74">
        <f aca="true" t="shared" si="66" ref="F861:Q861">F863</f>
        <v>110000</v>
      </c>
      <c r="G861" s="74">
        <f t="shared" si="66"/>
        <v>805000</v>
      </c>
      <c r="H861" s="74"/>
      <c r="I861" s="74">
        <f t="shared" si="66"/>
        <v>0</v>
      </c>
      <c r="J861" s="74">
        <f t="shared" si="66"/>
        <v>805000</v>
      </c>
      <c r="K861" s="74">
        <f t="shared" si="66"/>
        <v>0</v>
      </c>
      <c r="L861" s="74">
        <f t="shared" si="66"/>
        <v>0</v>
      </c>
      <c r="M861" s="74">
        <f t="shared" si="66"/>
        <v>0</v>
      </c>
      <c r="N861" s="74">
        <f>N863</f>
        <v>340000</v>
      </c>
      <c r="O861" s="74"/>
      <c r="P861" s="74">
        <f t="shared" si="66"/>
        <v>340000</v>
      </c>
      <c r="Q861" s="74">
        <f t="shared" si="66"/>
        <v>0</v>
      </c>
    </row>
    <row r="862" spans="1:102" ht="12.75" hidden="1">
      <c r="A862" s="134" t="s">
        <v>306</v>
      </c>
      <c r="B862" s="164"/>
      <c r="C862" s="164"/>
      <c r="D862" s="131"/>
      <c r="E862" s="131"/>
      <c r="F862" s="131"/>
      <c r="G862" s="131"/>
      <c r="H862" s="131"/>
      <c r="I862" s="131"/>
      <c r="J862" s="131"/>
      <c r="K862" s="131"/>
      <c r="L862" s="131"/>
      <c r="M862" s="131"/>
      <c r="N862" s="131"/>
      <c r="O862" s="131"/>
      <c r="P862" s="131"/>
      <c r="Q862" s="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row>
    <row r="863" spans="1:17" s="71" customFormat="1" ht="31.5" customHeight="1" hidden="1">
      <c r="A863" s="68" t="s">
        <v>89</v>
      </c>
      <c r="B863" s="69"/>
      <c r="C863" s="69"/>
      <c r="D863" s="89">
        <f>D865</f>
        <v>110000</v>
      </c>
      <c r="E863" s="89"/>
      <c r="F863" s="89">
        <f>D863+E863</f>
        <v>110000</v>
      </c>
      <c r="G863" s="67">
        <f>G865</f>
        <v>805000</v>
      </c>
      <c r="H863" s="67"/>
      <c r="I863" s="67"/>
      <c r="J863" s="67">
        <f>J865</f>
        <v>805000</v>
      </c>
      <c r="K863" s="67"/>
      <c r="L863" s="67"/>
      <c r="M863" s="67"/>
      <c r="N863" s="67">
        <f>N865</f>
        <v>340000</v>
      </c>
      <c r="O863" s="67"/>
      <c r="P863" s="67">
        <f>N863</f>
        <v>340000</v>
      </c>
      <c r="Q863" s="100"/>
    </row>
    <row r="864" spans="1:102" ht="12.75" hidden="1">
      <c r="A864" s="133" t="s">
        <v>183</v>
      </c>
      <c r="B864" s="164"/>
      <c r="C864" s="164"/>
      <c r="D864" s="251"/>
      <c r="E864" s="251"/>
      <c r="F864" s="251"/>
      <c r="G864" s="131"/>
      <c r="H864" s="131"/>
      <c r="I864" s="131"/>
      <c r="J864" s="131"/>
      <c r="K864" s="131"/>
      <c r="L864" s="131"/>
      <c r="M864" s="131"/>
      <c r="N864" s="131"/>
      <c r="O864" s="131"/>
      <c r="P864" s="131"/>
      <c r="Q864" s="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row>
    <row r="865" spans="1:102" ht="10.5" customHeight="1" hidden="1">
      <c r="A865" s="134" t="s">
        <v>204</v>
      </c>
      <c r="B865" s="164"/>
      <c r="C865" s="164"/>
      <c r="D865" s="251">
        <f>300000-190000</f>
        <v>110000</v>
      </c>
      <c r="E865" s="251"/>
      <c r="F865" s="251">
        <f>D865+E865</f>
        <v>110000</v>
      </c>
      <c r="G865" s="131">
        <f>320000+100000+235000+150000</f>
        <v>805000</v>
      </c>
      <c r="H865" s="131"/>
      <c r="I865" s="131"/>
      <c r="J865" s="131">
        <f>G865+H865</f>
        <v>805000</v>
      </c>
      <c r="K865" s="131"/>
      <c r="L865" s="131"/>
      <c r="M865" s="131"/>
      <c r="N865" s="131">
        <v>340000</v>
      </c>
      <c r="O865" s="131"/>
      <c r="P865" s="131">
        <f>P869*P872</f>
        <v>340000</v>
      </c>
      <c r="Q865" s="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row>
    <row r="866" spans="1:102" ht="13.5" customHeight="1" hidden="1">
      <c r="A866" s="133" t="s">
        <v>184</v>
      </c>
      <c r="B866" s="164"/>
      <c r="C866" s="164"/>
      <c r="D866" s="251"/>
      <c r="E866" s="251"/>
      <c r="F866" s="251"/>
      <c r="G866" s="131"/>
      <c r="H866" s="131"/>
      <c r="I866" s="131"/>
      <c r="J866" s="131"/>
      <c r="K866" s="131"/>
      <c r="L866" s="131"/>
      <c r="M866" s="131"/>
      <c r="N866" s="131"/>
      <c r="O866" s="131"/>
      <c r="P866" s="131"/>
      <c r="Q866" s="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row>
    <row r="867" spans="1:102" ht="1.5" customHeight="1" hidden="1">
      <c r="A867" s="134" t="s">
        <v>264</v>
      </c>
      <c r="B867" s="164"/>
      <c r="C867" s="164"/>
      <c r="D867" s="251"/>
      <c r="E867" s="251"/>
      <c r="F867" s="251">
        <f>D867+E867</f>
        <v>0</v>
      </c>
      <c r="G867" s="251"/>
      <c r="H867" s="251"/>
      <c r="I867" s="251"/>
      <c r="J867" s="251"/>
      <c r="K867" s="131"/>
      <c r="L867" s="131"/>
      <c r="M867" s="131"/>
      <c r="N867" s="131"/>
      <c r="O867" s="131"/>
      <c r="P867" s="131"/>
      <c r="Q867" s="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row>
    <row r="868" spans="1:102" ht="63.75" hidden="1">
      <c r="A868" s="134" t="s">
        <v>572</v>
      </c>
      <c r="B868" s="164"/>
      <c r="C868" s="164"/>
      <c r="D868" s="251"/>
      <c r="E868" s="251"/>
      <c r="F868" s="251"/>
      <c r="G868" s="309">
        <f>350+4</f>
        <v>354</v>
      </c>
      <c r="H868" s="251"/>
      <c r="I868" s="251"/>
      <c r="J868" s="309">
        <f>G868+H868</f>
        <v>354</v>
      </c>
      <c r="K868" s="131"/>
      <c r="L868" s="131"/>
      <c r="M868" s="131"/>
      <c r="N868" s="131"/>
      <c r="O868" s="131"/>
      <c r="P868" s="131"/>
      <c r="Q868" s="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row>
    <row r="869" spans="1:102" ht="15" customHeight="1" hidden="1">
      <c r="A869" s="134" t="s">
        <v>268</v>
      </c>
      <c r="B869" s="164"/>
      <c r="C869" s="164"/>
      <c r="D869" s="309">
        <v>7</v>
      </c>
      <c r="E869" s="309"/>
      <c r="F869" s="309">
        <f>D869+E869</f>
        <v>7</v>
      </c>
      <c r="G869" s="309">
        <v>20</v>
      </c>
      <c r="H869" s="309"/>
      <c r="I869" s="309"/>
      <c r="J869" s="309">
        <f>G869+H869</f>
        <v>20</v>
      </c>
      <c r="K869" s="131"/>
      <c r="L869" s="131"/>
      <c r="M869" s="131"/>
      <c r="N869" s="166">
        <v>20</v>
      </c>
      <c r="O869" s="131"/>
      <c r="P869" s="166">
        <f>N869</f>
        <v>20</v>
      </c>
      <c r="Q869" s="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row>
    <row r="870" spans="1:102" ht="10.5" customHeight="1" hidden="1">
      <c r="A870" s="133" t="s">
        <v>186</v>
      </c>
      <c r="B870" s="164"/>
      <c r="C870" s="164"/>
      <c r="D870" s="251"/>
      <c r="E870" s="251"/>
      <c r="F870" s="251"/>
      <c r="G870" s="131"/>
      <c r="H870" s="131"/>
      <c r="I870" s="131"/>
      <c r="J870" s="309"/>
      <c r="K870" s="131"/>
      <c r="L870" s="131"/>
      <c r="M870" s="131"/>
      <c r="N870" s="131"/>
      <c r="O870" s="131"/>
      <c r="P870" s="131"/>
      <c r="Q870" s="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row>
    <row r="871" spans="1:102" ht="25.5" hidden="1">
      <c r="A871" s="134" t="s">
        <v>573</v>
      </c>
      <c r="B871" s="164"/>
      <c r="C871" s="164"/>
      <c r="D871" s="251"/>
      <c r="E871" s="251"/>
      <c r="F871" s="251"/>
      <c r="G871" s="131">
        <f>(100000+235000+150000)/G868</f>
        <v>1370.0564971751412</v>
      </c>
      <c r="H871" s="131"/>
      <c r="I871" s="131"/>
      <c r="J871" s="251">
        <f>G871+H871</f>
        <v>1370.0564971751412</v>
      </c>
      <c r="K871" s="131"/>
      <c r="L871" s="131"/>
      <c r="M871" s="131"/>
      <c r="N871" s="131"/>
      <c r="O871" s="131"/>
      <c r="P871" s="131"/>
      <c r="Q871" s="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row>
    <row r="872" spans="1:102" ht="22.5" customHeight="1" hidden="1">
      <c r="A872" s="134" t="s">
        <v>269</v>
      </c>
      <c r="B872" s="164"/>
      <c r="C872" s="164"/>
      <c r="D872" s="131">
        <f>D865/D869</f>
        <v>15714.285714285714</v>
      </c>
      <c r="E872" s="131"/>
      <c r="F872" s="251">
        <f>D872+E872</f>
        <v>15714.285714285714</v>
      </c>
      <c r="G872" s="310">
        <f>320000/G869</f>
        <v>16000</v>
      </c>
      <c r="H872" s="310"/>
      <c r="I872" s="310"/>
      <c r="J872" s="310">
        <f>G872+H872</f>
        <v>16000</v>
      </c>
      <c r="K872" s="310"/>
      <c r="L872" s="310"/>
      <c r="M872" s="310"/>
      <c r="N872" s="310">
        <f>N865/N869</f>
        <v>17000</v>
      </c>
      <c r="O872" s="310"/>
      <c r="P872" s="310">
        <f>N872</f>
        <v>17000</v>
      </c>
      <c r="Q872" s="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row>
    <row r="873" spans="1:17" s="76" customFormat="1" ht="29.25" customHeight="1" hidden="1">
      <c r="A873" s="102" t="s">
        <v>322</v>
      </c>
      <c r="B873" s="97"/>
      <c r="C873" s="97"/>
      <c r="D873" s="74">
        <f>D874</f>
        <v>124000</v>
      </c>
      <c r="E873" s="74"/>
      <c r="F873" s="74">
        <f>F874</f>
        <v>124000</v>
      </c>
      <c r="G873" s="74">
        <f>G874</f>
        <v>252600</v>
      </c>
      <c r="H873" s="74"/>
      <c r="I873" s="74">
        <f>I874</f>
        <v>0</v>
      </c>
      <c r="J873" s="74">
        <f>G873</f>
        <v>252600</v>
      </c>
      <c r="K873" s="103"/>
      <c r="L873" s="103"/>
      <c r="M873" s="103"/>
      <c r="N873" s="74">
        <f>N874</f>
        <v>255300</v>
      </c>
      <c r="O873" s="74"/>
      <c r="P873" s="74">
        <f>N873</f>
        <v>255300</v>
      </c>
      <c r="Q873" s="99"/>
    </row>
    <row r="874" spans="1:17" s="71" customFormat="1" ht="19.5" customHeight="1" hidden="1">
      <c r="A874" s="68" t="s">
        <v>90</v>
      </c>
      <c r="B874" s="69"/>
      <c r="C874" s="69"/>
      <c r="D874" s="67">
        <f>D876</f>
        <v>124000</v>
      </c>
      <c r="E874" s="67"/>
      <c r="F874" s="104">
        <f>D874</f>
        <v>124000</v>
      </c>
      <c r="G874" s="67">
        <f>G878*G880</f>
        <v>252600</v>
      </c>
      <c r="H874" s="67"/>
      <c r="I874" s="67"/>
      <c r="J874" s="67">
        <f>G874</f>
        <v>252600</v>
      </c>
      <c r="K874" s="67"/>
      <c r="L874" s="67"/>
      <c r="M874" s="67"/>
      <c r="N874" s="67">
        <f>N878*N880</f>
        <v>255300</v>
      </c>
      <c r="O874" s="67"/>
      <c r="P874" s="67">
        <f>N874</f>
        <v>255300</v>
      </c>
      <c r="Q874" s="100"/>
    </row>
    <row r="875" spans="1:102" ht="12.75" hidden="1">
      <c r="A875" s="133" t="s">
        <v>183</v>
      </c>
      <c r="B875" s="164"/>
      <c r="C875" s="164"/>
      <c r="D875" s="161"/>
      <c r="E875" s="161"/>
      <c r="F875" s="161"/>
      <c r="G875" s="161"/>
      <c r="H875" s="161"/>
      <c r="I875" s="161"/>
      <c r="J875" s="161"/>
      <c r="K875" s="161"/>
      <c r="L875" s="161"/>
      <c r="M875" s="161"/>
      <c r="N875" s="161"/>
      <c r="O875" s="161"/>
      <c r="P875" s="161"/>
      <c r="Q875" s="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row>
    <row r="876" spans="1:102" ht="25.5" hidden="1">
      <c r="A876" s="134" t="s">
        <v>206</v>
      </c>
      <c r="B876" s="164"/>
      <c r="C876" s="164"/>
      <c r="D876" s="161">
        <f>781700+50000-581700-50000-76000</f>
        <v>124000</v>
      </c>
      <c r="E876" s="161"/>
      <c r="F876" s="161">
        <f>D876</f>
        <v>124000</v>
      </c>
      <c r="G876" s="161">
        <f>828600+52600-628600</f>
        <v>252600</v>
      </c>
      <c r="H876" s="161"/>
      <c r="I876" s="161"/>
      <c r="J876" s="161">
        <f>G876</f>
        <v>252600</v>
      </c>
      <c r="K876" s="161"/>
      <c r="L876" s="161"/>
      <c r="M876" s="161"/>
      <c r="N876" s="161">
        <f>870000+55300-670000</f>
        <v>255300</v>
      </c>
      <c r="O876" s="161"/>
      <c r="P876" s="161">
        <f>N876</f>
        <v>255300</v>
      </c>
      <c r="Q876" s="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row>
    <row r="877" spans="1:102" ht="12.75" hidden="1">
      <c r="A877" s="133" t="s">
        <v>184</v>
      </c>
      <c r="B877" s="164"/>
      <c r="C877" s="164"/>
      <c r="D877" s="161"/>
      <c r="E877" s="161"/>
      <c r="F877" s="161"/>
      <c r="G877" s="161"/>
      <c r="H877" s="161"/>
      <c r="I877" s="161"/>
      <c r="J877" s="161"/>
      <c r="K877" s="161"/>
      <c r="L877" s="161"/>
      <c r="M877" s="161"/>
      <c r="N877" s="161"/>
      <c r="O877" s="161"/>
      <c r="P877" s="161"/>
      <c r="Q877" s="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row>
    <row r="878" spans="1:102" ht="27.75" customHeight="1" hidden="1">
      <c r="A878" s="134" t="s">
        <v>124</v>
      </c>
      <c r="B878" s="164"/>
      <c r="C878" s="164"/>
      <c r="D878" s="161">
        <v>8</v>
      </c>
      <c r="E878" s="161"/>
      <c r="F878" s="161">
        <f>D878</f>
        <v>8</v>
      </c>
      <c r="G878" s="161">
        <v>8</v>
      </c>
      <c r="H878" s="161"/>
      <c r="I878" s="161"/>
      <c r="J878" s="161">
        <f>G878</f>
        <v>8</v>
      </c>
      <c r="K878" s="161"/>
      <c r="L878" s="161"/>
      <c r="M878" s="161"/>
      <c r="N878" s="161">
        <v>8</v>
      </c>
      <c r="O878" s="161"/>
      <c r="P878" s="161">
        <f>N878</f>
        <v>8</v>
      </c>
      <c r="Q878" s="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row>
    <row r="879" spans="1:102" ht="12.75" hidden="1">
      <c r="A879" s="133" t="s">
        <v>186</v>
      </c>
      <c r="B879" s="164"/>
      <c r="C879" s="164"/>
      <c r="D879" s="161"/>
      <c r="E879" s="161"/>
      <c r="F879" s="161"/>
      <c r="G879" s="161"/>
      <c r="H879" s="161"/>
      <c r="I879" s="161"/>
      <c r="J879" s="161"/>
      <c r="K879" s="161"/>
      <c r="L879" s="161"/>
      <c r="M879" s="161"/>
      <c r="N879" s="161"/>
      <c r="O879" s="161"/>
      <c r="P879" s="161"/>
      <c r="Q879" s="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row>
    <row r="880" spans="1:102" ht="29.25" customHeight="1" hidden="1">
      <c r="A880" s="134" t="s">
        <v>207</v>
      </c>
      <c r="B880" s="164"/>
      <c r="C880" s="164"/>
      <c r="D880" s="161">
        <f>D876/D878</f>
        <v>15500</v>
      </c>
      <c r="E880" s="161"/>
      <c r="F880" s="161">
        <f>D880</f>
        <v>15500</v>
      </c>
      <c r="G880" s="161">
        <f>G876/G878</f>
        <v>31575</v>
      </c>
      <c r="H880" s="161"/>
      <c r="I880" s="161"/>
      <c r="J880" s="161">
        <f>G880</f>
        <v>31575</v>
      </c>
      <c r="K880" s="161"/>
      <c r="L880" s="161"/>
      <c r="M880" s="161"/>
      <c r="N880" s="161">
        <f>N876/N878</f>
        <v>31912.5</v>
      </c>
      <c r="O880" s="161"/>
      <c r="P880" s="161">
        <f>N880</f>
        <v>31912.5</v>
      </c>
      <c r="Q880" s="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row>
    <row r="881" spans="1:17" s="76" customFormat="1" ht="12.75" hidden="1">
      <c r="A881" s="73" t="s">
        <v>392</v>
      </c>
      <c r="B881" s="97"/>
      <c r="C881" s="97"/>
      <c r="D881" s="74"/>
      <c r="E881" s="74">
        <f>E883</f>
        <v>12983283</v>
      </c>
      <c r="F881" s="74">
        <f>D881+E881</f>
        <v>12983283</v>
      </c>
      <c r="G881" s="74"/>
      <c r="H881" s="74">
        <f>H883</f>
        <v>129400000</v>
      </c>
      <c r="I881" s="74" t="e">
        <f>I883+#REF!</f>
        <v>#REF!</v>
      </c>
      <c r="J881" s="74">
        <f>J883</f>
        <v>129400000</v>
      </c>
      <c r="K881" s="74" t="e">
        <f>K883+#REF!</f>
        <v>#REF!</v>
      </c>
      <c r="L881" s="74" t="e">
        <f>L883+#REF!</f>
        <v>#REF!</v>
      </c>
      <c r="M881" s="74" t="e">
        <f>M883+#REF!</f>
        <v>#REF!</v>
      </c>
      <c r="N881" s="74"/>
      <c r="O881" s="74">
        <f>O883</f>
        <v>77570000</v>
      </c>
      <c r="P881" s="74">
        <f>P883</f>
        <v>77570000</v>
      </c>
      <c r="Q881" s="99"/>
    </row>
    <row r="882" spans="1:102" ht="12.75" hidden="1">
      <c r="A882" s="138" t="s">
        <v>284</v>
      </c>
      <c r="B882" s="162"/>
      <c r="C882" s="162"/>
      <c r="D882" s="161"/>
      <c r="E882" s="161"/>
      <c r="F882" s="161"/>
      <c r="G882" s="161"/>
      <c r="H882" s="161"/>
      <c r="I882" s="161"/>
      <c r="J882" s="161"/>
      <c r="K882" s="161"/>
      <c r="L882" s="161"/>
      <c r="M882" s="161"/>
      <c r="N882" s="161"/>
      <c r="O882" s="161"/>
      <c r="P882" s="161"/>
      <c r="Q882" s="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c r="CA882" s="13"/>
      <c r="CB882" s="13"/>
      <c r="CC882" s="13"/>
      <c r="CD882" s="13"/>
      <c r="CE882" s="13"/>
      <c r="CF882" s="13"/>
      <c r="CG882" s="13"/>
      <c r="CH882" s="13"/>
      <c r="CI882" s="13"/>
      <c r="CJ882" s="13"/>
      <c r="CK882" s="13"/>
      <c r="CL882" s="13"/>
      <c r="CM882" s="13"/>
      <c r="CN882" s="13"/>
      <c r="CO882" s="13"/>
      <c r="CP882" s="13"/>
      <c r="CQ882" s="13"/>
      <c r="CR882" s="13"/>
      <c r="CS882" s="13"/>
      <c r="CT882" s="13"/>
      <c r="CU882" s="13"/>
      <c r="CV882" s="13"/>
      <c r="CW882" s="13"/>
      <c r="CX882" s="13"/>
    </row>
    <row r="883" spans="1:17" s="71" customFormat="1" ht="30.75" customHeight="1" hidden="1">
      <c r="A883" s="68" t="s">
        <v>91</v>
      </c>
      <c r="B883" s="69"/>
      <c r="C883" s="69"/>
      <c r="D883" s="105"/>
      <c r="E883" s="105">
        <f>E885</f>
        <v>12983283</v>
      </c>
      <c r="F883" s="105">
        <f>D883+E883</f>
        <v>12983283</v>
      </c>
      <c r="G883" s="67"/>
      <c r="H883" s="67">
        <f>SUM(H885)</f>
        <v>129400000</v>
      </c>
      <c r="I883" s="67"/>
      <c r="J883" s="67">
        <f>G883+H883+I883</f>
        <v>129400000</v>
      </c>
      <c r="K883" s="67"/>
      <c r="L883" s="67"/>
      <c r="M883" s="67"/>
      <c r="N883" s="67"/>
      <c r="O883" s="67">
        <f>O885</f>
        <v>77570000</v>
      </c>
      <c r="P883" s="67">
        <f>N883+O883</f>
        <v>77570000</v>
      </c>
      <c r="Q883" s="100"/>
    </row>
    <row r="884" spans="1:17" s="11" customFormat="1" ht="13.5" hidden="1">
      <c r="A884" s="137" t="s">
        <v>183</v>
      </c>
      <c r="B884" s="159"/>
      <c r="C884" s="159"/>
      <c r="D884" s="252"/>
      <c r="E884" s="252"/>
      <c r="F884" s="252"/>
      <c r="G884" s="160"/>
      <c r="H884" s="160"/>
      <c r="I884" s="160"/>
      <c r="J884" s="160"/>
      <c r="K884" s="160"/>
      <c r="L884" s="160"/>
      <c r="M884" s="160"/>
      <c r="N884" s="160"/>
      <c r="O884" s="160"/>
      <c r="P884" s="160"/>
      <c r="Q884" s="15"/>
    </row>
    <row r="885" spans="1:17" s="11" customFormat="1" ht="12.75" hidden="1">
      <c r="A885" s="153" t="s">
        <v>204</v>
      </c>
      <c r="B885" s="253"/>
      <c r="C885" s="253"/>
      <c r="D885" s="245"/>
      <c r="E885" s="245">
        <f>70233800-56410000-400-240117-600000</f>
        <v>12983283</v>
      </c>
      <c r="F885" s="245">
        <f>E885</f>
        <v>12983283</v>
      </c>
      <c r="G885" s="181"/>
      <c r="H885" s="181">
        <f>68900000+7000000+53500000</f>
        <v>129400000</v>
      </c>
      <c r="I885" s="181"/>
      <c r="J885" s="181">
        <f>H885</f>
        <v>129400000</v>
      </c>
      <c r="K885" s="181"/>
      <c r="L885" s="181"/>
      <c r="M885" s="181"/>
      <c r="N885" s="181"/>
      <c r="O885" s="181">
        <v>77570000</v>
      </c>
      <c r="P885" s="181">
        <f>O885</f>
        <v>77570000</v>
      </c>
      <c r="Q885" s="15"/>
    </row>
    <row r="886" spans="1:17" s="11" customFormat="1" ht="13.5" hidden="1">
      <c r="A886" s="137" t="s">
        <v>184</v>
      </c>
      <c r="B886" s="159"/>
      <c r="C886" s="159"/>
      <c r="D886" s="252"/>
      <c r="E886" s="252"/>
      <c r="F886" s="252"/>
      <c r="G886" s="160"/>
      <c r="H886" s="160"/>
      <c r="I886" s="160"/>
      <c r="J886" s="160"/>
      <c r="K886" s="160"/>
      <c r="L886" s="160"/>
      <c r="M886" s="160"/>
      <c r="N886" s="160"/>
      <c r="O886" s="160"/>
      <c r="P886" s="160"/>
      <c r="Q886" s="15"/>
    </row>
    <row r="887" spans="1:17" s="11" customFormat="1" ht="12.75" hidden="1">
      <c r="A887" s="153" t="s">
        <v>277</v>
      </c>
      <c r="B887" s="253"/>
      <c r="C887" s="253"/>
      <c r="D887" s="245"/>
      <c r="E887" s="245">
        <v>5</v>
      </c>
      <c r="F887" s="245">
        <f>E887</f>
        <v>5</v>
      </c>
      <c r="G887" s="181"/>
      <c r="H887" s="181">
        <v>20</v>
      </c>
      <c r="I887" s="181"/>
      <c r="J887" s="181">
        <f>H887</f>
        <v>20</v>
      </c>
      <c r="K887" s="181">
        <f>H887</f>
        <v>20</v>
      </c>
      <c r="L887" s="181">
        <f>J887</f>
        <v>20</v>
      </c>
      <c r="M887" s="181">
        <f>K887</f>
        <v>20</v>
      </c>
      <c r="N887" s="181"/>
      <c r="O887" s="181">
        <v>17</v>
      </c>
      <c r="P887" s="181">
        <f>O887</f>
        <v>17</v>
      </c>
      <c r="Q887" s="15"/>
    </row>
    <row r="888" spans="1:17" s="11" customFormat="1" ht="12.75" hidden="1">
      <c r="A888" s="153" t="s">
        <v>186</v>
      </c>
      <c r="B888" s="253"/>
      <c r="C888" s="253"/>
      <c r="D888" s="245"/>
      <c r="E888" s="245"/>
      <c r="F888" s="245"/>
      <c r="G888" s="181"/>
      <c r="H888" s="181"/>
      <c r="I888" s="181"/>
      <c r="J888" s="181"/>
      <c r="K888" s="181"/>
      <c r="L888" s="181"/>
      <c r="M888" s="181"/>
      <c r="N888" s="181"/>
      <c r="O888" s="181"/>
      <c r="P888" s="181"/>
      <c r="Q888" s="15"/>
    </row>
    <row r="889" spans="1:17" s="11" customFormat="1" ht="25.5" hidden="1">
      <c r="A889" s="153" t="s">
        <v>335</v>
      </c>
      <c r="B889" s="253"/>
      <c r="C889" s="253"/>
      <c r="D889" s="245"/>
      <c r="E889" s="181">
        <f>E885/E887</f>
        <v>2596656.6</v>
      </c>
      <c r="F889" s="181">
        <f>E889</f>
        <v>2596656.6</v>
      </c>
      <c r="G889" s="181"/>
      <c r="H889" s="181">
        <f>SUM(H885)/H887</f>
        <v>6470000</v>
      </c>
      <c r="I889" s="181"/>
      <c r="J889" s="181">
        <f>SUM(J885)/J887</f>
        <v>6470000</v>
      </c>
      <c r="K889" s="181"/>
      <c r="L889" s="181"/>
      <c r="M889" s="181"/>
      <c r="N889" s="181"/>
      <c r="O889" s="181">
        <f>SUM(O885)/O887</f>
        <v>4562941.176470588</v>
      </c>
      <c r="P889" s="181">
        <f>SUM(P885)/P887</f>
        <v>4562941.176470588</v>
      </c>
      <c r="Q889" s="15"/>
    </row>
    <row r="890" spans="1:17" s="84" customFormat="1" ht="27" customHeight="1" hidden="1">
      <c r="A890" s="73" t="s">
        <v>393</v>
      </c>
      <c r="B890" s="97"/>
      <c r="C890" s="97"/>
      <c r="D890" s="106"/>
      <c r="E890" s="74">
        <f>E892</f>
        <v>4778000</v>
      </c>
      <c r="F890" s="74">
        <f>E890</f>
        <v>4778000</v>
      </c>
      <c r="G890" s="74"/>
      <c r="H890" s="74">
        <f>H892</f>
        <v>56900000</v>
      </c>
      <c r="I890" s="74"/>
      <c r="J890" s="74">
        <f>H890</f>
        <v>56900000</v>
      </c>
      <c r="K890" s="74"/>
      <c r="L890" s="74"/>
      <c r="M890" s="74"/>
      <c r="N890" s="74"/>
      <c r="O890" s="74">
        <f>O892</f>
        <v>49300000</v>
      </c>
      <c r="P890" s="74">
        <f>O890</f>
        <v>49300000</v>
      </c>
      <c r="Q890" s="107"/>
    </row>
    <row r="891" spans="1:17" s="11" customFormat="1" ht="12.75" hidden="1">
      <c r="A891" s="138" t="s">
        <v>396</v>
      </c>
      <c r="B891" s="253"/>
      <c r="C891" s="253"/>
      <c r="D891" s="245"/>
      <c r="E891" s="181"/>
      <c r="F891" s="181"/>
      <c r="G891" s="181"/>
      <c r="H891" s="181"/>
      <c r="I891" s="181"/>
      <c r="J891" s="181"/>
      <c r="K891" s="181"/>
      <c r="L891" s="181"/>
      <c r="M891" s="181"/>
      <c r="N891" s="181"/>
      <c r="O891" s="181"/>
      <c r="P891" s="181"/>
      <c r="Q891" s="15"/>
    </row>
    <row r="892" spans="1:17" s="71" customFormat="1" ht="25.5" hidden="1">
      <c r="A892" s="68" t="s">
        <v>92</v>
      </c>
      <c r="B892" s="69"/>
      <c r="C892" s="69"/>
      <c r="D892" s="105"/>
      <c r="E892" s="67">
        <f>E894</f>
        <v>4778000</v>
      </c>
      <c r="F892" s="67">
        <f>E892</f>
        <v>4778000</v>
      </c>
      <c r="G892" s="67"/>
      <c r="H892" s="67">
        <f>H894</f>
        <v>56900000</v>
      </c>
      <c r="I892" s="67"/>
      <c r="J892" s="67">
        <f>H892</f>
        <v>56900000</v>
      </c>
      <c r="K892" s="67"/>
      <c r="L892" s="67"/>
      <c r="M892" s="67"/>
      <c r="N892" s="67"/>
      <c r="O892" s="67">
        <f>O894</f>
        <v>49300000</v>
      </c>
      <c r="P892" s="67">
        <f>O892</f>
        <v>49300000</v>
      </c>
      <c r="Q892" s="100"/>
    </row>
    <row r="893" spans="1:17" s="11" customFormat="1" ht="13.5" hidden="1">
      <c r="A893" s="137" t="s">
        <v>183</v>
      </c>
      <c r="B893" s="253"/>
      <c r="C893" s="253"/>
      <c r="D893" s="245"/>
      <c r="E893" s="181"/>
      <c r="F893" s="181"/>
      <c r="G893" s="181"/>
      <c r="H893" s="181"/>
      <c r="I893" s="181"/>
      <c r="J893" s="181"/>
      <c r="K893" s="181"/>
      <c r="L893" s="181"/>
      <c r="M893" s="181"/>
      <c r="N893" s="181"/>
      <c r="O893" s="181"/>
      <c r="P893" s="181"/>
      <c r="Q893" s="15"/>
    </row>
    <row r="894" spans="1:17" s="11" customFormat="1" ht="12.75" hidden="1">
      <c r="A894" s="153" t="s">
        <v>204</v>
      </c>
      <c r="B894" s="253"/>
      <c r="C894" s="253"/>
      <c r="D894" s="245"/>
      <c r="E894" s="181">
        <f>64650000-59872000</f>
        <v>4778000</v>
      </c>
      <c r="F894" s="181">
        <f>E894</f>
        <v>4778000</v>
      </c>
      <c r="G894" s="181"/>
      <c r="H894" s="181">
        <f>101400000+7000000-53500000+2000000</f>
        <v>56900000</v>
      </c>
      <c r="I894" s="181"/>
      <c r="J894" s="181">
        <f>H894</f>
        <v>56900000</v>
      </c>
      <c r="K894" s="181"/>
      <c r="L894" s="181"/>
      <c r="M894" s="181"/>
      <c r="N894" s="181"/>
      <c r="O894" s="181">
        <v>49300000</v>
      </c>
      <c r="P894" s="181">
        <f>O894</f>
        <v>49300000</v>
      </c>
      <c r="Q894" s="15"/>
    </row>
    <row r="895" spans="1:17" s="11" customFormat="1" ht="13.5" hidden="1">
      <c r="A895" s="137" t="s">
        <v>184</v>
      </c>
      <c r="B895" s="253"/>
      <c r="C895" s="253"/>
      <c r="D895" s="245"/>
      <c r="E895" s="181"/>
      <c r="F895" s="181"/>
      <c r="G895" s="181"/>
      <c r="H895" s="181"/>
      <c r="I895" s="181"/>
      <c r="J895" s="181"/>
      <c r="K895" s="181"/>
      <c r="L895" s="181"/>
      <c r="M895" s="181"/>
      <c r="N895" s="181"/>
      <c r="O895" s="181"/>
      <c r="P895" s="181"/>
      <c r="Q895" s="15"/>
    </row>
    <row r="896" spans="1:17" s="11" customFormat="1" ht="12.75" hidden="1">
      <c r="A896" s="153" t="s">
        <v>277</v>
      </c>
      <c r="B896" s="253"/>
      <c r="C896" s="253"/>
      <c r="D896" s="245"/>
      <c r="E896" s="181">
        <v>8</v>
      </c>
      <c r="F896" s="181">
        <f>E896</f>
        <v>8</v>
      </c>
      <c r="G896" s="181"/>
      <c r="H896" s="181">
        <f>14+1+1</f>
        <v>16</v>
      </c>
      <c r="I896" s="181"/>
      <c r="J896" s="181">
        <f>H896</f>
        <v>16</v>
      </c>
      <c r="K896" s="181"/>
      <c r="L896" s="181"/>
      <c r="M896" s="181"/>
      <c r="N896" s="181"/>
      <c r="O896" s="181">
        <f>14+1</f>
        <v>15</v>
      </c>
      <c r="P896" s="181">
        <f>O896</f>
        <v>15</v>
      </c>
      <c r="Q896" s="15"/>
    </row>
    <row r="897" spans="1:17" s="11" customFormat="1" ht="13.5" hidden="1">
      <c r="A897" s="137" t="s">
        <v>186</v>
      </c>
      <c r="B897" s="253"/>
      <c r="C897" s="253"/>
      <c r="D897" s="245"/>
      <c r="E897" s="181"/>
      <c r="F897" s="181"/>
      <c r="G897" s="181"/>
      <c r="H897" s="181"/>
      <c r="I897" s="181"/>
      <c r="J897" s="181"/>
      <c r="K897" s="181"/>
      <c r="L897" s="181"/>
      <c r="M897" s="181"/>
      <c r="N897" s="181"/>
      <c r="O897" s="181"/>
      <c r="P897" s="181"/>
      <c r="Q897" s="15"/>
    </row>
    <row r="898" spans="1:17" s="11" customFormat="1" ht="25.5" hidden="1">
      <c r="A898" s="153" t="s">
        <v>335</v>
      </c>
      <c r="B898" s="253"/>
      <c r="C898" s="253"/>
      <c r="D898" s="245"/>
      <c r="E898" s="181">
        <f>E894/E896</f>
        <v>597250</v>
      </c>
      <c r="F898" s="181">
        <f>E898</f>
        <v>597250</v>
      </c>
      <c r="G898" s="181"/>
      <c r="H898" s="181">
        <v>6775000</v>
      </c>
      <c r="I898" s="181"/>
      <c r="J898" s="181">
        <f>H898</f>
        <v>6775000</v>
      </c>
      <c r="K898" s="181"/>
      <c r="L898" s="181"/>
      <c r="M898" s="181"/>
      <c r="N898" s="181"/>
      <c r="O898" s="181">
        <f>O894/O896</f>
        <v>3286666.6666666665</v>
      </c>
      <c r="P898" s="181">
        <f>O898</f>
        <v>3286666.6666666665</v>
      </c>
      <c r="Q898" s="15"/>
    </row>
    <row r="899" spans="1:17" s="84" customFormat="1" ht="23.25" customHeight="1" hidden="1">
      <c r="A899" s="73" t="s">
        <v>394</v>
      </c>
      <c r="B899" s="73"/>
      <c r="C899" s="73"/>
      <c r="D899" s="109"/>
      <c r="E899" s="74">
        <f>E901</f>
        <v>0</v>
      </c>
      <c r="F899" s="74">
        <f>E899</f>
        <v>0</v>
      </c>
      <c r="G899" s="74"/>
      <c r="H899" s="74">
        <f>H901</f>
        <v>10000000</v>
      </c>
      <c r="I899" s="74"/>
      <c r="J899" s="74">
        <f>H899</f>
        <v>10000000</v>
      </c>
      <c r="K899" s="74"/>
      <c r="L899" s="74"/>
      <c r="M899" s="74"/>
      <c r="N899" s="74"/>
      <c r="O899" s="74">
        <f>O901</f>
        <v>10000000</v>
      </c>
      <c r="P899" s="74">
        <f>P901</f>
        <v>10000000</v>
      </c>
      <c r="Q899" s="107"/>
    </row>
    <row r="900" spans="1:17" s="11" customFormat="1" ht="12.75" hidden="1">
      <c r="A900" s="138" t="s">
        <v>395</v>
      </c>
      <c r="B900" s="253"/>
      <c r="C900" s="253"/>
      <c r="D900" s="245"/>
      <c r="E900" s="181"/>
      <c r="F900" s="181"/>
      <c r="G900" s="181"/>
      <c r="H900" s="181"/>
      <c r="I900" s="181"/>
      <c r="J900" s="181"/>
      <c r="K900" s="181"/>
      <c r="L900" s="181"/>
      <c r="M900" s="181"/>
      <c r="N900" s="181"/>
      <c r="O900" s="181"/>
      <c r="P900" s="181"/>
      <c r="Q900" s="15"/>
    </row>
    <row r="901" spans="1:17" s="71" customFormat="1" ht="36.75" customHeight="1" hidden="1">
      <c r="A901" s="68" t="s">
        <v>93</v>
      </c>
      <c r="B901" s="69"/>
      <c r="C901" s="69"/>
      <c r="D901" s="105"/>
      <c r="E901" s="67">
        <f>E903</f>
        <v>0</v>
      </c>
      <c r="F901" s="67">
        <f>E901</f>
        <v>0</v>
      </c>
      <c r="G901" s="67"/>
      <c r="H901" s="67">
        <f>H903</f>
        <v>10000000</v>
      </c>
      <c r="I901" s="67"/>
      <c r="J901" s="67">
        <f>H901</f>
        <v>10000000</v>
      </c>
      <c r="K901" s="67"/>
      <c r="L901" s="67"/>
      <c r="M901" s="67"/>
      <c r="N901" s="67"/>
      <c r="O901" s="67">
        <f>O903</f>
        <v>10000000</v>
      </c>
      <c r="P901" s="67">
        <f>O901</f>
        <v>10000000</v>
      </c>
      <c r="Q901" s="100">
        <f>O901</f>
        <v>10000000</v>
      </c>
    </row>
    <row r="902" spans="1:17" s="11" customFormat="1" ht="13.5" hidden="1">
      <c r="A902" s="137" t="s">
        <v>183</v>
      </c>
      <c r="B902" s="253"/>
      <c r="C902" s="253"/>
      <c r="D902" s="245"/>
      <c r="E902" s="181"/>
      <c r="F902" s="181"/>
      <c r="G902" s="181"/>
      <c r="H902" s="181"/>
      <c r="I902" s="181"/>
      <c r="J902" s="181"/>
      <c r="K902" s="181"/>
      <c r="L902" s="181"/>
      <c r="M902" s="181"/>
      <c r="N902" s="181"/>
      <c r="O902" s="181"/>
      <c r="P902" s="181"/>
      <c r="Q902" s="15"/>
    </row>
    <row r="903" spans="1:17" s="11" customFormat="1" ht="12.75" hidden="1">
      <c r="A903" s="153" t="s">
        <v>204</v>
      </c>
      <c r="B903" s="253"/>
      <c r="C903" s="253"/>
      <c r="D903" s="245"/>
      <c r="E903" s="181">
        <f>10000000-10000000</f>
        <v>0</v>
      </c>
      <c r="F903" s="181">
        <f>E903</f>
        <v>0</v>
      </c>
      <c r="G903" s="181"/>
      <c r="H903" s="181">
        <v>10000000</v>
      </c>
      <c r="I903" s="181"/>
      <c r="J903" s="181">
        <f>H903</f>
        <v>10000000</v>
      </c>
      <c r="K903" s="181"/>
      <c r="L903" s="181"/>
      <c r="M903" s="181"/>
      <c r="N903" s="181"/>
      <c r="O903" s="181">
        <v>10000000</v>
      </c>
      <c r="P903" s="181">
        <f>O903</f>
        <v>10000000</v>
      </c>
      <c r="Q903" s="15">
        <f>O903</f>
        <v>10000000</v>
      </c>
    </row>
    <row r="904" spans="1:17" s="11" customFormat="1" ht="13.5" hidden="1">
      <c r="A904" s="137" t="s">
        <v>184</v>
      </c>
      <c r="B904" s="253"/>
      <c r="C904" s="253"/>
      <c r="D904" s="245"/>
      <c r="E904" s="181"/>
      <c r="F904" s="181"/>
      <c r="G904" s="181"/>
      <c r="H904" s="181"/>
      <c r="I904" s="181"/>
      <c r="J904" s="181"/>
      <c r="K904" s="181"/>
      <c r="L904" s="181"/>
      <c r="M904" s="181"/>
      <c r="N904" s="181"/>
      <c r="O904" s="181"/>
      <c r="P904" s="181">
        <f>O904</f>
        <v>0</v>
      </c>
      <c r="Q904" s="15"/>
    </row>
    <row r="905" spans="1:17" s="11" customFormat="1" ht="12.75" hidden="1">
      <c r="A905" s="153" t="s">
        <v>277</v>
      </c>
      <c r="B905" s="253"/>
      <c r="C905" s="253"/>
      <c r="D905" s="245"/>
      <c r="E905" s="181">
        <v>0</v>
      </c>
      <c r="F905" s="181">
        <f>E905</f>
        <v>0</v>
      </c>
      <c r="G905" s="181"/>
      <c r="H905" s="181">
        <v>1</v>
      </c>
      <c r="I905" s="181"/>
      <c r="J905" s="181">
        <f>H905</f>
        <v>1</v>
      </c>
      <c r="K905" s="181"/>
      <c r="L905" s="181"/>
      <c r="M905" s="181"/>
      <c r="N905" s="181"/>
      <c r="O905" s="181">
        <v>1</v>
      </c>
      <c r="P905" s="181">
        <f>O905</f>
        <v>1</v>
      </c>
      <c r="Q905" s="15">
        <f>O905</f>
        <v>1</v>
      </c>
    </row>
    <row r="906" spans="1:17" s="11" customFormat="1" ht="12.75" hidden="1">
      <c r="A906" s="153" t="s">
        <v>186</v>
      </c>
      <c r="B906" s="253"/>
      <c r="C906" s="253"/>
      <c r="D906" s="245"/>
      <c r="E906" s="181"/>
      <c r="F906" s="181"/>
      <c r="G906" s="181"/>
      <c r="H906" s="181"/>
      <c r="I906" s="181"/>
      <c r="J906" s="181"/>
      <c r="K906" s="181"/>
      <c r="L906" s="181"/>
      <c r="M906" s="181"/>
      <c r="N906" s="181"/>
      <c r="O906" s="181"/>
      <c r="P906" s="181">
        <f>O906</f>
        <v>0</v>
      </c>
      <c r="Q906" s="15"/>
    </row>
    <row r="907" spans="1:17" s="11" customFormat="1" ht="25.5" hidden="1">
      <c r="A907" s="153" t="s">
        <v>335</v>
      </c>
      <c r="B907" s="253"/>
      <c r="C907" s="253"/>
      <c r="D907" s="245"/>
      <c r="E907" s="181" t="e">
        <f>E903/E905</f>
        <v>#DIV/0!</v>
      </c>
      <c r="F907" s="181" t="e">
        <f>E907</f>
        <v>#DIV/0!</v>
      </c>
      <c r="G907" s="181"/>
      <c r="H907" s="181">
        <f>H903/H905</f>
        <v>10000000</v>
      </c>
      <c r="I907" s="181"/>
      <c r="J907" s="181">
        <f>H907</f>
        <v>10000000</v>
      </c>
      <c r="K907" s="181"/>
      <c r="L907" s="181"/>
      <c r="M907" s="181"/>
      <c r="N907" s="181"/>
      <c r="O907" s="181">
        <f>O903/O905</f>
        <v>10000000</v>
      </c>
      <c r="P907" s="181">
        <f>O907</f>
        <v>10000000</v>
      </c>
      <c r="Q907" s="15">
        <f>O907</f>
        <v>10000000</v>
      </c>
    </row>
    <row r="908" spans="1:17" s="76" customFormat="1" ht="23.25" customHeight="1" hidden="1">
      <c r="A908" s="73" t="s">
        <v>305</v>
      </c>
      <c r="B908" s="97"/>
      <c r="C908" s="97"/>
      <c r="D908" s="109"/>
      <c r="E908" s="109">
        <f>E910</f>
        <v>-7654092</v>
      </c>
      <c r="F908" s="109">
        <f>F910</f>
        <v>-7654092</v>
      </c>
      <c r="G908" s="109"/>
      <c r="H908" s="109">
        <f>H910</f>
        <v>-7654092</v>
      </c>
      <c r="I908" s="109">
        <f>I910</f>
        <v>0</v>
      </c>
      <c r="J908" s="109">
        <f>J910</f>
        <v>-7654092</v>
      </c>
      <c r="K908" s="109"/>
      <c r="L908" s="109"/>
      <c r="M908" s="109"/>
      <c r="N908" s="109"/>
      <c r="O908" s="109"/>
      <c r="P908" s="109"/>
      <c r="Q908" s="109">
        <f>Q910</f>
        <v>0</v>
      </c>
    </row>
    <row r="909" spans="1:102" ht="17.25" customHeight="1" hidden="1">
      <c r="A909" s="134" t="s">
        <v>281</v>
      </c>
      <c r="B909" s="164"/>
      <c r="C909" s="164"/>
      <c r="D909" s="251"/>
      <c r="E909" s="247"/>
      <c r="F909" s="247"/>
      <c r="G909" s="131"/>
      <c r="H909" s="131"/>
      <c r="I909" s="131"/>
      <c r="J909" s="131"/>
      <c r="K909" s="131"/>
      <c r="L909" s="131"/>
      <c r="M909" s="131"/>
      <c r="N909" s="131"/>
      <c r="O909" s="131"/>
      <c r="P909" s="131"/>
      <c r="Q909" s="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c r="BD909" s="13"/>
      <c r="BE909" s="13"/>
      <c r="BF909" s="13"/>
      <c r="BG909" s="13"/>
      <c r="BH909" s="13"/>
      <c r="BI909" s="13"/>
      <c r="BJ909" s="13"/>
      <c r="BK909" s="13"/>
      <c r="BL909" s="13"/>
      <c r="BM909" s="13"/>
      <c r="BN909" s="13"/>
      <c r="BO909" s="13"/>
      <c r="BP909" s="13"/>
      <c r="BQ909" s="13"/>
      <c r="BR909" s="13"/>
      <c r="BS909" s="13"/>
      <c r="BT909" s="13"/>
      <c r="BU909" s="13"/>
      <c r="BV909" s="13"/>
      <c r="BW909" s="13"/>
      <c r="BX909" s="13"/>
      <c r="BY909" s="13"/>
      <c r="BZ909" s="13"/>
      <c r="CA909" s="13"/>
      <c r="CB909" s="13"/>
      <c r="CC909" s="13"/>
      <c r="CD909" s="13"/>
      <c r="CE909" s="13"/>
      <c r="CF909" s="13"/>
      <c r="CG909" s="13"/>
      <c r="CH909" s="13"/>
      <c r="CI909" s="13"/>
      <c r="CJ909" s="13"/>
      <c r="CK909" s="13"/>
      <c r="CL909" s="13"/>
      <c r="CM909" s="13"/>
      <c r="CN909" s="13"/>
      <c r="CO909" s="13"/>
      <c r="CP909" s="13"/>
      <c r="CQ909" s="13"/>
      <c r="CR909" s="13"/>
      <c r="CS909" s="13"/>
      <c r="CT909" s="13"/>
      <c r="CU909" s="13"/>
      <c r="CV909" s="13"/>
      <c r="CW909" s="13"/>
      <c r="CX909" s="13"/>
    </row>
    <row r="910" spans="1:17" s="71" customFormat="1" ht="12.75" hidden="1">
      <c r="A910" s="68" t="s">
        <v>49</v>
      </c>
      <c r="B910" s="69"/>
      <c r="C910" s="69"/>
      <c r="D910" s="105"/>
      <c r="E910" s="105">
        <f>E912</f>
        <v>-7654092</v>
      </c>
      <c r="F910" s="105">
        <f>D910+E910</f>
        <v>-7654092</v>
      </c>
      <c r="G910" s="67"/>
      <c r="H910" s="105">
        <f>H912</f>
        <v>-7654092</v>
      </c>
      <c r="I910" s="67"/>
      <c r="J910" s="67">
        <f>H910</f>
        <v>-7654092</v>
      </c>
      <c r="K910" s="67"/>
      <c r="L910" s="67"/>
      <c r="M910" s="67"/>
      <c r="N910" s="67"/>
      <c r="O910" s="67"/>
      <c r="P910" s="67"/>
      <c r="Q910" s="100"/>
    </row>
    <row r="911" spans="1:102" ht="12.75" hidden="1">
      <c r="A911" s="133" t="s">
        <v>183</v>
      </c>
      <c r="B911" s="164"/>
      <c r="C911" s="164"/>
      <c r="D911" s="251"/>
      <c r="E911" s="247"/>
      <c r="F911" s="247"/>
      <c r="G911" s="131"/>
      <c r="H911" s="247"/>
      <c r="I911" s="131"/>
      <c r="J911" s="174"/>
      <c r="K911" s="131"/>
      <c r="L911" s="131"/>
      <c r="M911" s="131"/>
      <c r="N911" s="131"/>
      <c r="O911" s="131"/>
      <c r="P911" s="131"/>
      <c r="Q911" s="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c r="BO911" s="13"/>
      <c r="BP911" s="13"/>
      <c r="BQ911" s="13"/>
      <c r="BR911" s="13"/>
      <c r="BS911" s="13"/>
      <c r="BT911" s="13"/>
      <c r="BU911" s="13"/>
      <c r="BV911" s="13"/>
      <c r="BW911" s="13"/>
      <c r="BX911" s="13"/>
      <c r="BY911" s="13"/>
      <c r="BZ911" s="13"/>
      <c r="CA911" s="13"/>
      <c r="CB911" s="13"/>
      <c r="CC911" s="13"/>
      <c r="CD911" s="13"/>
      <c r="CE911" s="13"/>
      <c r="CF911" s="13"/>
      <c r="CG911" s="13"/>
      <c r="CH911" s="13"/>
      <c r="CI911" s="13"/>
      <c r="CJ911" s="13"/>
      <c r="CK911" s="13"/>
      <c r="CL911" s="13"/>
      <c r="CM911" s="13"/>
      <c r="CN911" s="13"/>
      <c r="CO911" s="13"/>
      <c r="CP911" s="13"/>
      <c r="CQ911" s="13"/>
      <c r="CR911" s="13"/>
      <c r="CS911" s="13"/>
      <c r="CT911" s="13"/>
      <c r="CU911" s="13"/>
      <c r="CV911" s="13"/>
      <c r="CW911" s="13"/>
      <c r="CX911" s="13"/>
    </row>
    <row r="912" spans="1:102" ht="18.75" customHeight="1" hidden="1">
      <c r="A912" s="134" t="s">
        <v>283</v>
      </c>
      <c r="B912" s="164"/>
      <c r="C912" s="164"/>
      <c r="D912" s="207"/>
      <c r="E912" s="206">
        <f>E914*E916</f>
        <v>-7654092</v>
      </c>
      <c r="F912" s="206">
        <f>F914*F916</f>
        <v>-7654092</v>
      </c>
      <c r="G912" s="244"/>
      <c r="H912" s="206">
        <f>H914*H916</f>
        <v>-7654092</v>
      </c>
      <c r="I912" s="244"/>
      <c r="J912" s="304">
        <f>H912</f>
        <v>-7654092</v>
      </c>
      <c r="K912" s="244"/>
      <c r="L912" s="244"/>
      <c r="M912" s="244"/>
      <c r="N912" s="244"/>
      <c r="O912" s="244"/>
      <c r="P912" s="244"/>
      <c r="Q912" s="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c r="BJ912" s="13"/>
      <c r="BK912" s="13"/>
      <c r="BL912" s="13"/>
      <c r="BM912" s="13"/>
      <c r="BN912" s="13"/>
      <c r="BO912" s="13"/>
      <c r="BP912" s="13"/>
      <c r="BQ912" s="13"/>
      <c r="BR912" s="13"/>
      <c r="BS912" s="13"/>
      <c r="BT912" s="13"/>
      <c r="BU912" s="13"/>
      <c r="BV912" s="13"/>
      <c r="BW912" s="13"/>
      <c r="BX912" s="13"/>
      <c r="BY912" s="13"/>
      <c r="BZ912" s="13"/>
      <c r="CA912" s="13"/>
      <c r="CB912" s="13"/>
      <c r="CC912" s="13"/>
      <c r="CD912" s="13"/>
      <c r="CE912" s="13"/>
      <c r="CF912" s="13"/>
      <c r="CG912" s="13"/>
      <c r="CH912" s="13"/>
      <c r="CI912" s="13"/>
      <c r="CJ912" s="13"/>
      <c r="CK912" s="13"/>
      <c r="CL912" s="13"/>
      <c r="CM912" s="13"/>
      <c r="CN912" s="13"/>
      <c r="CO912" s="13"/>
      <c r="CP912" s="13"/>
      <c r="CQ912" s="13"/>
      <c r="CR912" s="13"/>
      <c r="CS912" s="13"/>
      <c r="CT912" s="13"/>
      <c r="CU912" s="13"/>
      <c r="CV912" s="13"/>
      <c r="CW912" s="13"/>
      <c r="CX912" s="13"/>
    </row>
    <row r="913" spans="1:102" ht="12.75" hidden="1">
      <c r="A913" s="133" t="s">
        <v>184</v>
      </c>
      <c r="B913" s="164"/>
      <c r="C913" s="164"/>
      <c r="D913" s="207"/>
      <c r="E913" s="206"/>
      <c r="F913" s="206"/>
      <c r="G913" s="244"/>
      <c r="H913" s="206"/>
      <c r="I913" s="244"/>
      <c r="J913" s="304"/>
      <c r="K913" s="244"/>
      <c r="L913" s="244"/>
      <c r="M913" s="244"/>
      <c r="N913" s="244"/>
      <c r="O913" s="244"/>
      <c r="P913" s="244"/>
      <c r="Q913" s="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c r="BJ913" s="13"/>
      <c r="BK913" s="13"/>
      <c r="BL913" s="13"/>
      <c r="BM913" s="13"/>
      <c r="BN913" s="13"/>
      <c r="BO913" s="13"/>
      <c r="BP913" s="13"/>
      <c r="BQ913" s="13"/>
      <c r="BR913" s="13"/>
      <c r="BS913" s="13"/>
      <c r="BT913" s="13"/>
      <c r="BU913" s="13"/>
      <c r="BV913" s="13"/>
      <c r="BW913" s="13"/>
      <c r="BX913" s="13"/>
      <c r="BY913" s="13"/>
      <c r="BZ913" s="13"/>
      <c r="CA913" s="13"/>
      <c r="CB913" s="13"/>
      <c r="CC913" s="13"/>
      <c r="CD913" s="13"/>
      <c r="CE913" s="13"/>
      <c r="CF913" s="13"/>
      <c r="CG913" s="13"/>
      <c r="CH913" s="13"/>
      <c r="CI913" s="13"/>
      <c r="CJ913" s="13"/>
      <c r="CK913" s="13"/>
      <c r="CL913" s="13"/>
      <c r="CM913" s="13"/>
      <c r="CN913" s="13"/>
      <c r="CO913" s="13"/>
      <c r="CP913" s="13"/>
      <c r="CQ913" s="13"/>
      <c r="CR913" s="13"/>
      <c r="CS913" s="13"/>
      <c r="CT913" s="13"/>
      <c r="CU913" s="13"/>
      <c r="CV913" s="13"/>
      <c r="CW913" s="13"/>
      <c r="CX913" s="13"/>
    </row>
    <row r="914" spans="1:102" ht="16.5" customHeight="1" hidden="1">
      <c r="A914" s="134" t="s">
        <v>282</v>
      </c>
      <c r="B914" s="164"/>
      <c r="C914" s="164"/>
      <c r="D914" s="207"/>
      <c r="E914" s="254">
        <v>1</v>
      </c>
      <c r="F914" s="254">
        <f>D914+E914</f>
        <v>1</v>
      </c>
      <c r="G914" s="244"/>
      <c r="H914" s="254">
        <v>1</v>
      </c>
      <c r="I914" s="244"/>
      <c r="J914" s="304">
        <f>H914</f>
        <v>1</v>
      </c>
      <c r="K914" s="244"/>
      <c r="L914" s="244"/>
      <c r="M914" s="244"/>
      <c r="N914" s="244"/>
      <c r="O914" s="255"/>
      <c r="P914" s="255"/>
      <c r="Q914" s="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c r="CA914" s="13"/>
      <c r="CB914" s="13"/>
      <c r="CC914" s="13"/>
      <c r="CD914" s="13"/>
      <c r="CE914" s="13"/>
      <c r="CF914" s="13"/>
      <c r="CG914" s="13"/>
      <c r="CH914" s="13"/>
      <c r="CI914" s="13"/>
      <c r="CJ914" s="13"/>
      <c r="CK914" s="13"/>
      <c r="CL914" s="13"/>
      <c r="CM914" s="13"/>
      <c r="CN914" s="13"/>
      <c r="CO914" s="13"/>
      <c r="CP914" s="13"/>
      <c r="CQ914" s="13"/>
      <c r="CR914" s="13"/>
      <c r="CS914" s="13"/>
      <c r="CT914" s="13"/>
      <c r="CU914" s="13"/>
      <c r="CV914" s="13"/>
      <c r="CW914" s="13"/>
      <c r="CX914" s="13"/>
    </row>
    <row r="915" spans="1:102" ht="13.5" hidden="1">
      <c r="A915" s="132" t="s">
        <v>186</v>
      </c>
      <c r="B915" s="164"/>
      <c r="C915" s="164"/>
      <c r="D915" s="207"/>
      <c r="E915" s="206"/>
      <c r="F915" s="206"/>
      <c r="G915" s="244"/>
      <c r="H915" s="206"/>
      <c r="I915" s="244"/>
      <c r="J915" s="304"/>
      <c r="K915" s="244"/>
      <c r="L915" s="244"/>
      <c r="M915" s="244"/>
      <c r="N915" s="244"/>
      <c r="O915" s="255"/>
      <c r="P915" s="255"/>
      <c r="Q915" s="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c r="BE915" s="13"/>
      <c r="BF915" s="13"/>
      <c r="BG915" s="13"/>
      <c r="BH915" s="13"/>
      <c r="BI915" s="13"/>
      <c r="BJ915" s="13"/>
      <c r="BK915" s="13"/>
      <c r="BL915" s="13"/>
      <c r="BM915" s="13"/>
      <c r="BN915" s="13"/>
      <c r="BO915" s="13"/>
      <c r="BP915" s="13"/>
      <c r="BQ915" s="13"/>
      <c r="BR915" s="13"/>
      <c r="BS915" s="13"/>
      <c r="BT915" s="13"/>
      <c r="BU915" s="13"/>
      <c r="BV915" s="13"/>
      <c r="BW915" s="13"/>
      <c r="BX915" s="13"/>
      <c r="BY915" s="13"/>
      <c r="BZ915" s="13"/>
      <c r="CA915" s="13"/>
      <c r="CB915" s="13"/>
      <c r="CC915" s="13"/>
      <c r="CD915" s="13"/>
      <c r="CE915" s="13"/>
      <c r="CF915" s="13"/>
      <c r="CG915" s="13"/>
      <c r="CH915" s="13"/>
      <c r="CI915" s="13"/>
      <c r="CJ915" s="13"/>
      <c r="CK915" s="13"/>
      <c r="CL915" s="13"/>
      <c r="CM915" s="13"/>
      <c r="CN915" s="13"/>
      <c r="CO915" s="13"/>
      <c r="CP915" s="13"/>
      <c r="CQ915" s="13"/>
      <c r="CR915" s="13"/>
      <c r="CS915" s="13"/>
      <c r="CT915" s="13"/>
      <c r="CU915" s="13"/>
      <c r="CV915" s="13"/>
      <c r="CW915" s="13"/>
      <c r="CX915" s="13"/>
    </row>
    <row r="916" spans="1:102" ht="19.5" customHeight="1" hidden="1">
      <c r="A916" s="154" t="s">
        <v>324</v>
      </c>
      <c r="B916" s="164"/>
      <c r="C916" s="164"/>
      <c r="D916" s="207"/>
      <c r="E916" s="206">
        <f>-2054092-5700000+100000</f>
        <v>-7654092</v>
      </c>
      <c r="F916" s="206">
        <f>E916</f>
        <v>-7654092</v>
      </c>
      <c r="G916" s="244"/>
      <c r="H916" s="206">
        <f>-2054092-5700000+100000</f>
        <v>-7654092</v>
      </c>
      <c r="I916" s="244"/>
      <c r="J916" s="304">
        <f>H916</f>
        <v>-7654092</v>
      </c>
      <c r="K916" s="244"/>
      <c r="L916" s="244"/>
      <c r="M916" s="244"/>
      <c r="N916" s="244"/>
      <c r="O916" s="255"/>
      <c r="P916" s="255"/>
      <c r="Q916" s="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3"/>
      <c r="BW916" s="13"/>
      <c r="BX916" s="13"/>
      <c r="BY916" s="13"/>
      <c r="BZ916" s="13"/>
      <c r="CA916" s="13"/>
      <c r="CB916" s="13"/>
      <c r="CC916" s="13"/>
      <c r="CD916" s="13"/>
      <c r="CE916" s="13"/>
      <c r="CF916" s="13"/>
      <c r="CG916" s="13"/>
      <c r="CH916" s="13"/>
      <c r="CI916" s="13"/>
      <c r="CJ916" s="13"/>
      <c r="CK916" s="13"/>
      <c r="CL916" s="13"/>
      <c r="CM916" s="13"/>
      <c r="CN916" s="13"/>
      <c r="CO916" s="13"/>
      <c r="CP916" s="13"/>
      <c r="CQ916" s="13"/>
      <c r="CR916" s="13"/>
      <c r="CS916" s="13"/>
      <c r="CT916" s="13"/>
      <c r="CU916" s="13"/>
      <c r="CV916" s="13"/>
      <c r="CW916" s="13"/>
      <c r="CX916" s="13"/>
    </row>
    <row r="917" spans="1:17" s="76" customFormat="1" ht="12.75" hidden="1">
      <c r="A917" s="73" t="s">
        <v>315</v>
      </c>
      <c r="B917" s="97"/>
      <c r="C917" s="97"/>
      <c r="D917" s="85"/>
      <c r="E917" s="86">
        <f>E919</f>
        <v>-525000</v>
      </c>
      <c r="F917" s="86">
        <f>E917</f>
        <v>-525000</v>
      </c>
      <c r="G917" s="109"/>
      <c r="H917" s="109">
        <f>H919</f>
        <v>-480000</v>
      </c>
      <c r="I917" s="109"/>
      <c r="J917" s="109">
        <f>H917</f>
        <v>-480000</v>
      </c>
      <c r="K917" s="110"/>
      <c r="L917" s="110"/>
      <c r="M917" s="110"/>
      <c r="N917" s="110"/>
      <c r="O917" s="111"/>
      <c r="P917" s="111"/>
      <c r="Q917" s="99"/>
    </row>
    <row r="918" spans="1:102" ht="12.75" hidden="1">
      <c r="A918" s="134" t="s">
        <v>281</v>
      </c>
      <c r="B918" s="164"/>
      <c r="C918" s="164"/>
      <c r="D918" s="207"/>
      <c r="E918" s="206"/>
      <c r="F918" s="206"/>
      <c r="G918" s="131"/>
      <c r="H918" s="131"/>
      <c r="I918" s="131"/>
      <c r="J918" s="131"/>
      <c r="K918" s="244"/>
      <c r="L918" s="244"/>
      <c r="M918" s="244"/>
      <c r="N918" s="244"/>
      <c r="O918" s="255"/>
      <c r="P918" s="255"/>
      <c r="Q918" s="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c r="CA918" s="13"/>
      <c r="CB918" s="13"/>
      <c r="CC918" s="13"/>
      <c r="CD918" s="13"/>
      <c r="CE918" s="13"/>
      <c r="CF918" s="13"/>
      <c r="CG918" s="13"/>
      <c r="CH918" s="13"/>
      <c r="CI918" s="13"/>
      <c r="CJ918" s="13"/>
      <c r="CK918" s="13"/>
      <c r="CL918" s="13"/>
      <c r="CM918" s="13"/>
      <c r="CN918" s="13"/>
      <c r="CO918" s="13"/>
      <c r="CP918" s="13"/>
      <c r="CQ918" s="13"/>
      <c r="CR918" s="13"/>
      <c r="CS918" s="13"/>
      <c r="CT918" s="13"/>
      <c r="CU918" s="13"/>
      <c r="CV918" s="13"/>
      <c r="CW918" s="13"/>
      <c r="CX918" s="13"/>
    </row>
    <row r="919" spans="1:17" s="66" customFormat="1" ht="25.5" customHeight="1" hidden="1">
      <c r="A919" s="68" t="s">
        <v>94</v>
      </c>
      <c r="B919" s="64"/>
      <c r="C919" s="64"/>
      <c r="D919" s="88"/>
      <c r="E919" s="89">
        <f>E921</f>
        <v>-525000</v>
      </c>
      <c r="F919" s="89">
        <f>E919</f>
        <v>-525000</v>
      </c>
      <c r="G919" s="67"/>
      <c r="H919" s="89">
        <f>H921</f>
        <v>-480000</v>
      </c>
      <c r="I919" s="89">
        <f>H919</f>
        <v>-480000</v>
      </c>
      <c r="J919" s="67">
        <f>H919</f>
        <v>-480000</v>
      </c>
      <c r="K919" s="104"/>
      <c r="L919" s="104"/>
      <c r="M919" s="104"/>
      <c r="N919" s="104"/>
      <c r="O919" s="112"/>
      <c r="P919" s="112"/>
      <c r="Q919" s="108"/>
    </row>
    <row r="920" spans="1:102" ht="12.75" hidden="1">
      <c r="A920" s="133" t="s">
        <v>183</v>
      </c>
      <c r="B920" s="164"/>
      <c r="C920" s="164"/>
      <c r="D920" s="207"/>
      <c r="E920" s="206"/>
      <c r="F920" s="206"/>
      <c r="G920" s="131"/>
      <c r="H920" s="206"/>
      <c r="I920" s="206"/>
      <c r="J920" s="209"/>
      <c r="K920" s="244"/>
      <c r="L920" s="244"/>
      <c r="M920" s="244"/>
      <c r="N920" s="244"/>
      <c r="O920" s="255"/>
      <c r="P920" s="255"/>
      <c r="Q920" s="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c r="BD920" s="13"/>
      <c r="BE920" s="13"/>
      <c r="BF920" s="13"/>
      <c r="BG920" s="13"/>
      <c r="BH920" s="13"/>
      <c r="BI920" s="13"/>
      <c r="BJ920" s="13"/>
      <c r="BK920" s="13"/>
      <c r="BL920" s="13"/>
      <c r="BM920" s="13"/>
      <c r="BN920" s="13"/>
      <c r="BO920" s="13"/>
      <c r="BP920" s="13"/>
      <c r="BQ920" s="13"/>
      <c r="BR920" s="13"/>
      <c r="BS920" s="13"/>
      <c r="BT920" s="13"/>
      <c r="BU920" s="13"/>
      <c r="BV920" s="13"/>
      <c r="BW920" s="13"/>
      <c r="BX920" s="13"/>
      <c r="BY920" s="13"/>
      <c r="BZ920" s="13"/>
      <c r="CA920" s="13"/>
      <c r="CB920" s="13"/>
      <c r="CC920" s="13"/>
      <c r="CD920" s="13"/>
      <c r="CE920" s="13"/>
      <c r="CF920" s="13"/>
      <c r="CG920" s="13"/>
      <c r="CH920" s="13"/>
      <c r="CI920" s="13"/>
      <c r="CJ920" s="13"/>
      <c r="CK920" s="13"/>
      <c r="CL920" s="13"/>
      <c r="CM920" s="13"/>
      <c r="CN920" s="13"/>
      <c r="CO920" s="13"/>
      <c r="CP920" s="13"/>
      <c r="CQ920" s="13"/>
      <c r="CR920" s="13"/>
      <c r="CS920" s="13"/>
      <c r="CT920" s="13"/>
      <c r="CU920" s="13"/>
      <c r="CV920" s="13"/>
      <c r="CW920" s="13"/>
      <c r="CX920" s="13"/>
    </row>
    <row r="921" spans="1:102" ht="12.75" hidden="1">
      <c r="A921" s="134" t="s">
        <v>283</v>
      </c>
      <c r="B921" s="164"/>
      <c r="C921" s="164"/>
      <c r="D921" s="207"/>
      <c r="E921" s="91">
        <f>-740000+215000</f>
        <v>-525000</v>
      </c>
      <c r="F921" s="91">
        <f>E921</f>
        <v>-525000</v>
      </c>
      <c r="G921" s="244"/>
      <c r="H921" s="91">
        <f>-740000+215000+45000</f>
        <v>-480000</v>
      </c>
      <c r="I921" s="91">
        <f>H921</f>
        <v>-480000</v>
      </c>
      <c r="J921" s="174">
        <f>H921</f>
        <v>-480000</v>
      </c>
      <c r="K921" s="244"/>
      <c r="L921" s="244"/>
      <c r="M921" s="244"/>
      <c r="N921" s="244"/>
      <c r="O921" s="255"/>
      <c r="P921" s="255"/>
      <c r="Q921" s="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c r="BD921" s="13"/>
      <c r="BE921" s="13"/>
      <c r="BF921" s="13"/>
      <c r="BG921" s="13"/>
      <c r="BH921" s="13"/>
      <c r="BI921" s="13"/>
      <c r="BJ921" s="13"/>
      <c r="BK921" s="13"/>
      <c r="BL921" s="13"/>
      <c r="BM921" s="13"/>
      <c r="BN921" s="13"/>
      <c r="BO921" s="13"/>
      <c r="BP921" s="13"/>
      <c r="BQ921" s="13"/>
      <c r="BR921" s="13"/>
      <c r="BS921" s="13"/>
      <c r="BT921" s="13"/>
      <c r="BU921" s="13"/>
      <c r="BV921" s="13"/>
      <c r="BW921" s="13"/>
      <c r="BX921" s="13"/>
      <c r="BY921" s="13"/>
      <c r="BZ921" s="13"/>
      <c r="CA921" s="13"/>
      <c r="CB921" s="13"/>
      <c r="CC921" s="13"/>
      <c r="CD921" s="13"/>
      <c r="CE921" s="13"/>
      <c r="CF921" s="13"/>
      <c r="CG921" s="13"/>
      <c r="CH921" s="13"/>
      <c r="CI921" s="13"/>
      <c r="CJ921" s="13"/>
      <c r="CK921" s="13"/>
      <c r="CL921" s="13"/>
      <c r="CM921" s="13"/>
      <c r="CN921" s="13"/>
      <c r="CO921" s="13"/>
      <c r="CP921" s="13"/>
      <c r="CQ921" s="13"/>
      <c r="CR921" s="13"/>
      <c r="CS921" s="13"/>
      <c r="CT921" s="13"/>
      <c r="CU921" s="13"/>
      <c r="CV921" s="13"/>
      <c r="CW921" s="13"/>
      <c r="CX921" s="13"/>
    </row>
    <row r="922" spans="1:102" ht="12.75" hidden="1">
      <c r="A922" s="133" t="s">
        <v>184</v>
      </c>
      <c r="B922" s="164"/>
      <c r="C922" s="164"/>
      <c r="D922" s="207"/>
      <c r="E922" s="91"/>
      <c r="F922" s="91"/>
      <c r="G922" s="244"/>
      <c r="H922" s="91"/>
      <c r="I922" s="91"/>
      <c r="J922" s="174"/>
      <c r="K922" s="244"/>
      <c r="L922" s="244"/>
      <c r="M922" s="244"/>
      <c r="N922" s="244"/>
      <c r="O922" s="255"/>
      <c r="P922" s="255"/>
      <c r="Q922" s="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c r="CA922" s="13"/>
      <c r="CB922" s="13"/>
      <c r="CC922" s="13"/>
      <c r="CD922" s="13"/>
      <c r="CE922" s="13"/>
      <c r="CF922" s="13"/>
      <c r="CG922" s="13"/>
      <c r="CH922" s="13"/>
      <c r="CI922" s="13"/>
      <c r="CJ922" s="13"/>
      <c r="CK922" s="13"/>
      <c r="CL922" s="13"/>
      <c r="CM922" s="13"/>
      <c r="CN922" s="13"/>
      <c r="CO922" s="13"/>
      <c r="CP922" s="13"/>
      <c r="CQ922" s="13"/>
      <c r="CR922" s="13"/>
      <c r="CS922" s="13"/>
      <c r="CT922" s="13"/>
      <c r="CU922" s="13"/>
      <c r="CV922" s="13"/>
      <c r="CW922" s="13"/>
      <c r="CX922" s="13"/>
    </row>
    <row r="923" spans="1:102" ht="12.75" hidden="1">
      <c r="A923" s="134" t="s">
        <v>282</v>
      </c>
      <c r="B923" s="164"/>
      <c r="C923" s="164"/>
      <c r="D923" s="207"/>
      <c r="E923" s="256">
        <v>1</v>
      </c>
      <c r="F923" s="219">
        <f>E923</f>
        <v>1</v>
      </c>
      <c r="G923" s="244"/>
      <c r="H923" s="256">
        <v>1</v>
      </c>
      <c r="I923" s="219">
        <f>H923</f>
        <v>1</v>
      </c>
      <c r="J923" s="308">
        <f>H923</f>
        <v>1</v>
      </c>
      <c r="K923" s="244"/>
      <c r="L923" s="244"/>
      <c r="M923" s="244"/>
      <c r="N923" s="244"/>
      <c r="O923" s="255"/>
      <c r="P923" s="255"/>
      <c r="Q923" s="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c r="BJ923" s="13"/>
      <c r="BK923" s="13"/>
      <c r="BL923" s="13"/>
      <c r="BM923" s="13"/>
      <c r="BN923" s="13"/>
      <c r="BO923" s="13"/>
      <c r="BP923" s="13"/>
      <c r="BQ923" s="13"/>
      <c r="BR923" s="13"/>
      <c r="BS923" s="13"/>
      <c r="BT923" s="13"/>
      <c r="BU923" s="13"/>
      <c r="BV923" s="13"/>
      <c r="BW923" s="13"/>
      <c r="BX923" s="13"/>
      <c r="BY923" s="13"/>
      <c r="BZ923" s="13"/>
      <c r="CA923" s="13"/>
      <c r="CB923" s="13"/>
      <c r="CC923" s="13"/>
      <c r="CD923" s="13"/>
      <c r="CE923" s="13"/>
      <c r="CF923" s="13"/>
      <c r="CG923" s="13"/>
      <c r="CH923" s="13"/>
      <c r="CI923" s="13"/>
      <c r="CJ923" s="13"/>
      <c r="CK923" s="13"/>
      <c r="CL923" s="13"/>
      <c r="CM923" s="13"/>
      <c r="CN923" s="13"/>
      <c r="CO923" s="13"/>
      <c r="CP923" s="13"/>
      <c r="CQ923" s="13"/>
      <c r="CR923" s="13"/>
      <c r="CS923" s="13"/>
      <c r="CT923" s="13"/>
      <c r="CU923" s="13"/>
      <c r="CV923" s="13"/>
      <c r="CW923" s="13"/>
      <c r="CX923" s="13"/>
    </row>
    <row r="924" spans="1:102" ht="13.5" hidden="1">
      <c r="A924" s="132" t="s">
        <v>186</v>
      </c>
      <c r="B924" s="164"/>
      <c r="C924" s="164"/>
      <c r="D924" s="207"/>
      <c r="E924" s="206"/>
      <c r="F924" s="206"/>
      <c r="G924" s="244"/>
      <c r="H924" s="206"/>
      <c r="I924" s="206"/>
      <c r="J924" s="174"/>
      <c r="K924" s="244"/>
      <c r="L924" s="244"/>
      <c r="M924" s="244"/>
      <c r="N924" s="244"/>
      <c r="O924" s="255"/>
      <c r="P924" s="255"/>
      <c r="Q924" s="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c r="BJ924" s="13"/>
      <c r="BK924" s="13"/>
      <c r="BL924" s="13"/>
      <c r="BM924" s="13"/>
      <c r="BN924" s="13"/>
      <c r="BO924" s="13"/>
      <c r="BP924" s="13"/>
      <c r="BQ924" s="13"/>
      <c r="BR924" s="13"/>
      <c r="BS924" s="13"/>
      <c r="BT924" s="13"/>
      <c r="BU924" s="13"/>
      <c r="BV924" s="13"/>
      <c r="BW924" s="13"/>
      <c r="BX924" s="13"/>
      <c r="BY924" s="13"/>
      <c r="BZ924" s="13"/>
      <c r="CA924" s="13"/>
      <c r="CB924" s="13"/>
      <c r="CC924" s="13"/>
      <c r="CD924" s="13"/>
      <c r="CE924" s="13"/>
      <c r="CF924" s="13"/>
      <c r="CG924" s="13"/>
      <c r="CH924" s="13"/>
      <c r="CI924" s="13"/>
      <c r="CJ924" s="13"/>
      <c r="CK924" s="13"/>
      <c r="CL924" s="13"/>
      <c r="CM924" s="13"/>
      <c r="CN924" s="13"/>
      <c r="CO924" s="13"/>
      <c r="CP924" s="13"/>
      <c r="CQ924" s="13"/>
      <c r="CR924" s="13"/>
      <c r="CS924" s="13"/>
      <c r="CT924" s="13"/>
      <c r="CU924" s="13"/>
      <c r="CV924" s="13"/>
      <c r="CW924" s="13"/>
      <c r="CX924" s="13"/>
    </row>
    <row r="925" spans="1:102" ht="12.75" hidden="1">
      <c r="A925" s="154" t="s">
        <v>334</v>
      </c>
      <c r="B925" s="164"/>
      <c r="C925" s="164"/>
      <c r="D925" s="207"/>
      <c r="E925" s="206">
        <f>-740000+215000</f>
        <v>-525000</v>
      </c>
      <c r="F925" s="206">
        <f>D925+E925</f>
        <v>-525000</v>
      </c>
      <c r="G925" s="244"/>
      <c r="H925" s="206">
        <f>-740000+215000+45000</f>
        <v>-480000</v>
      </c>
      <c r="I925" s="206">
        <f>G925+H925</f>
        <v>-480000</v>
      </c>
      <c r="J925" s="174">
        <f>H925</f>
        <v>-480000</v>
      </c>
      <c r="K925" s="244"/>
      <c r="L925" s="244"/>
      <c r="M925" s="244"/>
      <c r="N925" s="244"/>
      <c r="O925" s="255"/>
      <c r="P925" s="255"/>
      <c r="Q925" s="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c r="CA925" s="13"/>
      <c r="CB925" s="13"/>
      <c r="CC925" s="13"/>
      <c r="CD925" s="13"/>
      <c r="CE925" s="13"/>
      <c r="CF925" s="13"/>
      <c r="CG925" s="13"/>
      <c r="CH925" s="13"/>
      <c r="CI925" s="13"/>
      <c r="CJ925" s="13"/>
      <c r="CK925" s="13"/>
      <c r="CL925" s="13"/>
      <c r="CM925" s="13"/>
      <c r="CN925" s="13"/>
      <c r="CO925" s="13"/>
      <c r="CP925" s="13"/>
      <c r="CQ925" s="13"/>
      <c r="CR925" s="13"/>
      <c r="CS925" s="13"/>
      <c r="CT925" s="13"/>
      <c r="CU925" s="13"/>
      <c r="CV925" s="13"/>
      <c r="CW925" s="13"/>
      <c r="CX925" s="13"/>
    </row>
    <row r="926" spans="1:102" ht="12.75" hidden="1">
      <c r="A926" s="73" t="s">
        <v>114</v>
      </c>
      <c r="B926" s="97"/>
      <c r="C926" s="97"/>
      <c r="D926" s="85"/>
      <c r="E926" s="86">
        <f>E928+E935</f>
        <v>0</v>
      </c>
      <c r="F926" s="86">
        <f>E926</f>
        <v>0</v>
      </c>
      <c r="G926" s="109"/>
      <c r="H926" s="109"/>
      <c r="I926" s="109"/>
      <c r="J926" s="109"/>
      <c r="K926" s="110"/>
      <c r="L926" s="110"/>
      <c r="M926" s="110"/>
      <c r="N926" s="110"/>
      <c r="O926" s="111"/>
      <c r="P926" s="111"/>
      <c r="Q926" s="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row>
    <row r="927" spans="1:102" ht="12.75" hidden="1">
      <c r="A927" s="134" t="s">
        <v>117</v>
      </c>
      <c r="B927" s="164"/>
      <c r="C927" s="164"/>
      <c r="D927" s="207"/>
      <c r="E927" s="206"/>
      <c r="F927" s="206"/>
      <c r="G927" s="131"/>
      <c r="H927" s="131"/>
      <c r="I927" s="131"/>
      <c r="J927" s="131"/>
      <c r="K927" s="244"/>
      <c r="L927" s="244"/>
      <c r="M927" s="244"/>
      <c r="N927" s="244"/>
      <c r="O927" s="255"/>
      <c r="P927" s="255"/>
      <c r="Q927" s="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c r="CA927" s="13"/>
      <c r="CB927" s="13"/>
      <c r="CC927" s="13"/>
      <c r="CD927" s="13"/>
      <c r="CE927" s="13"/>
      <c r="CF927" s="13"/>
      <c r="CG927" s="13"/>
      <c r="CH927" s="13"/>
      <c r="CI927" s="13"/>
      <c r="CJ927" s="13"/>
      <c r="CK927" s="13"/>
      <c r="CL927" s="13"/>
      <c r="CM927" s="13"/>
      <c r="CN927" s="13"/>
      <c r="CO927" s="13"/>
      <c r="CP927" s="13"/>
      <c r="CQ927" s="13"/>
      <c r="CR927" s="13"/>
      <c r="CS927" s="13"/>
      <c r="CT927" s="13"/>
      <c r="CU927" s="13"/>
      <c r="CV927" s="13"/>
      <c r="CW927" s="13"/>
      <c r="CX927" s="13"/>
    </row>
    <row r="928" spans="1:17" s="126" customFormat="1" ht="38.25" hidden="1">
      <c r="A928" s="118" t="s">
        <v>118</v>
      </c>
      <c r="B928" s="119"/>
      <c r="C928" s="119"/>
      <c r="D928" s="120"/>
      <c r="E928" s="121">
        <f>E930</f>
        <v>0</v>
      </c>
      <c r="F928" s="121">
        <f>E928</f>
        <v>0</v>
      </c>
      <c r="G928" s="122"/>
      <c r="H928" s="122"/>
      <c r="I928" s="122"/>
      <c r="J928" s="122"/>
      <c r="K928" s="123"/>
      <c r="L928" s="123"/>
      <c r="M928" s="123"/>
      <c r="N928" s="123"/>
      <c r="O928" s="124"/>
      <c r="P928" s="124"/>
      <c r="Q928" s="125"/>
    </row>
    <row r="929" spans="1:17" s="126" customFormat="1" ht="12.75" hidden="1">
      <c r="A929" s="118" t="s">
        <v>183</v>
      </c>
      <c r="B929" s="119"/>
      <c r="C929" s="119"/>
      <c r="D929" s="257"/>
      <c r="E929" s="257"/>
      <c r="F929" s="257"/>
      <c r="G929" s="123"/>
      <c r="H929" s="123"/>
      <c r="I929" s="123"/>
      <c r="J929" s="123"/>
      <c r="K929" s="258"/>
      <c r="L929" s="258"/>
      <c r="M929" s="258"/>
      <c r="N929" s="258"/>
      <c r="O929" s="259"/>
      <c r="P929" s="259"/>
      <c r="Q929" s="125"/>
    </row>
    <row r="930" spans="1:17" s="126" customFormat="1" ht="12.75" hidden="1">
      <c r="A930" s="155" t="s">
        <v>204</v>
      </c>
      <c r="B930" s="119"/>
      <c r="C930" s="119"/>
      <c r="D930" s="257"/>
      <c r="E930" s="120">
        <f>E932*E934</f>
        <v>0</v>
      </c>
      <c r="F930" s="120">
        <f>E930</f>
        <v>0</v>
      </c>
      <c r="G930" s="258"/>
      <c r="H930" s="258"/>
      <c r="I930" s="258"/>
      <c r="J930" s="258"/>
      <c r="K930" s="258"/>
      <c r="L930" s="258"/>
      <c r="M930" s="258"/>
      <c r="N930" s="258"/>
      <c r="O930" s="259"/>
      <c r="P930" s="259"/>
      <c r="Q930" s="125"/>
    </row>
    <row r="931" spans="1:17" s="126" customFormat="1" ht="12.75" hidden="1">
      <c r="A931" s="118" t="s">
        <v>184</v>
      </c>
      <c r="B931" s="119"/>
      <c r="C931" s="119"/>
      <c r="D931" s="257"/>
      <c r="E931" s="120"/>
      <c r="F931" s="120"/>
      <c r="G931" s="258"/>
      <c r="H931" s="258"/>
      <c r="I931" s="258"/>
      <c r="J931" s="258"/>
      <c r="K931" s="258"/>
      <c r="L931" s="258"/>
      <c r="M931" s="258"/>
      <c r="N931" s="258"/>
      <c r="O931" s="259"/>
      <c r="P931" s="259"/>
      <c r="Q931" s="125"/>
    </row>
    <row r="932" spans="1:17" s="126" customFormat="1" ht="12.75" hidden="1">
      <c r="A932" s="155" t="s">
        <v>115</v>
      </c>
      <c r="B932" s="119"/>
      <c r="C932" s="119"/>
      <c r="D932" s="257"/>
      <c r="E932" s="260"/>
      <c r="F932" s="261">
        <f>E932</f>
        <v>0</v>
      </c>
      <c r="G932" s="258"/>
      <c r="H932" s="259"/>
      <c r="I932" s="258"/>
      <c r="J932" s="259"/>
      <c r="K932" s="258"/>
      <c r="L932" s="258"/>
      <c r="M932" s="258"/>
      <c r="N932" s="258"/>
      <c r="O932" s="259"/>
      <c r="P932" s="259"/>
      <c r="Q932" s="125"/>
    </row>
    <row r="933" spans="1:17" s="126" customFormat="1" ht="13.5" hidden="1">
      <c r="A933" s="156" t="s">
        <v>186</v>
      </c>
      <c r="B933" s="119"/>
      <c r="C933" s="119"/>
      <c r="D933" s="257"/>
      <c r="E933" s="257"/>
      <c r="F933" s="257"/>
      <c r="G933" s="258"/>
      <c r="H933" s="259"/>
      <c r="I933" s="258"/>
      <c r="J933" s="259"/>
      <c r="K933" s="258"/>
      <c r="L933" s="258"/>
      <c r="M933" s="258"/>
      <c r="N933" s="258"/>
      <c r="O933" s="259"/>
      <c r="P933" s="259"/>
      <c r="Q933" s="125"/>
    </row>
    <row r="934" spans="1:17" s="126" customFormat="1" ht="12.75" hidden="1">
      <c r="A934" s="157" t="s">
        <v>116</v>
      </c>
      <c r="B934" s="119"/>
      <c r="C934" s="119"/>
      <c r="D934" s="257"/>
      <c r="E934" s="257"/>
      <c r="F934" s="257">
        <f>D934+E934</f>
        <v>0</v>
      </c>
      <c r="G934" s="258"/>
      <c r="H934" s="258"/>
      <c r="I934" s="258"/>
      <c r="J934" s="258"/>
      <c r="K934" s="258"/>
      <c r="L934" s="258"/>
      <c r="M934" s="258"/>
      <c r="N934" s="258"/>
      <c r="O934" s="259"/>
      <c r="P934" s="259"/>
      <c r="Q934" s="125"/>
    </row>
    <row r="935" spans="1:17" s="126" customFormat="1" ht="12.75" hidden="1">
      <c r="A935" s="118" t="s">
        <v>119</v>
      </c>
      <c r="B935" s="119"/>
      <c r="C935" s="119"/>
      <c r="D935" s="120"/>
      <c r="E935" s="121">
        <f>E937</f>
        <v>0</v>
      </c>
      <c r="F935" s="121">
        <f>E935</f>
        <v>0</v>
      </c>
      <c r="G935" s="122"/>
      <c r="H935" s="122"/>
      <c r="I935" s="122"/>
      <c r="J935" s="122"/>
      <c r="K935" s="123"/>
      <c r="L935" s="123"/>
      <c r="M935" s="123"/>
      <c r="N935" s="123"/>
      <c r="O935" s="124"/>
      <c r="P935" s="124"/>
      <c r="Q935" s="125"/>
    </row>
    <row r="936" spans="1:17" s="126" customFormat="1" ht="12.75" hidden="1">
      <c r="A936" s="118" t="s">
        <v>183</v>
      </c>
      <c r="B936" s="119"/>
      <c r="C936" s="119"/>
      <c r="D936" s="257"/>
      <c r="E936" s="257"/>
      <c r="F936" s="257"/>
      <c r="G936" s="123"/>
      <c r="H936" s="123"/>
      <c r="I936" s="123"/>
      <c r="J936" s="123"/>
      <c r="K936" s="258"/>
      <c r="L936" s="258"/>
      <c r="M936" s="258"/>
      <c r="N936" s="258"/>
      <c r="O936" s="259"/>
      <c r="P936" s="259"/>
      <c r="Q936" s="125"/>
    </row>
    <row r="937" spans="1:17" s="126" customFormat="1" ht="12.75" hidden="1">
      <c r="A937" s="155" t="s">
        <v>204</v>
      </c>
      <c r="B937" s="119"/>
      <c r="C937" s="119"/>
      <c r="D937" s="257"/>
      <c r="E937" s="120">
        <f>E939*E941</f>
        <v>0</v>
      </c>
      <c r="F937" s="120">
        <f>E937</f>
        <v>0</v>
      </c>
      <c r="G937" s="258"/>
      <c r="H937" s="258"/>
      <c r="I937" s="258"/>
      <c r="J937" s="258"/>
      <c r="K937" s="258"/>
      <c r="L937" s="258"/>
      <c r="M937" s="258"/>
      <c r="N937" s="258"/>
      <c r="O937" s="259"/>
      <c r="P937" s="259"/>
      <c r="Q937" s="125"/>
    </row>
    <row r="938" spans="1:17" s="126" customFormat="1" ht="12.75" hidden="1">
      <c r="A938" s="118" t="s">
        <v>184</v>
      </c>
      <c r="B938" s="119"/>
      <c r="C938" s="119"/>
      <c r="D938" s="257"/>
      <c r="E938" s="120"/>
      <c r="F938" s="120"/>
      <c r="G938" s="258"/>
      <c r="H938" s="258"/>
      <c r="I938" s="258"/>
      <c r="J938" s="258"/>
      <c r="K938" s="258"/>
      <c r="L938" s="258"/>
      <c r="M938" s="258"/>
      <c r="N938" s="258"/>
      <c r="O938" s="259"/>
      <c r="P938" s="259"/>
      <c r="Q938" s="125"/>
    </row>
    <row r="939" spans="1:17" s="126" customFormat="1" ht="12.75" hidden="1">
      <c r="A939" s="155" t="s">
        <v>115</v>
      </c>
      <c r="B939" s="119"/>
      <c r="C939" s="119"/>
      <c r="D939" s="257"/>
      <c r="E939" s="260"/>
      <c r="F939" s="261">
        <f>E939</f>
        <v>0</v>
      </c>
      <c r="G939" s="258"/>
      <c r="H939" s="259"/>
      <c r="I939" s="258"/>
      <c r="J939" s="259"/>
      <c r="K939" s="258"/>
      <c r="L939" s="258"/>
      <c r="M939" s="258"/>
      <c r="N939" s="258"/>
      <c r="O939" s="259"/>
      <c r="P939" s="259"/>
      <c r="Q939" s="125"/>
    </row>
    <row r="940" spans="1:17" s="126" customFormat="1" ht="13.5" hidden="1">
      <c r="A940" s="156" t="s">
        <v>186</v>
      </c>
      <c r="B940" s="119"/>
      <c r="C940" s="119"/>
      <c r="D940" s="257"/>
      <c r="E940" s="257"/>
      <c r="F940" s="257"/>
      <c r="G940" s="258"/>
      <c r="H940" s="259"/>
      <c r="I940" s="258"/>
      <c r="J940" s="259"/>
      <c r="K940" s="258"/>
      <c r="L940" s="258"/>
      <c r="M940" s="258"/>
      <c r="N940" s="258"/>
      <c r="O940" s="259"/>
      <c r="P940" s="259"/>
      <c r="Q940" s="125"/>
    </row>
    <row r="941" spans="1:17" s="126" customFormat="1" ht="12.75" hidden="1">
      <c r="A941" s="157" t="s">
        <v>116</v>
      </c>
      <c r="B941" s="119"/>
      <c r="C941" s="119"/>
      <c r="D941" s="257"/>
      <c r="E941" s="257"/>
      <c r="F941" s="257">
        <f>D941+E941</f>
        <v>0</v>
      </c>
      <c r="G941" s="258"/>
      <c r="H941" s="258"/>
      <c r="I941" s="258"/>
      <c r="J941" s="258"/>
      <c r="K941" s="258"/>
      <c r="L941" s="258"/>
      <c r="M941" s="258"/>
      <c r="N941" s="258"/>
      <c r="O941" s="259"/>
      <c r="P941" s="259"/>
      <c r="Q941" s="125"/>
    </row>
    <row r="942" spans="1:102" ht="12.75" hidden="1">
      <c r="A942" s="73" t="s">
        <v>178</v>
      </c>
      <c r="B942" s="97"/>
      <c r="C942" s="97"/>
      <c r="D942" s="85">
        <f>D943</f>
        <v>500000</v>
      </c>
      <c r="E942" s="86"/>
      <c r="F942" s="86">
        <f>D942+E942</f>
        <v>500000</v>
      </c>
      <c r="G942" s="109"/>
      <c r="H942" s="109"/>
      <c r="I942" s="109"/>
      <c r="J942" s="109"/>
      <c r="K942" s="110"/>
      <c r="L942" s="110"/>
      <c r="M942" s="110"/>
      <c r="N942" s="110"/>
      <c r="O942" s="111"/>
      <c r="P942" s="111"/>
      <c r="Q942" s="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c r="CA942" s="13"/>
      <c r="CB942" s="13"/>
      <c r="CC942" s="13"/>
      <c r="CD942" s="13"/>
      <c r="CE942" s="13"/>
      <c r="CF942" s="13"/>
      <c r="CG942" s="13"/>
      <c r="CH942" s="13"/>
      <c r="CI942" s="13"/>
      <c r="CJ942" s="13"/>
      <c r="CK942" s="13"/>
      <c r="CL942" s="13"/>
      <c r="CM942" s="13"/>
      <c r="CN942" s="13"/>
      <c r="CO942" s="13"/>
      <c r="CP942" s="13"/>
      <c r="CQ942" s="13"/>
      <c r="CR942" s="13"/>
      <c r="CS942" s="13"/>
      <c r="CT942" s="13"/>
      <c r="CU942" s="13"/>
      <c r="CV942" s="13"/>
      <c r="CW942" s="13"/>
      <c r="CX942" s="13"/>
    </row>
    <row r="943" spans="1:102" ht="25.5" hidden="1">
      <c r="A943" s="68" t="s">
        <v>509</v>
      </c>
      <c r="B943" s="262"/>
      <c r="C943" s="262"/>
      <c r="D943" s="263">
        <f>D944</f>
        <v>500000</v>
      </c>
      <c r="E943" s="263"/>
      <c r="F943" s="89">
        <f aca="true" t="shared" si="67" ref="F943:F949">D943+E943</f>
        <v>500000</v>
      </c>
      <c r="G943" s="264"/>
      <c r="H943" s="264"/>
      <c r="I943" s="264"/>
      <c r="J943" s="264"/>
      <c r="K943" s="264"/>
      <c r="L943" s="264"/>
      <c r="M943" s="264"/>
      <c r="N943" s="264"/>
      <c r="O943" s="265"/>
      <c r="P943" s="265"/>
      <c r="Q943" s="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c r="BH943" s="13"/>
      <c r="BI943" s="13"/>
      <c r="BJ943" s="13"/>
      <c r="BK943" s="13"/>
      <c r="BL943" s="13"/>
      <c r="BM943" s="13"/>
      <c r="BN943" s="13"/>
      <c r="BO943" s="13"/>
      <c r="BP943" s="13"/>
      <c r="BQ943" s="13"/>
      <c r="BR943" s="13"/>
      <c r="BS943" s="13"/>
      <c r="BT943" s="13"/>
      <c r="BU943" s="13"/>
      <c r="BV943" s="13"/>
      <c r="BW943" s="13"/>
      <c r="BX943" s="13"/>
      <c r="BY943" s="13"/>
      <c r="BZ943" s="13"/>
      <c r="CA943" s="13"/>
      <c r="CB943" s="13"/>
      <c r="CC943" s="13"/>
      <c r="CD943" s="13"/>
      <c r="CE943" s="13"/>
      <c r="CF943" s="13"/>
      <c r="CG943" s="13"/>
      <c r="CH943" s="13"/>
      <c r="CI943" s="13"/>
      <c r="CJ943" s="13"/>
      <c r="CK943" s="13"/>
      <c r="CL943" s="13"/>
      <c r="CM943" s="13"/>
      <c r="CN943" s="13"/>
      <c r="CO943" s="13"/>
      <c r="CP943" s="13"/>
      <c r="CQ943" s="13"/>
      <c r="CR943" s="13"/>
      <c r="CS943" s="13"/>
      <c r="CT943" s="13"/>
      <c r="CU943" s="13"/>
      <c r="CV943" s="13"/>
      <c r="CW943" s="13"/>
      <c r="CX943" s="13"/>
    </row>
    <row r="944" spans="1:102" ht="12.75" hidden="1">
      <c r="A944" s="133" t="s">
        <v>183</v>
      </c>
      <c r="B944" s="266"/>
      <c r="C944" s="266"/>
      <c r="D944" s="207">
        <v>500000</v>
      </c>
      <c r="E944" s="206"/>
      <c r="F944" s="117">
        <f t="shared" si="67"/>
        <v>500000</v>
      </c>
      <c r="G944" s="244"/>
      <c r="H944" s="244"/>
      <c r="I944" s="244"/>
      <c r="J944" s="244"/>
      <c r="K944" s="244"/>
      <c r="L944" s="244"/>
      <c r="M944" s="244"/>
      <c r="N944" s="244"/>
      <c r="O944" s="255"/>
      <c r="P944" s="255"/>
      <c r="Q944" s="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c r="CA944" s="13"/>
      <c r="CB944" s="13"/>
      <c r="CC944" s="13"/>
      <c r="CD944" s="13"/>
      <c r="CE944" s="13"/>
      <c r="CF944" s="13"/>
      <c r="CG944" s="13"/>
      <c r="CH944" s="13"/>
      <c r="CI944" s="13"/>
      <c r="CJ944" s="13"/>
      <c r="CK944" s="13"/>
      <c r="CL944" s="13"/>
      <c r="CM944" s="13"/>
      <c r="CN944" s="13"/>
      <c r="CO944" s="13"/>
      <c r="CP944" s="13"/>
      <c r="CQ944" s="13"/>
      <c r="CR944" s="13"/>
      <c r="CS944" s="13"/>
      <c r="CT944" s="13"/>
      <c r="CU944" s="13"/>
      <c r="CV944" s="13"/>
      <c r="CW944" s="13"/>
      <c r="CX944" s="13"/>
    </row>
    <row r="945" spans="1:102" ht="12.75" hidden="1">
      <c r="A945" s="134" t="s">
        <v>204</v>
      </c>
      <c r="B945" s="266"/>
      <c r="C945" s="266"/>
      <c r="D945" s="207">
        <v>500000</v>
      </c>
      <c r="E945" s="206"/>
      <c r="F945" s="117">
        <f t="shared" si="67"/>
        <v>500000</v>
      </c>
      <c r="G945" s="244"/>
      <c r="H945" s="244"/>
      <c r="I945" s="244"/>
      <c r="J945" s="244"/>
      <c r="K945" s="244"/>
      <c r="L945" s="244"/>
      <c r="M945" s="244"/>
      <c r="N945" s="244"/>
      <c r="O945" s="255"/>
      <c r="P945" s="255"/>
      <c r="Q945" s="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c r="CA945" s="13"/>
      <c r="CB945" s="13"/>
      <c r="CC945" s="13"/>
      <c r="CD945" s="13"/>
      <c r="CE945" s="13"/>
      <c r="CF945" s="13"/>
      <c r="CG945" s="13"/>
      <c r="CH945" s="13"/>
      <c r="CI945" s="13"/>
      <c r="CJ945" s="13"/>
      <c r="CK945" s="13"/>
      <c r="CL945" s="13"/>
      <c r="CM945" s="13"/>
      <c r="CN945" s="13"/>
      <c r="CO945" s="13"/>
      <c r="CP945" s="13"/>
      <c r="CQ945" s="13"/>
      <c r="CR945" s="13"/>
      <c r="CS945" s="13"/>
      <c r="CT945" s="13"/>
      <c r="CU945" s="13"/>
      <c r="CV945" s="13"/>
      <c r="CW945" s="13"/>
      <c r="CX945" s="13"/>
    </row>
    <row r="946" spans="1:102" ht="12.75" hidden="1">
      <c r="A946" s="133" t="s">
        <v>184</v>
      </c>
      <c r="B946" s="266"/>
      <c r="C946" s="266"/>
      <c r="D946" s="207"/>
      <c r="E946" s="206"/>
      <c r="F946" s="117">
        <f t="shared" si="67"/>
        <v>0</v>
      </c>
      <c r="G946" s="244"/>
      <c r="H946" s="244"/>
      <c r="I946" s="244"/>
      <c r="J946" s="244"/>
      <c r="K946" s="244"/>
      <c r="L946" s="244"/>
      <c r="M946" s="244"/>
      <c r="N946" s="244"/>
      <c r="O946" s="255"/>
      <c r="P946" s="255"/>
      <c r="Q946" s="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c r="CA946" s="13"/>
      <c r="CB946" s="13"/>
      <c r="CC946" s="13"/>
      <c r="CD946" s="13"/>
      <c r="CE946" s="13"/>
      <c r="CF946" s="13"/>
      <c r="CG946" s="13"/>
      <c r="CH946" s="13"/>
      <c r="CI946" s="13"/>
      <c r="CJ946" s="13"/>
      <c r="CK946" s="13"/>
      <c r="CL946" s="13"/>
      <c r="CM946" s="13"/>
      <c r="CN946" s="13"/>
      <c r="CO946" s="13"/>
      <c r="CP946" s="13"/>
      <c r="CQ946" s="13"/>
      <c r="CR946" s="13"/>
      <c r="CS946" s="13"/>
      <c r="CT946" s="13"/>
      <c r="CU946" s="13"/>
      <c r="CV946" s="13"/>
      <c r="CW946" s="13"/>
      <c r="CX946" s="13"/>
    </row>
    <row r="947" spans="1:102" ht="12.75" hidden="1">
      <c r="A947" s="134" t="s">
        <v>179</v>
      </c>
      <c r="B947" s="266"/>
      <c r="C947" s="266"/>
      <c r="D947" s="207">
        <v>3210</v>
      </c>
      <c r="E947" s="206"/>
      <c r="F947" s="117">
        <f t="shared" si="67"/>
        <v>3210</v>
      </c>
      <c r="G947" s="244"/>
      <c r="H947" s="244"/>
      <c r="I947" s="244"/>
      <c r="J947" s="244"/>
      <c r="K947" s="244"/>
      <c r="L947" s="244"/>
      <c r="M947" s="244"/>
      <c r="N947" s="244"/>
      <c r="O947" s="255"/>
      <c r="P947" s="255"/>
      <c r="Q947" s="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3"/>
      <c r="BP947" s="13"/>
      <c r="BQ947" s="13"/>
      <c r="BR947" s="13"/>
      <c r="BS947" s="13"/>
      <c r="BT947" s="13"/>
      <c r="BU947" s="13"/>
      <c r="BV947" s="13"/>
      <c r="BW947" s="13"/>
      <c r="BX947" s="13"/>
      <c r="BY947" s="13"/>
      <c r="BZ947" s="13"/>
      <c r="CA947" s="13"/>
      <c r="CB947" s="13"/>
      <c r="CC947" s="13"/>
      <c r="CD947" s="13"/>
      <c r="CE947" s="13"/>
      <c r="CF947" s="13"/>
      <c r="CG947" s="13"/>
      <c r="CH947" s="13"/>
      <c r="CI947" s="13"/>
      <c r="CJ947" s="13"/>
      <c r="CK947" s="13"/>
      <c r="CL947" s="13"/>
      <c r="CM947" s="13"/>
      <c r="CN947" s="13"/>
      <c r="CO947" s="13"/>
      <c r="CP947" s="13"/>
      <c r="CQ947" s="13"/>
      <c r="CR947" s="13"/>
      <c r="CS947" s="13"/>
      <c r="CT947" s="13"/>
      <c r="CU947" s="13"/>
      <c r="CV947" s="13"/>
      <c r="CW947" s="13"/>
      <c r="CX947" s="13"/>
    </row>
    <row r="948" spans="1:102" ht="9.75" customHeight="1" hidden="1">
      <c r="A948" s="132" t="s">
        <v>186</v>
      </c>
      <c r="B948" s="267"/>
      <c r="C948" s="267"/>
      <c r="D948" s="268"/>
      <c r="E948" s="269"/>
      <c r="F948" s="117"/>
      <c r="G948" s="269"/>
      <c r="H948" s="269"/>
      <c r="I948" s="269"/>
      <c r="J948" s="9"/>
      <c r="K948" s="9"/>
      <c r="L948" s="9"/>
      <c r="M948" s="9"/>
      <c r="N948" s="9"/>
      <c r="O948" s="9"/>
      <c r="P948" s="9"/>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3"/>
      <c r="BP948" s="13"/>
      <c r="BQ948" s="13"/>
      <c r="BR948" s="13"/>
      <c r="BS948" s="13"/>
      <c r="BT948" s="13"/>
      <c r="BU948" s="13"/>
      <c r="BV948" s="13"/>
      <c r="BW948" s="13"/>
      <c r="BX948" s="13"/>
      <c r="BY948" s="13"/>
      <c r="BZ948" s="13"/>
      <c r="CA948" s="13"/>
      <c r="CB948" s="13"/>
      <c r="CC948" s="13"/>
      <c r="CD948" s="13"/>
      <c r="CE948" s="13"/>
      <c r="CF948" s="13"/>
      <c r="CG948" s="13"/>
      <c r="CH948" s="13"/>
      <c r="CI948" s="13"/>
      <c r="CJ948" s="13"/>
      <c r="CK948" s="13"/>
      <c r="CL948" s="13"/>
      <c r="CM948" s="13"/>
      <c r="CN948" s="13"/>
      <c r="CO948" s="13"/>
      <c r="CP948" s="13"/>
      <c r="CQ948" s="13"/>
      <c r="CR948" s="13"/>
      <c r="CS948" s="13"/>
      <c r="CT948" s="13"/>
      <c r="CU948" s="13"/>
      <c r="CV948" s="13"/>
      <c r="CW948" s="13"/>
      <c r="CX948" s="13"/>
    </row>
    <row r="949" spans="1:102" ht="12.75" hidden="1">
      <c r="A949" s="154" t="s">
        <v>180</v>
      </c>
      <c r="B949" s="267"/>
      <c r="C949" s="267"/>
      <c r="D949" s="131">
        <f>D944/D947</f>
        <v>155.76323987538942</v>
      </c>
      <c r="E949" s="269"/>
      <c r="F949" s="117">
        <f t="shared" si="67"/>
        <v>155.76323987538942</v>
      </c>
      <c r="G949" s="269"/>
      <c r="H949" s="269"/>
      <c r="I949" s="269"/>
      <c r="J949" s="9"/>
      <c r="K949" s="9"/>
      <c r="L949" s="9"/>
      <c r="M949" s="9"/>
      <c r="N949" s="9"/>
      <c r="O949" s="9"/>
      <c r="P949" s="9"/>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c r="CA949" s="13"/>
      <c r="CB949" s="13"/>
      <c r="CC949" s="13"/>
      <c r="CD949" s="13"/>
      <c r="CE949" s="13"/>
      <c r="CF949" s="13"/>
      <c r="CG949" s="13"/>
      <c r="CH949" s="13"/>
      <c r="CI949" s="13"/>
      <c r="CJ949" s="13"/>
      <c r="CK949" s="13"/>
      <c r="CL949" s="13"/>
      <c r="CM949" s="13"/>
      <c r="CN949" s="13"/>
      <c r="CO949" s="13"/>
      <c r="CP949" s="13"/>
      <c r="CQ949" s="13"/>
      <c r="CR949" s="13"/>
      <c r="CS949" s="13"/>
      <c r="CT949" s="13"/>
      <c r="CU949" s="13"/>
      <c r="CV949" s="13"/>
      <c r="CW949" s="13"/>
      <c r="CX949" s="13"/>
    </row>
    <row r="950" spans="1:102" ht="12.75" hidden="1">
      <c r="A950" s="73" t="s">
        <v>114</v>
      </c>
      <c r="B950" s="97"/>
      <c r="C950" s="97"/>
      <c r="D950" s="85">
        <f>D951</f>
        <v>0</v>
      </c>
      <c r="E950" s="86">
        <f>E951</f>
        <v>6000000</v>
      </c>
      <c r="F950" s="86">
        <f>D950+E950</f>
        <v>6000000</v>
      </c>
      <c r="G950" s="109"/>
      <c r="H950" s="109"/>
      <c r="I950" s="109"/>
      <c r="J950" s="109"/>
      <c r="K950" s="110"/>
      <c r="L950" s="110"/>
      <c r="M950" s="110"/>
      <c r="N950" s="110"/>
      <c r="O950" s="111"/>
      <c r="P950" s="111"/>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c r="CW950" s="13"/>
      <c r="CX950" s="13"/>
    </row>
    <row r="951" spans="1:102" ht="25.5" hidden="1">
      <c r="A951" s="68" t="s">
        <v>514</v>
      </c>
      <c r="B951" s="69"/>
      <c r="C951" s="69"/>
      <c r="D951" s="67"/>
      <c r="E951" s="67">
        <f>0+6000000</f>
        <v>6000000</v>
      </c>
      <c r="F951" s="67">
        <f>E951</f>
        <v>6000000</v>
      </c>
      <c r="G951" s="67">
        <f>G955*G957</f>
        <v>0</v>
      </c>
      <c r="H951" s="67">
        <f>22379100-6000000</f>
        <v>16379100</v>
      </c>
      <c r="I951" s="67">
        <f>I955*I957</f>
        <v>0</v>
      </c>
      <c r="J951" s="67">
        <f>G951+H951</f>
        <v>16379100</v>
      </c>
      <c r="K951" s="67">
        <f>K955*K957</f>
        <v>0</v>
      </c>
      <c r="L951" s="67">
        <f>L955*L957</f>
        <v>0</v>
      </c>
      <c r="M951" s="67">
        <f>M955*M957</f>
        <v>0</v>
      </c>
      <c r="N951" s="67">
        <f>N955*N957</f>
        <v>0</v>
      </c>
      <c r="O951" s="67">
        <f>23498000-6000000</f>
        <v>17498000</v>
      </c>
      <c r="P951" s="67">
        <f>N951+O951</f>
        <v>17498000</v>
      </c>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c r="CA951" s="13"/>
      <c r="CB951" s="13"/>
      <c r="CC951" s="13"/>
      <c r="CD951" s="13"/>
      <c r="CE951" s="13"/>
      <c r="CF951" s="13"/>
      <c r="CG951" s="13"/>
      <c r="CH951" s="13"/>
      <c r="CI951" s="13"/>
      <c r="CJ951" s="13"/>
      <c r="CK951" s="13"/>
      <c r="CL951" s="13"/>
      <c r="CM951" s="13"/>
      <c r="CN951" s="13"/>
      <c r="CO951" s="13"/>
      <c r="CP951" s="13"/>
      <c r="CQ951" s="13"/>
      <c r="CR951" s="13"/>
      <c r="CS951" s="13"/>
      <c r="CT951" s="13"/>
      <c r="CU951" s="13"/>
      <c r="CV951" s="13"/>
      <c r="CW951" s="13"/>
      <c r="CX951" s="13"/>
    </row>
    <row r="952" spans="1:17" s="274" customFormat="1" ht="12.75" hidden="1">
      <c r="A952" s="133" t="s">
        <v>183</v>
      </c>
      <c r="B952" s="272"/>
      <c r="C952" s="272"/>
      <c r="D952" s="209"/>
      <c r="E952" s="209"/>
      <c r="F952" s="209"/>
      <c r="G952" s="209"/>
      <c r="H952" s="209"/>
      <c r="I952" s="209"/>
      <c r="J952" s="209"/>
      <c r="K952" s="209"/>
      <c r="L952" s="209"/>
      <c r="M952" s="209"/>
      <c r="N952" s="209"/>
      <c r="O952" s="209"/>
      <c r="P952" s="209"/>
      <c r="Q952" s="273"/>
    </row>
    <row r="953" spans="1:17" s="274" customFormat="1" ht="12.75" hidden="1">
      <c r="A953" s="134" t="s">
        <v>204</v>
      </c>
      <c r="B953" s="272"/>
      <c r="C953" s="272"/>
      <c r="D953" s="209"/>
      <c r="E953" s="174">
        <f>0+6000000</f>
        <v>6000000</v>
      </c>
      <c r="F953" s="174">
        <f>D953+E953</f>
        <v>6000000</v>
      </c>
      <c r="G953" s="209"/>
      <c r="H953" s="209"/>
      <c r="I953" s="209"/>
      <c r="J953" s="209"/>
      <c r="K953" s="209"/>
      <c r="L953" s="209"/>
      <c r="M953" s="209"/>
      <c r="N953" s="209"/>
      <c r="O953" s="209"/>
      <c r="P953" s="209"/>
      <c r="Q953" s="273"/>
    </row>
    <row r="954" spans="1:102" ht="12.75" hidden="1">
      <c r="A954" s="133" t="s">
        <v>184</v>
      </c>
      <c r="B954" s="8"/>
      <c r="C954" s="8"/>
      <c r="D954" s="9"/>
      <c r="E954" s="9"/>
      <c r="F954" s="131"/>
      <c r="G954" s="9"/>
      <c r="H954" s="9"/>
      <c r="I954" s="9"/>
      <c r="J954" s="131"/>
      <c r="K954" s="131"/>
      <c r="L954" s="131"/>
      <c r="M954" s="131"/>
      <c r="N954" s="9"/>
      <c r="O954" s="9"/>
      <c r="P954" s="131"/>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c r="BD954" s="13"/>
      <c r="BE954" s="13"/>
      <c r="BF954" s="13"/>
      <c r="BG954" s="13"/>
      <c r="BH954" s="13"/>
      <c r="BI954" s="13"/>
      <c r="BJ954" s="13"/>
      <c r="BK954" s="13"/>
      <c r="BL954" s="13"/>
      <c r="BM954" s="13"/>
      <c r="BN954" s="13"/>
      <c r="BO954" s="13"/>
      <c r="BP954" s="13"/>
      <c r="BQ954" s="13"/>
      <c r="BR954" s="13"/>
      <c r="BS954" s="13"/>
      <c r="BT954" s="13"/>
      <c r="BU954" s="13"/>
      <c r="BV954" s="13"/>
      <c r="BW954" s="13"/>
      <c r="BX954" s="13"/>
      <c r="BY954" s="13"/>
      <c r="BZ954" s="13"/>
      <c r="CA954" s="13"/>
      <c r="CB954" s="13"/>
      <c r="CC954" s="13"/>
      <c r="CD954" s="13"/>
      <c r="CE954" s="13"/>
      <c r="CF954" s="13"/>
      <c r="CG954" s="13"/>
      <c r="CH954" s="13"/>
      <c r="CI954" s="13"/>
      <c r="CJ954" s="13"/>
      <c r="CK954" s="13"/>
      <c r="CL954" s="13"/>
      <c r="CM954" s="13"/>
      <c r="CN954" s="13"/>
      <c r="CO954" s="13"/>
      <c r="CP954" s="13"/>
      <c r="CQ954" s="13"/>
      <c r="CR954" s="13"/>
      <c r="CS954" s="13"/>
      <c r="CT954" s="13"/>
      <c r="CU954" s="13"/>
      <c r="CV954" s="13"/>
      <c r="CW954" s="13"/>
      <c r="CX954" s="13"/>
    </row>
    <row r="955" spans="1:102" ht="16.5" customHeight="1" hidden="1">
      <c r="A955" s="134" t="s">
        <v>239</v>
      </c>
      <c r="B955" s="164"/>
      <c r="C955" s="164"/>
      <c r="D955" s="131"/>
      <c r="E955" s="131">
        <v>1</v>
      </c>
      <c r="F955" s="131">
        <f>E955</f>
        <v>1</v>
      </c>
      <c r="G955" s="131"/>
      <c r="H955" s="131"/>
      <c r="I955" s="131"/>
      <c r="J955" s="131">
        <f>G955+H955</f>
        <v>0</v>
      </c>
      <c r="K955" s="131"/>
      <c r="L955" s="131"/>
      <c r="M955" s="131"/>
      <c r="N955" s="131"/>
      <c r="O955" s="131"/>
      <c r="P955" s="131">
        <f>O955</f>
        <v>0</v>
      </c>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c r="BH955" s="13"/>
      <c r="BI955" s="13"/>
      <c r="BJ955" s="13"/>
      <c r="BK955" s="13"/>
      <c r="BL955" s="13"/>
      <c r="BM955" s="13"/>
      <c r="BN955" s="13"/>
      <c r="BO955" s="13"/>
      <c r="BP955" s="13"/>
      <c r="BQ955" s="13"/>
      <c r="BR955" s="13"/>
      <c r="BS955" s="13"/>
      <c r="BT955" s="13"/>
      <c r="BU955" s="13"/>
      <c r="BV955" s="13"/>
      <c r="BW955" s="13"/>
      <c r="BX955" s="13"/>
      <c r="BY955" s="13"/>
      <c r="BZ955" s="13"/>
      <c r="CA955" s="13"/>
      <c r="CB955" s="13"/>
      <c r="CC955" s="13"/>
      <c r="CD955" s="13"/>
      <c r="CE955" s="13"/>
      <c r="CF955" s="13"/>
      <c r="CG955" s="13"/>
      <c r="CH955" s="13"/>
      <c r="CI955" s="13"/>
      <c r="CJ955" s="13"/>
      <c r="CK955" s="13"/>
      <c r="CL955" s="13"/>
      <c r="CM955" s="13"/>
      <c r="CN955" s="13"/>
      <c r="CO955" s="13"/>
      <c r="CP955" s="13"/>
      <c r="CQ955" s="13"/>
      <c r="CR955" s="13"/>
      <c r="CS955" s="13"/>
      <c r="CT955" s="13"/>
      <c r="CU955" s="13"/>
      <c r="CV955" s="13"/>
      <c r="CW955" s="13"/>
      <c r="CX955" s="13"/>
    </row>
    <row r="956" spans="1:102" ht="12.75" hidden="1">
      <c r="A956" s="133" t="s">
        <v>186</v>
      </c>
      <c r="B956" s="8"/>
      <c r="C956" s="8"/>
      <c r="D956" s="9"/>
      <c r="E956" s="9"/>
      <c r="F956" s="131"/>
      <c r="G956" s="9"/>
      <c r="H956" s="9"/>
      <c r="I956" s="9"/>
      <c r="J956" s="131"/>
      <c r="K956" s="131"/>
      <c r="L956" s="131"/>
      <c r="M956" s="131"/>
      <c r="N956" s="9"/>
      <c r="O956" s="9"/>
      <c r="P956" s="131"/>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c r="CA956" s="13"/>
      <c r="CB956" s="13"/>
      <c r="CC956" s="13"/>
      <c r="CD956" s="13"/>
      <c r="CE956" s="13"/>
      <c r="CF956" s="13"/>
      <c r="CG956" s="13"/>
      <c r="CH956" s="13"/>
      <c r="CI956" s="13"/>
      <c r="CJ956" s="13"/>
      <c r="CK956" s="13"/>
      <c r="CL956" s="13"/>
      <c r="CM956" s="13"/>
      <c r="CN956" s="13"/>
      <c r="CO956" s="13"/>
      <c r="CP956" s="13"/>
      <c r="CQ956" s="13"/>
      <c r="CR956" s="13"/>
      <c r="CS956" s="13"/>
      <c r="CT956" s="13"/>
      <c r="CU956" s="13"/>
      <c r="CV956" s="13"/>
      <c r="CW956" s="13"/>
      <c r="CX956" s="13"/>
    </row>
    <row r="957" spans="1:102" ht="18.75" customHeight="1" hidden="1">
      <c r="A957" s="134" t="s">
        <v>240</v>
      </c>
      <c r="B957" s="164"/>
      <c r="C957" s="164"/>
      <c r="D957" s="131"/>
      <c r="E957" s="131">
        <v>6000000</v>
      </c>
      <c r="F957" s="131">
        <f>E957</f>
        <v>6000000</v>
      </c>
      <c r="G957" s="131"/>
      <c r="H957" s="131" t="e">
        <f>H951/H955</f>
        <v>#DIV/0!</v>
      </c>
      <c r="I957" s="131"/>
      <c r="J957" s="131" t="e">
        <f>G957+H957</f>
        <v>#DIV/0!</v>
      </c>
      <c r="K957" s="131"/>
      <c r="L957" s="131"/>
      <c r="M957" s="131"/>
      <c r="N957" s="131"/>
      <c r="O957" s="131" t="e">
        <f>O951/O955</f>
        <v>#DIV/0!</v>
      </c>
      <c r="P957" s="131" t="e">
        <f>O957</f>
        <v>#DIV/0!</v>
      </c>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c r="BH957" s="13"/>
      <c r="BI957" s="13"/>
      <c r="BJ957" s="13"/>
      <c r="BK957" s="13"/>
      <c r="BL957" s="13"/>
      <c r="BM957" s="13"/>
      <c r="BN957" s="13"/>
      <c r="BO957" s="13"/>
      <c r="BP957" s="13"/>
      <c r="BQ957" s="13"/>
      <c r="BR957" s="13"/>
      <c r="BS957" s="13"/>
      <c r="BT957" s="13"/>
      <c r="BU957" s="13"/>
      <c r="BV957" s="13"/>
      <c r="BW957" s="13"/>
      <c r="BX957" s="13"/>
      <c r="BY957" s="13"/>
      <c r="BZ957" s="13"/>
      <c r="CA957" s="13"/>
      <c r="CB957" s="13"/>
      <c r="CC957" s="13"/>
      <c r="CD957" s="13"/>
      <c r="CE957" s="13"/>
      <c r="CF957" s="13"/>
      <c r="CG957" s="13"/>
      <c r="CH957" s="13"/>
      <c r="CI957" s="13"/>
      <c r="CJ957" s="13"/>
      <c r="CK957" s="13"/>
      <c r="CL957" s="13"/>
      <c r="CM957" s="13"/>
      <c r="CN957" s="13"/>
      <c r="CO957" s="13"/>
      <c r="CP957" s="13"/>
      <c r="CQ957" s="13"/>
      <c r="CR957" s="13"/>
      <c r="CS957" s="13"/>
      <c r="CT957" s="13"/>
      <c r="CU957" s="13"/>
      <c r="CV957" s="13"/>
      <c r="CW957" s="13"/>
      <c r="CX957" s="13"/>
    </row>
    <row r="958" spans="1:102" ht="12.75" hidden="1">
      <c r="A958" s="133" t="s">
        <v>185</v>
      </c>
      <c r="B958" s="164"/>
      <c r="C958" s="164"/>
      <c r="D958" s="131"/>
      <c r="E958" s="131"/>
      <c r="F958" s="131"/>
      <c r="G958" s="131"/>
      <c r="H958" s="131"/>
      <c r="I958" s="131"/>
      <c r="J958" s="131"/>
      <c r="K958" s="131"/>
      <c r="L958" s="131"/>
      <c r="M958" s="131"/>
      <c r="N958" s="131"/>
      <c r="O958" s="131"/>
      <c r="P958" s="131"/>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c r="CA958" s="13"/>
      <c r="CB958" s="13"/>
      <c r="CC958" s="13"/>
      <c r="CD958" s="13"/>
      <c r="CE958" s="13"/>
      <c r="CF958" s="13"/>
      <c r="CG958" s="13"/>
      <c r="CH958" s="13"/>
      <c r="CI958" s="13"/>
      <c r="CJ958" s="13"/>
      <c r="CK958" s="13"/>
      <c r="CL958" s="13"/>
      <c r="CM958" s="13"/>
      <c r="CN958" s="13"/>
      <c r="CO958" s="13"/>
      <c r="CP958" s="13"/>
      <c r="CQ958" s="13"/>
      <c r="CR958" s="13"/>
      <c r="CS958" s="13"/>
      <c r="CT958" s="13"/>
      <c r="CU958" s="13"/>
      <c r="CV958" s="13"/>
      <c r="CW958" s="13"/>
      <c r="CX958" s="13"/>
    </row>
    <row r="959" spans="1:102" ht="29.25" customHeight="1" hidden="1">
      <c r="A959" s="134" t="s">
        <v>241</v>
      </c>
      <c r="B959" s="164"/>
      <c r="C959" s="164"/>
      <c r="D959" s="131"/>
      <c r="E959" s="131">
        <v>0</v>
      </c>
      <c r="F959" s="131">
        <v>0</v>
      </c>
      <c r="G959" s="131"/>
      <c r="H959" s="131" t="e">
        <f>H957/E957*100</f>
        <v>#DIV/0!</v>
      </c>
      <c r="I959" s="131"/>
      <c r="J959" s="131" t="e">
        <f>G959+H959</f>
        <v>#DIV/0!</v>
      </c>
      <c r="K959" s="131"/>
      <c r="L959" s="131"/>
      <c r="M959" s="131"/>
      <c r="N959" s="131"/>
      <c r="O959" s="131" t="e">
        <f>O957/H957*100</f>
        <v>#DIV/0!</v>
      </c>
      <c r="P959" s="131" t="e">
        <f>O959</f>
        <v>#DIV/0!</v>
      </c>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c r="BH959" s="13"/>
      <c r="BI959" s="13"/>
      <c r="BJ959" s="13"/>
      <c r="BK959" s="13"/>
      <c r="BL959" s="13"/>
      <c r="BM959" s="13"/>
      <c r="BN959" s="13"/>
      <c r="BO959" s="13"/>
      <c r="BP959" s="13"/>
      <c r="BQ959" s="13"/>
      <c r="BR959" s="13"/>
      <c r="BS959" s="13"/>
      <c r="BT959" s="13"/>
      <c r="BU959" s="13"/>
      <c r="BV959" s="13"/>
      <c r="BW959" s="13"/>
      <c r="BX959" s="13"/>
      <c r="BY959" s="13"/>
      <c r="BZ959" s="13"/>
      <c r="CA959" s="13"/>
      <c r="CB959" s="13"/>
      <c r="CC959" s="13"/>
      <c r="CD959" s="13"/>
      <c r="CE959" s="13"/>
      <c r="CF959" s="13"/>
      <c r="CG959" s="13"/>
      <c r="CH959" s="13"/>
      <c r="CI959" s="13"/>
      <c r="CJ959" s="13"/>
      <c r="CK959" s="13"/>
      <c r="CL959" s="13"/>
      <c r="CM959" s="13"/>
      <c r="CN959" s="13"/>
      <c r="CO959" s="13"/>
      <c r="CP959" s="13"/>
      <c r="CQ959" s="13"/>
      <c r="CR959" s="13"/>
      <c r="CS959" s="13"/>
      <c r="CT959" s="13"/>
      <c r="CU959" s="13"/>
      <c r="CV959" s="13"/>
      <c r="CW959" s="13"/>
      <c r="CX959" s="13"/>
    </row>
    <row r="960" spans="1:102" ht="29.25" customHeight="1" hidden="1">
      <c r="A960" s="281" t="s">
        <v>536</v>
      </c>
      <c r="B960" s="208"/>
      <c r="C960" s="208"/>
      <c r="D960" s="282">
        <f>D961</f>
        <v>0</v>
      </c>
      <c r="E960" s="282">
        <f>E961</f>
        <v>263876700</v>
      </c>
      <c r="F960" s="282">
        <f>F961</f>
        <v>263876700</v>
      </c>
      <c r="G960" s="283"/>
      <c r="H960" s="283"/>
      <c r="I960" s="283"/>
      <c r="J960" s="283"/>
      <c r="K960" s="284"/>
      <c r="L960" s="284"/>
      <c r="M960" s="284"/>
      <c r="N960" s="284"/>
      <c r="O960" s="285"/>
      <c r="P960" s="285"/>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c r="CA960" s="13"/>
      <c r="CB960" s="13"/>
      <c r="CC960" s="13"/>
      <c r="CD960" s="13"/>
      <c r="CE960" s="13"/>
      <c r="CF960" s="13"/>
      <c r="CG960" s="13"/>
      <c r="CH960" s="13"/>
      <c r="CI960" s="13"/>
      <c r="CJ960" s="13"/>
      <c r="CK960" s="13"/>
      <c r="CL960" s="13"/>
      <c r="CM960" s="13"/>
      <c r="CN960" s="13"/>
      <c r="CO960" s="13"/>
      <c r="CP960" s="13"/>
      <c r="CQ960" s="13"/>
      <c r="CR960" s="13"/>
      <c r="CS960" s="13"/>
      <c r="CT960" s="13"/>
      <c r="CU960" s="13"/>
      <c r="CV960" s="13"/>
      <c r="CW960" s="13"/>
      <c r="CX960" s="13"/>
    </row>
    <row r="961" spans="1:102" ht="63.75" hidden="1">
      <c r="A961" s="286" t="s">
        <v>538</v>
      </c>
      <c r="B961" s="287"/>
      <c r="C961" s="287"/>
      <c r="D961" s="288">
        <f>D963</f>
        <v>0</v>
      </c>
      <c r="E961" s="288">
        <f>E963</f>
        <v>263876700</v>
      </c>
      <c r="F961" s="288">
        <f>E961+D961</f>
        <v>263876700</v>
      </c>
      <c r="G961" s="289"/>
      <c r="H961" s="289"/>
      <c r="I961" s="289"/>
      <c r="J961" s="289"/>
      <c r="K961" s="289"/>
      <c r="L961" s="289"/>
      <c r="M961" s="289"/>
      <c r="N961" s="289"/>
      <c r="O961" s="290"/>
      <c r="P961" s="290"/>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c r="BH961" s="13"/>
      <c r="BI961" s="13"/>
      <c r="BJ961" s="13"/>
      <c r="BK961" s="13"/>
      <c r="BL961" s="13"/>
      <c r="BM961" s="13"/>
      <c r="BN961" s="13"/>
      <c r="BO961" s="13"/>
      <c r="BP961" s="13"/>
      <c r="BQ961" s="13"/>
      <c r="BR961" s="13"/>
      <c r="BS961" s="13"/>
      <c r="BT961" s="13"/>
      <c r="BU961" s="13"/>
      <c r="BV961" s="13"/>
      <c r="BW961" s="13"/>
      <c r="BX961" s="13"/>
      <c r="BY961" s="13"/>
      <c r="BZ961" s="13"/>
      <c r="CA961" s="13"/>
      <c r="CB961" s="13"/>
      <c r="CC961" s="13"/>
      <c r="CD961" s="13"/>
      <c r="CE961" s="13"/>
      <c r="CF961" s="13"/>
      <c r="CG961" s="13"/>
      <c r="CH961" s="13"/>
      <c r="CI961" s="13"/>
      <c r="CJ961" s="13"/>
      <c r="CK961" s="13"/>
      <c r="CL961" s="13"/>
      <c r="CM961" s="13"/>
      <c r="CN961" s="13"/>
      <c r="CO961" s="13"/>
      <c r="CP961" s="13"/>
      <c r="CQ961" s="13"/>
      <c r="CR961" s="13"/>
      <c r="CS961" s="13"/>
      <c r="CT961" s="13"/>
      <c r="CU961" s="13"/>
      <c r="CV961" s="13"/>
      <c r="CW961" s="13"/>
      <c r="CX961" s="13"/>
    </row>
    <row r="962" spans="1:102" ht="11.25" hidden="1">
      <c r="A962" s="291" t="s">
        <v>183</v>
      </c>
      <c r="B962" s="292"/>
      <c r="C962" s="292"/>
      <c r="D962" s="293"/>
      <c r="E962" s="294"/>
      <c r="F962" s="295"/>
      <c r="G962" s="296"/>
      <c r="H962" s="296"/>
      <c r="I962" s="296"/>
      <c r="J962" s="296"/>
      <c r="K962" s="296"/>
      <c r="L962" s="296"/>
      <c r="M962" s="296"/>
      <c r="N962" s="296"/>
      <c r="O962" s="297"/>
      <c r="P962" s="297"/>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c r="BH962" s="13"/>
      <c r="BI962" s="13"/>
      <c r="BJ962" s="13"/>
      <c r="BK962" s="13"/>
      <c r="BL962" s="13"/>
      <c r="BM962" s="13"/>
      <c r="BN962" s="13"/>
      <c r="BO962" s="13"/>
      <c r="BP962" s="13"/>
      <c r="BQ962" s="13"/>
      <c r="BR962" s="13"/>
      <c r="BS962" s="13"/>
      <c r="BT962" s="13"/>
      <c r="BU962" s="13"/>
      <c r="BV962" s="13"/>
      <c r="BW962" s="13"/>
      <c r="BX962" s="13"/>
      <c r="BY962" s="13"/>
      <c r="BZ962" s="13"/>
      <c r="CA962" s="13"/>
      <c r="CB962" s="13"/>
      <c r="CC962" s="13"/>
      <c r="CD962" s="13"/>
      <c r="CE962" s="13"/>
      <c r="CF962" s="13"/>
      <c r="CG962" s="13"/>
      <c r="CH962" s="13"/>
      <c r="CI962" s="13"/>
      <c r="CJ962" s="13"/>
      <c r="CK962" s="13"/>
      <c r="CL962" s="13"/>
      <c r="CM962" s="13"/>
      <c r="CN962" s="13"/>
      <c r="CO962" s="13"/>
      <c r="CP962" s="13"/>
      <c r="CQ962" s="13"/>
      <c r="CR962" s="13"/>
      <c r="CS962" s="13"/>
      <c r="CT962" s="13"/>
      <c r="CU962" s="13"/>
      <c r="CV962" s="13"/>
      <c r="CW962" s="13"/>
      <c r="CX962" s="13"/>
    </row>
    <row r="963" spans="1:102" ht="11.25" hidden="1">
      <c r="A963" s="298" t="s">
        <v>204</v>
      </c>
      <c r="B963" s="292"/>
      <c r="C963" s="292"/>
      <c r="D963" s="299"/>
      <c r="E963" s="295">
        <v>263876700</v>
      </c>
      <c r="F963" s="295">
        <f>E963+D963</f>
        <v>263876700</v>
      </c>
      <c r="G963" s="296"/>
      <c r="H963" s="296"/>
      <c r="I963" s="296"/>
      <c r="J963" s="296"/>
      <c r="K963" s="296"/>
      <c r="L963" s="296"/>
      <c r="M963" s="296"/>
      <c r="N963" s="296"/>
      <c r="O963" s="297"/>
      <c r="P963" s="297"/>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c r="CA963" s="13"/>
      <c r="CB963" s="13"/>
      <c r="CC963" s="13"/>
      <c r="CD963" s="13"/>
      <c r="CE963" s="13"/>
      <c r="CF963" s="13"/>
      <c r="CG963" s="13"/>
      <c r="CH963" s="13"/>
      <c r="CI963" s="13"/>
      <c r="CJ963" s="13"/>
      <c r="CK963" s="13"/>
      <c r="CL963" s="13"/>
      <c r="CM963" s="13"/>
      <c r="CN963" s="13"/>
      <c r="CO963" s="13"/>
      <c r="CP963" s="13"/>
      <c r="CQ963" s="13"/>
      <c r="CR963" s="13"/>
      <c r="CS963" s="13"/>
      <c r="CT963" s="13"/>
      <c r="CU963" s="13"/>
      <c r="CV963" s="13"/>
      <c r="CW963" s="13"/>
      <c r="CX963" s="13"/>
    </row>
    <row r="964" spans="1:102" ht="11.25" hidden="1">
      <c r="A964" s="291" t="s">
        <v>184</v>
      </c>
      <c r="B964" s="292"/>
      <c r="C964" s="292"/>
      <c r="D964" s="293"/>
      <c r="E964" s="295"/>
      <c r="F964" s="295"/>
      <c r="G964" s="296"/>
      <c r="H964" s="296"/>
      <c r="I964" s="296"/>
      <c r="J964" s="296"/>
      <c r="K964" s="296"/>
      <c r="L964" s="296"/>
      <c r="M964" s="296"/>
      <c r="N964" s="296"/>
      <c r="O964" s="297"/>
      <c r="P964" s="297"/>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c r="BJ964" s="13"/>
      <c r="BK964" s="13"/>
      <c r="BL964" s="13"/>
      <c r="BM964" s="13"/>
      <c r="BN964" s="13"/>
      <c r="BO964" s="13"/>
      <c r="BP964" s="13"/>
      <c r="BQ964" s="13"/>
      <c r="BR964" s="13"/>
      <c r="BS964" s="13"/>
      <c r="BT964" s="13"/>
      <c r="BU964" s="13"/>
      <c r="BV964" s="13"/>
      <c r="BW964" s="13"/>
      <c r="BX964" s="13"/>
      <c r="BY964" s="13"/>
      <c r="BZ964" s="13"/>
      <c r="CA964" s="13"/>
      <c r="CB964" s="13"/>
      <c r="CC964" s="13"/>
      <c r="CD964" s="13"/>
      <c r="CE964" s="13"/>
      <c r="CF964" s="13"/>
      <c r="CG964" s="13"/>
      <c r="CH964" s="13"/>
      <c r="CI964" s="13"/>
      <c r="CJ964" s="13"/>
      <c r="CK964" s="13"/>
      <c r="CL964" s="13"/>
      <c r="CM964" s="13"/>
      <c r="CN964" s="13"/>
      <c r="CO964" s="13"/>
      <c r="CP964" s="13"/>
      <c r="CQ964" s="13"/>
      <c r="CR964" s="13"/>
      <c r="CS964" s="13"/>
      <c r="CT964" s="13"/>
      <c r="CU964" s="13"/>
      <c r="CV964" s="13"/>
      <c r="CW964" s="13"/>
      <c r="CX964" s="13"/>
    </row>
    <row r="965" spans="1:102" ht="11.25" hidden="1">
      <c r="A965" s="298" t="s">
        <v>537</v>
      </c>
      <c r="B965" s="292"/>
      <c r="C965" s="292"/>
      <c r="D965" s="293"/>
      <c r="E965" s="300" t="s">
        <v>539</v>
      </c>
      <c r="F965" s="301" t="str">
        <f>E965</f>
        <v>2</v>
      </c>
      <c r="G965" s="296"/>
      <c r="H965" s="296"/>
      <c r="I965" s="296"/>
      <c r="J965" s="296"/>
      <c r="K965" s="296"/>
      <c r="L965" s="296"/>
      <c r="M965" s="296"/>
      <c r="N965" s="296"/>
      <c r="O965" s="297"/>
      <c r="P965" s="297"/>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c r="BH965" s="13"/>
      <c r="BI965" s="13"/>
      <c r="BJ965" s="13"/>
      <c r="BK965" s="13"/>
      <c r="BL965" s="13"/>
      <c r="BM965" s="13"/>
      <c r="BN965" s="13"/>
      <c r="BO965" s="13"/>
      <c r="BP965" s="13"/>
      <c r="BQ965" s="13"/>
      <c r="BR965" s="13"/>
      <c r="BS965" s="13"/>
      <c r="BT965" s="13"/>
      <c r="BU965" s="13"/>
      <c r="BV965" s="13"/>
      <c r="BW965" s="13"/>
      <c r="BX965" s="13"/>
      <c r="BY965" s="13"/>
      <c r="BZ965" s="13"/>
      <c r="CA965" s="13"/>
      <c r="CB965" s="13"/>
      <c r="CC965" s="13"/>
      <c r="CD965" s="13"/>
      <c r="CE965" s="13"/>
      <c r="CF965" s="13"/>
      <c r="CG965" s="13"/>
      <c r="CH965" s="13"/>
      <c r="CI965" s="13"/>
      <c r="CJ965" s="13"/>
      <c r="CK965" s="13"/>
      <c r="CL965" s="13"/>
      <c r="CM965" s="13"/>
      <c r="CN965" s="13"/>
      <c r="CO965" s="13"/>
      <c r="CP965" s="13"/>
      <c r="CQ965" s="13"/>
      <c r="CR965" s="13"/>
      <c r="CS965" s="13"/>
      <c r="CT965" s="13"/>
      <c r="CU965" s="13"/>
      <c r="CV965" s="13"/>
      <c r="CW965" s="13"/>
      <c r="CX965" s="13"/>
    </row>
    <row r="966" spans="1:102" ht="11.25" hidden="1">
      <c r="A966" s="302" t="s">
        <v>186</v>
      </c>
      <c r="B966" s="292"/>
      <c r="C966" s="292"/>
      <c r="D966" s="293"/>
      <c r="E966" s="294"/>
      <c r="F966" s="294"/>
      <c r="G966" s="296"/>
      <c r="H966" s="296"/>
      <c r="I966" s="296"/>
      <c r="J966" s="296"/>
      <c r="K966" s="296"/>
      <c r="L966" s="296"/>
      <c r="M966" s="296"/>
      <c r="N966" s="296"/>
      <c r="O966" s="297"/>
      <c r="P966" s="297"/>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c r="CA966" s="13"/>
      <c r="CB966" s="13"/>
      <c r="CC966" s="13"/>
      <c r="CD966" s="13"/>
      <c r="CE966" s="13"/>
      <c r="CF966" s="13"/>
      <c r="CG966" s="13"/>
      <c r="CH966" s="13"/>
      <c r="CI966" s="13"/>
      <c r="CJ966" s="13"/>
      <c r="CK966" s="13"/>
      <c r="CL966" s="13"/>
      <c r="CM966" s="13"/>
      <c r="CN966" s="13"/>
      <c r="CO966" s="13"/>
      <c r="CP966" s="13"/>
      <c r="CQ966" s="13"/>
      <c r="CR966" s="13"/>
      <c r="CS966" s="13"/>
      <c r="CT966" s="13"/>
      <c r="CU966" s="13"/>
      <c r="CV966" s="13"/>
      <c r="CW966" s="13"/>
      <c r="CX966" s="13"/>
    </row>
    <row r="967" spans="1:102" ht="11.25" hidden="1">
      <c r="A967" s="303" t="s">
        <v>540</v>
      </c>
      <c r="B967" s="292"/>
      <c r="C967" s="292"/>
      <c r="D967" s="295"/>
      <c r="E967" s="295">
        <f>E963/E965</f>
        <v>131938350</v>
      </c>
      <c r="F967" s="295">
        <f>D967+E967</f>
        <v>131938350</v>
      </c>
      <c r="G967" s="296"/>
      <c r="H967" s="296"/>
      <c r="I967" s="296"/>
      <c r="J967" s="296"/>
      <c r="K967" s="296"/>
      <c r="L967" s="296"/>
      <c r="M967" s="296"/>
      <c r="N967" s="296"/>
      <c r="O967" s="297"/>
      <c r="P967" s="297"/>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c r="BJ967" s="13"/>
      <c r="BK967" s="13"/>
      <c r="BL967" s="13"/>
      <c r="BM967" s="13"/>
      <c r="BN967" s="13"/>
      <c r="BO967" s="13"/>
      <c r="BP967" s="13"/>
      <c r="BQ967" s="13"/>
      <c r="BR967" s="13"/>
      <c r="BS967" s="13"/>
      <c r="BT967" s="13"/>
      <c r="BU967" s="13"/>
      <c r="BV967" s="13"/>
      <c r="BW967" s="13"/>
      <c r="BX967" s="13"/>
      <c r="BY967" s="13"/>
      <c r="BZ967" s="13"/>
      <c r="CA967" s="13"/>
      <c r="CB967" s="13"/>
      <c r="CC967" s="13"/>
      <c r="CD967" s="13"/>
      <c r="CE967" s="13"/>
      <c r="CF967" s="13"/>
      <c r="CG967" s="13"/>
      <c r="CH967" s="13"/>
      <c r="CI967" s="13"/>
      <c r="CJ967" s="13"/>
      <c r="CK967" s="13"/>
      <c r="CL967" s="13"/>
      <c r="CM967" s="13"/>
      <c r="CN967" s="13"/>
      <c r="CO967" s="13"/>
      <c r="CP967" s="13"/>
      <c r="CQ967" s="13"/>
      <c r="CR967" s="13"/>
      <c r="CS967" s="13"/>
      <c r="CT967" s="13"/>
      <c r="CU967" s="13"/>
      <c r="CV967" s="13"/>
      <c r="CW967" s="13"/>
      <c r="CX967" s="13"/>
    </row>
    <row r="968" spans="1:102" ht="12.75">
      <c r="A968" s="281" t="s">
        <v>575</v>
      </c>
      <c r="B968" s="208"/>
      <c r="C968" s="208"/>
      <c r="D968" s="282">
        <f aca="true" t="shared" si="68" ref="D968:J968">D969</f>
        <v>0</v>
      </c>
      <c r="E968" s="282">
        <f t="shared" si="68"/>
        <v>0</v>
      </c>
      <c r="F968" s="282">
        <f t="shared" si="68"/>
        <v>0</v>
      </c>
      <c r="G968" s="282">
        <f t="shared" si="68"/>
        <v>20000000</v>
      </c>
      <c r="H968" s="282">
        <f t="shared" si="68"/>
        <v>40000000</v>
      </c>
      <c r="I968" s="282">
        <f t="shared" si="68"/>
        <v>60000000</v>
      </c>
      <c r="J968" s="282">
        <f t="shared" si="68"/>
        <v>60000000</v>
      </c>
      <c r="K968" s="284"/>
      <c r="L968" s="284"/>
      <c r="M968" s="284"/>
      <c r="N968" s="282">
        <f>N969</f>
        <v>0</v>
      </c>
      <c r="O968" s="282">
        <f>O969</f>
        <v>0</v>
      </c>
      <c r="P968" s="282">
        <f>P969</f>
        <v>0</v>
      </c>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c r="CA968" s="13"/>
      <c r="CB968" s="13"/>
      <c r="CC968" s="13"/>
      <c r="CD968" s="13"/>
      <c r="CE968" s="13"/>
      <c r="CF968" s="13"/>
      <c r="CG968" s="13"/>
      <c r="CH968" s="13"/>
      <c r="CI968" s="13"/>
      <c r="CJ968" s="13"/>
      <c r="CK968" s="13"/>
      <c r="CL968" s="13"/>
      <c r="CM968" s="13"/>
      <c r="CN968" s="13"/>
      <c r="CO968" s="13"/>
      <c r="CP968" s="13"/>
      <c r="CQ968" s="13"/>
      <c r="CR968" s="13"/>
      <c r="CS968" s="13"/>
      <c r="CT968" s="13"/>
      <c r="CU968" s="13"/>
      <c r="CV968" s="13"/>
      <c r="CW968" s="13"/>
      <c r="CX968" s="13"/>
    </row>
    <row r="969" spans="1:102" ht="36.75" customHeight="1">
      <c r="A969" s="286" t="s">
        <v>554</v>
      </c>
      <c r="B969" s="287"/>
      <c r="C969" s="287"/>
      <c r="D969" s="288">
        <f>D971</f>
        <v>0</v>
      </c>
      <c r="E969" s="288">
        <f>E971</f>
        <v>0</v>
      </c>
      <c r="F969" s="288">
        <f>E969+D969</f>
        <v>0</v>
      </c>
      <c r="G969" s="288">
        <f>G971</f>
        <v>20000000</v>
      </c>
      <c r="H969" s="288">
        <f>H971+H972</f>
        <v>40000000</v>
      </c>
      <c r="I969" s="288">
        <f>H969+G969</f>
        <v>60000000</v>
      </c>
      <c r="J969" s="288">
        <f>G969+H969</f>
        <v>60000000</v>
      </c>
      <c r="K969" s="289"/>
      <c r="L969" s="289"/>
      <c r="M969" s="289"/>
      <c r="N969" s="288">
        <f>N971</f>
        <v>0</v>
      </c>
      <c r="O969" s="288">
        <f>O971</f>
        <v>0</v>
      </c>
      <c r="P969" s="288">
        <f>O969+N969</f>
        <v>0</v>
      </c>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c r="BJ969" s="13"/>
      <c r="BK969" s="13"/>
      <c r="BL969" s="13"/>
      <c r="BM969" s="13"/>
      <c r="BN969" s="13"/>
      <c r="BO969" s="13"/>
      <c r="BP969" s="13"/>
      <c r="BQ969" s="13"/>
      <c r="BR969" s="13"/>
      <c r="BS969" s="13"/>
      <c r="BT969" s="13"/>
      <c r="BU969" s="13"/>
      <c r="BV969" s="13"/>
      <c r="BW969" s="13"/>
      <c r="BX969" s="13"/>
      <c r="BY969" s="13"/>
      <c r="BZ969" s="13"/>
      <c r="CA969" s="13"/>
      <c r="CB969" s="13"/>
      <c r="CC969" s="13"/>
      <c r="CD969" s="13"/>
      <c r="CE969" s="13"/>
      <c r="CF969" s="13"/>
      <c r="CG969" s="13"/>
      <c r="CH969" s="13"/>
      <c r="CI969" s="13"/>
      <c r="CJ969" s="13"/>
      <c r="CK969" s="13"/>
      <c r="CL969" s="13"/>
      <c r="CM969" s="13"/>
      <c r="CN969" s="13"/>
      <c r="CO969" s="13"/>
      <c r="CP969" s="13"/>
      <c r="CQ969" s="13"/>
      <c r="CR969" s="13"/>
      <c r="CS969" s="13"/>
      <c r="CT969" s="13"/>
      <c r="CU969" s="13"/>
      <c r="CV969" s="13"/>
      <c r="CW969" s="13"/>
      <c r="CX969" s="13"/>
    </row>
    <row r="970" spans="1:102" ht="12.75">
      <c r="A970" s="133" t="s">
        <v>183</v>
      </c>
      <c r="B970" s="292"/>
      <c r="C970" s="292"/>
      <c r="D970" s="293"/>
      <c r="E970" s="294"/>
      <c r="F970" s="295"/>
      <c r="G970" s="293"/>
      <c r="H970" s="294"/>
      <c r="I970" s="295"/>
      <c r="J970" s="295"/>
      <c r="K970" s="296"/>
      <c r="L970" s="296"/>
      <c r="M970" s="296"/>
      <c r="N970" s="293"/>
      <c r="O970" s="294"/>
      <c r="P970" s="295"/>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c r="BH970" s="13"/>
      <c r="BI970" s="13"/>
      <c r="BJ970" s="13"/>
      <c r="BK970" s="13"/>
      <c r="BL970" s="13"/>
      <c r="BM970" s="13"/>
      <c r="BN970" s="13"/>
      <c r="BO970" s="13"/>
      <c r="BP970" s="13"/>
      <c r="BQ970" s="13"/>
      <c r="BR970" s="13"/>
      <c r="BS970" s="13"/>
      <c r="BT970" s="13"/>
      <c r="BU970" s="13"/>
      <c r="BV970" s="13"/>
      <c r="BW970" s="13"/>
      <c r="BX970" s="13"/>
      <c r="BY970" s="13"/>
      <c r="BZ970" s="13"/>
      <c r="CA970" s="13"/>
      <c r="CB970" s="13"/>
      <c r="CC970" s="13"/>
      <c r="CD970" s="13"/>
      <c r="CE970" s="13"/>
      <c r="CF970" s="13"/>
      <c r="CG970" s="13"/>
      <c r="CH970" s="13"/>
      <c r="CI970" s="13"/>
      <c r="CJ970" s="13"/>
      <c r="CK970" s="13"/>
      <c r="CL970" s="13"/>
      <c r="CM970" s="13"/>
      <c r="CN970" s="13"/>
      <c r="CO970" s="13"/>
      <c r="CP970" s="13"/>
      <c r="CQ970" s="13"/>
      <c r="CR970" s="13"/>
      <c r="CS970" s="13"/>
      <c r="CT970" s="13"/>
      <c r="CU970" s="13"/>
      <c r="CV970" s="13"/>
      <c r="CW970" s="13"/>
      <c r="CX970" s="13"/>
    </row>
    <row r="971" spans="1:102" ht="12.75">
      <c r="A971" s="134" t="s">
        <v>592</v>
      </c>
      <c r="B971" s="292"/>
      <c r="C971" s="292"/>
      <c r="D971" s="299"/>
      <c r="E971" s="295"/>
      <c r="F971" s="295">
        <f>E971+D971</f>
        <v>0</v>
      </c>
      <c r="G971" s="295">
        <f>10000000+10000000</f>
        <v>20000000</v>
      </c>
      <c r="H971" s="295">
        <f>8000000+12000000+20000000-285000</f>
        <v>39715000</v>
      </c>
      <c r="I971" s="295">
        <f>H971+G971</f>
        <v>59715000</v>
      </c>
      <c r="J971" s="295">
        <f>G971+H971</f>
        <v>59715000</v>
      </c>
      <c r="K971" s="296"/>
      <c r="L971" s="296"/>
      <c r="M971" s="296"/>
      <c r="N971" s="295">
        <v>0</v>
      </c>
      <c r="O971" s="295">
        <v>0</v>
      </c>
      <c r="P971" s="295">
        <f>O971+N971</f>
        <v>0</v>
      </c>
      <c r="Q971" s="295">
        <f>N971+O971</f>
        <v>0</v>
      </c>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c r="BH971" s="13"/>
      <c r="BI971" s="13"/>
      <c r="BJ971" s="13"/>
      <c r="BK971" s="13"/>
      <c r="BL971" s="13"/>
      <c r="BM971" s="13"/>
      <c r="BN971" s="13"/>
      <c r="BO971" s="13"/>
      <c r="BP971" s="13"/>
      <c r="BQ971" s="13"/>
      <c r="BR971" s="13"/>
      <c r="BS971" s="13"/>
      <c r="BT971" s="13"/>
      <c r="BU971" s="13"/>
      <c r="BV971" s="13"/>
      <c r="BW971" s="13"/>
      <c r="BX971" s="13"/>
      <c r="BY971" s="13"/>
      <c r="BZ971" s="13"/>
      <c r="CA971" s="13"/>
      <c r="CB971" s="13"/>
      <c r="CC971" s="13"/>
      <c r="CD971" s="13"/>
      <c r="CE971" s="13"/>
      <c r="CF971" s="13"/>
      <c r="CG971" s="13"/>
      <c r="CH971" s="13"/>
      <c r="CI971" s="13"/>
      <c r="CJ971" s="13"/>
      <c r="CK971" s="13"/>
      <c r="CL971" s="13"/>
      <c r="CM971" s="13"/>
      <c r="CN971" s="13"/>
      <c r="CO971" s="13"/>
      <c r="CP971" s="13"/>
      <c r="CQ971" s="13"/>
      <c r="CR971" s="13"/>
      <c r="CS971" s="13"/>
      <c r="CT971" s="13"/>
      <c r="CU971" s="13"/>
      <c r="CV971" s="13"/>
      <c r="CW971" s="13"/>
      <c r="CX971" s="13"/>
    </row>
    <row r="972" spans="1:102" ht="12.75">
      <c r="A972" s="134" t="s">
        <v>593</v>
      </c>
      <c r="B972" s="292"/>
      <c r="C972" s="292"/>
      <c r="D972" s="299"/>
      <c r="E972" s="295"/>
      <c r="F972" s="295"/>
      <c r="G972" s="295"/>
      <c r="H972" s="295">
        <f>0+285000</f>
        <v>285000</v>
      </c>
      <c r="I972" s="295"/>
      <c r="J972" s="295">
        <f>G972+H972</f>
        <v>285000</v>
      </c>
      <c r="K972" s="296"/>
      <c r="L972" s="296"/>
      <c r="M972" s="296"/>
      <c r="N972" s="295"/>
      <c r="O972" s="295"/>
      <c r="P972" s="295"/>
      <c r="Q972" s="295"/>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c r="CA972" s="13"/>
      <c r="CB972" s="13"/>
      <c r="CC972" s="13"/>
      <c r="CD972" s="13"/>
      <c r="CE972" s="13"/>
      <c r="CF972" s="13"/>
      <c r="CG972" s="13"/>
      <c r="CH972" s="13"/>
      <c r="CI972" s="13"/>
      <c r="CJ972" s="13"/>
      <c r="CK972" s="13"/>
      <c r="CL972" s="13"/>
      <c r="CM972" s="13"/>
      <c r="CN972" s="13"/>
      <c r="CO972" s="13"/>
      <c r="CP972" s="13"/>
      <c r="CQ972" s="13"/>
      <c r="CR972" s="13"/>
      <c r="CS972" s="13"/>
      <c r="CT972" s="13"/>
      <c r="CU972" s="13"/>
      <c r="CV972" s="13"/>
      <c r="CW972" s="13"/>
      <c r="CX972" s="13"/>
    </row>
    <row r="973" spans="1:102" ht="12.75">
      <c r="A973" s="133" t="s">
        <v>184</v>
      </c>
      <c r="B973" s="292"/>
      <c r="C973" s="292"/>
      <c r="D973" s="293"/>
      <c r="E973" s="295"/>
      <c r="F973" s="295"/>
      <c r="G973" s="293"/>
      <c r="H973" s="295"/>
      <c r="I973" s="295"/>
      <c r="J973" s="295"/>
      <c r="K973" s="296"/>
      <c r="L973" s="296"/>
      <c r="M973" s="296"/>
      <c r="N973" s="293"/>
      <c r="O973" s="295"/>
      <c r="P973" s="295"/>
      <c r="Q973" s="295"/>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c r="CA973" s="13"/>
      <c r="CB973" s="13"/>
      <c r="CC973" s="13"/>
      <c r="CD973" s="13"/>
      <c r="CE973" s="13"/>
      <c r="CF973" s="13"/>
      <c r="CG973" s="13"/>
      <c r="CH973" s="13"/>
      <c r="CI973" s="13"/>
      <c r="CJ973" s="13"/>
      <c r="CK973" s="13"/>
      <c r="CL973" s="13"/>
      <c r="CM973" s="13"/>
      <c r="CN973" s="13"/>
      <c r="CO973" s="13"/>
      <c r="CP973" s="13"/>
      <c r="CQ973" s="13"/>
      <c r="CR973" s="13"/>
      <c r="CS973" s="13"/>
      <c r="CT973" s="13"/>
      <c r="CU973" s="13"/>
      <c r="CV973" s="13"/>
      <c r="CW973" s="13"/>
      <c r="CX973" s="13"/>
    </row>
    <row r="974" spans="1:102" ht="24" customHeight="1">
      <c r="A974" s="134" t="s">
        <v>148</v>
      </c>
      <c r="B974" s="292"/>
      <c r="C974" s="292"/>
      <c r="D974" s="293"/>
      <c r="E974" s="300"/>
      <c r="F974" s="301">
        <f>E974</f>
        <v>0</v>
      </c>
      <c r="G974" s="307">
        <v>95</v>
      </c>
      <c r="H974" s="300" t="s">
        <v>580</v>
      </c>
      <c r="I974" s="301" t="str">
        <f>H974</f>
        <v>35</v>
      </c>
      <c r="J974" s="301">
        <f>G974+H974</f>
        <v>130</v>
      </c>
      <c r="K974" s="296"/>
      <c r="L974" s="296"/>
      <c r="M974" s="296"/>
      <c r="N974" s="307"/>
      <c r="O974" s="300"/>
      <c r="P974" s="301">
        <f>O974</f>
        <v>0</v>
      </c>
      <c r="Q974" s="301">
        <f>P974</f>
        <v>0</v>
      </c>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c r="CA974" s="13"/>
      <c r="CB974" s="13"/>
      <c r="CC974" s="13"/>
      <c r="CD974" s="13"/>
      <c r="CE974" s="13"/>
      <c r="CF974" s="13"/>
      <c r="CG974" s="13"/>
      <c r="CH974" s="13"/>
      <c r="CI974" s="13"/>
      <c r="CJ974" s="13"/>
      <c r="CK974" s="13"/>
      <c r="CL974" s="13"/>
      <c r="CM974" s="13"/>
      <c r="CN974" s="13"/>
      <c r="CO974" s="13"/>
      <c r="CP974" s="13"/>
      <c r="CQ974" s="13"/>
      <c r="CR974" s="13"/>
      <c r="CS974" s="13"/>
      <c r="CT974" s="13"/>
      <c r="CU974" s="13"/>
      <c r="CV974" s="13"/>
      <c r="CW974" s="13"/>
      <c r="CX974" s="13"/>
    </row>
    <row r="975" spans="1:102" ht="30" customHeight="1">
      <c r="A975" s="134" t="s">
        <v>587</v>
      </c>
      <c r="B975" s="292"/>
      <c r="C975" s="292"/>
      <c r="D975" s="293"/>
      <c r="E975" s="300"/>
      <c r="F975" s="301"/>
      <c r="G975" s="307"/>
      <c r="H975" s="300" t="s">
        <v>569</v>
      </c>
      <c r="I975" s="301"/>
      <c r="J975" s="301">
        <v>1</v>
      </c>
      <c r="K975" s="296"/>
      <c r="L975" s="296"/>
      <c r="M975" s="296"/>
      <c r="N975" s="307"/>
      <c r="O975" s="300"/>
      <c r="P975" s="301"/>
      <c r="Q975" s="301"/>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c r="BH975" s="13"/>
      <c r="BI975" s="13"/>
      <c r="BJ975" s="13"/>
      <c r="BK975" s="13"/>
      <c r="BL975" s="13"/>
      <c r="BM975" s="13"/>
      <c r="BN975" s="13"/>
      <c r="BO975" s="13"/>
      <c r="BP975" s="13"/>
      <c r="BQ975" s="13"/>
      <c r="BR975" s="13"/>
      <c r="BS975" s="13"/>
      <c r="BT975" s="13"/>
      <c r="BU975" s="13"/>
      <c r="BV975" s="13"/>
      <c r="BW975" s="13"/>
      <c r="BX975" s="13"/>
      <c r="BY975" s="13"/>
      <c r="BZ975" s="13"/>
      <c r="CA975" s="13"/>
      <c r="CB975" s="13"/>
      <c r="CC975" s="13"/>
      <c r="CD975" s="13"/>
      <c r="CE975" s="13"/>
      <c r="CF975" s="13"/>
      <c r="CG975" s="13"/>
      <c r="CH975" s="13"/>
      <c r="CI975" s="13"/>
      <c r="CJ975" s="13"/>
      <c r="CK975" s="13"/>
      <c r="CL975" s="13"/>
      <c r="CM975" s="13"/>
      <c r="CN975" s="13"/>
      <c r="CO975" s="13"/>
      <c r="CP975" s="13"/>
      <c r="CQ975" s="13"/>
      <c r="CR975" s="13"/>
      <c r="CS975" s="13"/>
      <c r="CT975" s="13"/>
      <c r="CU975" s="13"/>
      <c r="CV975" s="13"/>
      <c r="CW975" s="13"/>
      <c r="CX975" s="13"/>
    </row>
    <row r="976" spans="1:102" ht="12.75">
      <c r="A976" s="133" t="s">
        <v>186</v>
      </c>
      <c r="B976" s="292"/>
      <c r="C976" s="292"/>
      <c r="D976" s="293"/>
      <c r="E976" s="294"/>
      <c r="F976" s="294"/>
      <c r="G976" s="293"/>
      <c r="H976" s="294"/>
      <c r="I976" s="294"/>
      <c r="J976" s="294"/>
      <c r="K976" s="296"/>
      <c r="L976" s="296"/>
      <c r="M976" s="296"/>
      <c r="N976" s="293"/>
      <c r="O976" s="294"/>
      <c r="P976" s="294"/>
      <c r="Q976" s="294"/>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c r="BJ976" s="13"/>
      <c r="BK976" s="13"/>
      <c r="BL976" s="13"/>
      <c r="BM976" s="13"/>
      <c r="BN976" s="13"/>
      <c r="BO976" s="13"/>
      <c r="BP976" s="13"/>
      <c r="BQ976" s="13"/>
      <c r="BR976" s="13"/>
      <c r="BS976" s="13"/>
      <c r="BT976" s="13"/>
      <c r="BU976" s="13"/>
      <c r="BV976" s="13"/>
      <c r="BW976" s="13"/>
      <c r="BX976" s="13"/>
      <c r="BY976" s="13"/>
      <c r="BZ976" s="13"/>
      <c r="CA976" s="13"/>
      <c r="CB976" s="13"/>
      <c r="CC976" s="13"/>
      <c r="CD976" s="13"/>
      <c r="CE976" s="13"/>
      <c r="CF976" s="13"/>
      <c r="CG976" s="13"/>
      <c r="CH976" s="13"/>
      <c r="CI976" s="13"/>
      <c r="CJ976" s="13"/>
      <c r="CK976" s="13"/>
      <c r="CL976" s="13"/>
      <c r="CM976" s="13"/>
      <c r="CN976" s="13"/>
      <c r="CO976" s="13"/>
      <c r="CP976" s="13"/>
      <c r="CQ976" s="13"/>
      <c r="CR976" s="13"/>
      <c r="CS976" s="13"/>
      <c r="CT976" s="13"/>
      <c r="CU976" s="13"/>
      <c r="CV976" s="13"/>
      <c r="CW976" s="13"/>
      <c r="CX976" s="13"/>
    </row>
    <row r="977" spans="1:102" ht="35.25" customHeight="1">
      <c r="A977" s="134" t="s">
        <v>555</v>
      </c>
      <c r="B977" s="292"/>
      <c r="C977" s="292"/>
      <c r="D977" s="295"/>
      <c r="E977" s="295"/>
      <c r="F977" s="295">
        <f>D977+E977</f>
        <v>0</v>
      </c>
      <c r="G977" s="295">
        <f>G971/G974</f>
        <v>210526.31578947368</v>
      </c>
      <c r="H977" s="295">
        <f>H971/H974</f>
        <v>1134714.2857142857</v>
      </c>
      <c r="I977" s="295">
        <f>(I971-285000)/I974</f>
        <v>1698000</v>
      </c>
      <c r="J977" s="295">
        <f>J971/J974</f>
        <v>459346.1538461539</v>
      </c>
      <c r="K977" s="296"/>
      <c r="L977" s="296"/>
      <c r="M977" s="296"/>
      <c r="N977" s="295"/>
      <c r="O977" s="295"/>
      <c r="P977" s="295">
        <f>N977+O977</f>
        <v>0</v>
      </c>
      <c r="Q977" s="295">
        <f>O977+P977</f>
        <v>0</v>
      </c>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c r="CA977" s="13"/>
      <c r="CB977" s="13"/>
      <c r="CC977" s="13"/>
      <c r="CD977" s="13"/>
      <c r="CE977" s="13"/>
      <c r="CF977" s="13"/>
      <c r="CG977" s="13"/>
      <c r="CH977" s="13"/>
      <c r="CI977" s="13"/>
      <c r="CJ977" s="13"/>
      <c r="CK977" s="13"/>
      <c r="CL977" s="13"/>
      <c r="CM977" s="13"/>
      <c r="CN977" s="13"/>
      <c r="CO977" s="13"/>
      <c r="CP977" s="13"/>
      <c r="CQ977" s="13"/>
      <c r="CR977" s="13"/>
      <c r="CS977" s="13"/>
      <c r="CT977" s="13"/>
      <c r="CU977" s="13"/>
      <c r="CV977" s="13"/>
      <c r="CW977" s="13"/>
      <c r="CX977" s="13"/>
    </row>
    <row r="978" spans="1:102" ht="22.5" customHeight="1">
      <c r="A978" s="134" t="s">
        <v>588</v>
      </c>
      <c r="B978" s="292"/>
      <c r="C978" s="292"/>
      <c r="D978" s="295"/>
      <c r="E978" s="295"/>
      <c r="F978" s="295"/>
      <c r="G978" s="295"/>
      <c r="H978" s="295">
        <f>285000/H975</f>
        <v>285000</v>
      </c>
      <c r="I978" s="295" t="e">
        <f>285000/I975</f>
        <v>#DIV/0!</v>
      </c>
      <c r="J978" s="295">
        <f>285000/J975</f>
        <v>285000</v>
      </c>
      <c r="K978" s="296"/>
      <c r="L978" s="296"/>
      <c r="M978" s="296"/>
      <c r="N978" s="295"/>
      <c r="O978" s="295"/>
      <c r="P978" s="295"/>
      <c r="Q978" s="317"/>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c r="BH978" s="13"/>
      <c r="BI978" s="13"/>
      <c r="BJ978" s="13"/>
      <c r="BK978" s="13"/>
      <c r="BL978" s="13"/>
      <c r="BM978" s="13"/>
      <c r="BN978" s="13"/>
      <c r="BO978" s="13"/>
      <c r="BP978" s="13"/>
      <c r="BQ978" s="13"/>
      <c r="BR978" s="13"/>
      <c r="BS978" s="13"/>
      <c r="BT978" s="13"/>
      <c r="BU978" s="13"/>
      <c r="BV978" s="13"/>
      <c r="BW978" s="13"/>
      <c r="BX978" s="13"/>
      <c r="BY978" s="13"/>
      <c r="BZ978" s="13"/>
      <c r="CA978" s="13"/>
      <c r="CB978" s="13"/>
      <c r="CC978" s="13"/>
      <c r="CD978" s="13"/>
      <c r="CE978" s="13"/>
      <c r="CF978" s="13"/>
      <c r="CG978" s="13"/>
      <c r="CH978" s="13"/>
      <c r="CI978" s="13"/>
      <c r="CJ978" s="13"/>
      <c r="CK978" s="13"/>
      <c r="CL978" s="13"/>
      <c r="CM978" s="13"/>
      <c r="CN978" s="13"/>
      <c r="CO978" s="13"/>
      <c r="CP978" s="13"/>
      <c r="CQ978" s="13"/>
      <c r="CR978" s="13"/>
      <c r="CS978" s="13"/>
      <c r="CT978" s="13"/>
      <c r="CU978" s="13"/>
      <c r="CV978" s="13"/>
      <c r="CW978" s="13"/>
      <c r="CX978" s="13"/>
    </row>
    <row r="979" spans="1:102" ht="12.75" hidden="1">
      <c r="A979" s="281" t="s">
        <v>567</v>
      </c>
      <c r="B979" s="208"/>
      <c r="C979" s="208"/>
      <c r="D979" s="282">
        <f aca="true" t="shared" si="69" ref="D979:J979">D980</f>
        <v>0</v>
      </c>
      <c r="E979" s="282">
        <f t="shared" si="69"/>
        <v>0</v>
      </c>
      <c r="F979" s="282">
        <f t="shared" si="69"/>
        <v>0</v>
      </c>
      <c r="G979" s="282">
        <f t="shared" si="69"/>
        <v>0</v>
      </c>
      <c r="H979" s="282">
        <f t="shared" si="69"/>
        <v>200000000</v>
      </c>
      <c r="I979" s="282">
        <f t="shared" si="69"/>
        <v>200000000</v>
      </c>
      <c r="J979" s="282">
        <f t="shared" si="69"/>
        <v>200000000</v>
      </c>
      <c r="K979" s="284"/>
      <c r="L979" s="284"/>
      <c r="M979" s="284"/>
      <c r="N979" s="282">
        <f>N980</f>
        <v>0</v>
      </c>
      <c r="O979" s="282">
        <f>O980</f>
        <v>0</v>
      </c>
      <c r="P979" s="282">
        <f>P980</f>
        <v>0</v>
      </c>
      <c r="Q979" s="317"/>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c r="BH979" s="13"/>
      <c r="BI979" s="13"/>
      <c r="BJ979" s="13"/>
      <c r="BK979" s="13"/>
      <c r="BL979" s="13"/>
      <c r="BM979" s="13"/>
      <c r="BN979" s="13"/>
      <c r="BO979" s="13"/>
      <c r="BP979" s="13"/>
      <c r="BQ979" s="13"/>
      <c r="BR979" s="13"/>
      <c r="BS979" s="13"/>
      <c r="BT979" s="13"/>
      <c r="BU979" s="13"/>
      <c r="BV979" s="13"/>
      <c r="BW979" s="13"/>
      <c r="BX979" s="13"/>
      <c r="BY979" s="13"/>
      <c r="BZ979" s="13"/>
      <c r="CA979" s="13"/>
      <c r="CB979" s="13"/>
      <c r="CC979" s="13"/>
      <c r="CD979" s="13"/>
      <c r="CE979" s="13"/>
      <c r="CF979" s="13"/>
      <c r="CG979" s="13"/>
      <c r="CH979" s="13"/>
      <c r="CI979" s="13"/>
      <c r="CJ979" s="13"/>
      <c r="CK979" s="13"/>
      <c r="CL979" s="13"/>
      <c r="CM979" s="13"/>
      <c r="CN979" s="13"/>
      <c r="CO979" s="13"/>
      <c r="CP979" s="13"/>
      <c r="CQ979" s="13"/>
      <c r="CR979" s="13"/>
      <c r="CS979" s="13"/>
      <c r="CT979" s="13"/>
      <c r="CU979" s="13"/>
      <c r="CV979" s="13"/>
      <c r="CW979" s="13"/>
      <c r="CX979" s="13"/>
    </row>
    <row r="980" spans="1:102" ht="25.5" hidden="1">
      <c r="A980" s="286" t="s">
        <v>568</v>
      </c>
      <c r="B980" s="287"/>
      <c r="C980" s="287"/>
      <c r="D980" s="288">
        <f>D982</f>
        <v>0</v>
      </c>
      <c r="E980" s="288">
        <f>E982</f>
        <v>0</v>
      </c>
      <c r="F980" s="288">
        <f>E980+D980</f>
        <v>0</v>
      </c>
      <c r="G980" s="288">
        <f>G982</f>
        <v>0</v>
      </c>
      <c r="H980" s="288">
        <f>H982</f>
        <v>200000000</v>
      </c>
      <c r="I980" s="288">
        <f>H980+G980</f>
        <v>200000000</v>
      </c>
      <c r="J980" s="288">
        <f>G980+H980</f>
        <v>200000000</v>
      </c>
      <c r="K980" s="289"/>
      <c r="L980" s="289"/>
      <c r="M980" s="289"/>
      <c r="N980" s="288">
        <f>N982</f>
        <v>0</v>
      </c>
      <c r="O980" s="288">
        <f>O982</f>
        <v>0</v>
      </c>
      <c r="P980" s="288">
        <f>O980+N980</f>
        <v>0</v>
      </c>
      <c r="Q980" s="317"/>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c r="BD980" s="13"/>
      <c r="BE980" s="13"/>
      <c r="BF980" s="13"/>
      <c r="BG980" s="13"/>
      <c r="BH980" s="13"/>
      <c r="BI980" s="13"/>
      <c r="BJ980" s="13"/>
      <c r="BK980" s="13"/>
      <c r="BL980" s="13"/>
      <c r="BM980" s="13"/>
      <c r="BN980" s="13"/>
      <c r="BO980" s="13"/>
      <c r="BP980" s="13"/>
      <c r="BQ980" s="13"/>
      <c r="BR980" s="13"/>
      <c r="BS980" s="13"/>
      <c r="BT980" s="13"/>
      <c r="BU980" s="13"/>
      <c r="BV980" s="13"/>
      <c r="BW980" s="13"/>
      <c r="BX980" s="13"/>
      <c r="BY980" s="13"/>
      <c r="BZ980" s="13"/>
      <c r="CA980" s="13"/>
      <c r="CB980" s="13"/>
      <c r="CC980" s="13"/>
      <c r="CD980" s="13"/>
      <c r="CE980" s="13"/>
      <c r="CF980" s="13"/>
      <c r="CG980" s="13"/>
      <c r="CH980" s="13"/>
      <c r="CI980" s="13"/>
      <c r="CJ980" s="13"/>
      <c r="CK980" s="13"/>
      <c r="CL980" s="13"/>
      <c r="CM980" s="13"/>
      <c r="CN980" s="13"/>
      <c r="CO980" s="13"/>
      <c r="CP980" s="13"/>
      <c r="CQ980" s="13"/>
      <c r="CR980" s="13"/>
      <c r="CS980" s="13"/>
      <c r="CT980" s="13"/>
      <c r="CU980" s="13"/>
      <c r="CV980" s="13"/>
      <c r="CW980" s="13"/>
      <c r="CX980" s="13"/>
    </row>
    <row r="981" spans="1:102" ht="12.75" hidden="1">
      <c r="A981" s="133" t="s">
        <v>183</v>
      </c>
      <c r="B981" s="292"/>
      <c r="C981" s="292"/>
      <c r="D981" s="293"/>
      <c r="E981" s="294"/>
      <c r="F981" s="295"/>
      <c r="G981" s="293"/>
      <c r="H981" s="294"/>
      <c r="I981" s="295"/>
      <c r="J981" s="295"/>
      <c r="K981" s="296"/>
      <c r="L981" s="296"/>
      <c r="M981" s="296"/>
      <c r="N981" s="293"/>
      <c r="O981" s="294"/>
      <c r="P981" s="295"/>
      <c r="Q981" s="317"/>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c r="BJ981" s="13"/>
      <c r="BK981" s="13"/>
      <c r="BL981" s="13"/>
      <c r="BM981" s="13"/>
      <c r="BN981" s="13"/>
      <c r="BO981" s="13"/>
      <c r="BP981" s="13"/>
      <c r="BQ981" s="13"/>
      <c r="BR981" s="13"/>
      <c r="BS981" s="13"/>
      <c r="BT981" s="13"/>
      <c r="BU981" s="13"/>
      <c r="BV981" s="13"/>
      <c r="BW981" s="13"/>
      <c r="BX981" s="13"/>
      <c r="BY981" s="13"/>
      <c r="BZ981" s="13"/>
      <c r="CA981" s="13"/>
      <c r="CB981" s="13"/>
      <c r="CC981" s="13"/>
      <c r="CD981" s="13"/>
      <c r="CE981" s="13"/>
      <c r="CF981" s="13"/>
      <c r="CG981" s="13"/>
      <c r="CH981" s="13"/>
      <c r="CI981" s="13"/>
      <c r="CJ981" s="13"/>
      <c r="CK981" s="13"/>
      <c r="CL981" s="13"/>
      <c r="CM981" s="13"/>
      <c r="CN981" s="13"/>
      <c r="CO981" s="13"/>
      <c r="CP981" s="13"/>
      <c r="CQ981" s="13"/>
      <c r="CR981" s="13"/>
      <c r="CS981" s="13"/>
      <c r="CT981" s="13"/>
      <c r="CU981" s="13"/>
      <c r="CV981" s="13"/>
      <c r="CW981" s="13"/>
      <c r="CX981" s="13"/>
    </row>
    <row r="982" spans="1:102" ht="12.75" hidden="1">
      <c r="A982" s="134" t="s">
        <v>204</v>
      </c>
      <c r="B982" s="292"/>
      <c r="C982" s="292"/>
      <c r="D982" s="299"/>
      <c r="E982" s="295"/>
      <c r="F982" s="295">
        <f>E982+D982</f>
        <v>0</v>
      </c>
      <c r="G982" s="295"/>
      <c r="H982" s="295">
        <f>200000000</f>
        <v>200000000</v>
      </c>
      <c r="I982" s="295">
        <f>H982+G982</f>
        <v>200000000</v>
      </c>
      <c r="J982" s="295">
        <f>G982+H982</f>
        <v>200000000</v>
      </c>
      <c r="K982" s="296"/>
      <c r="L982" s="296"/>
      <c r="M982" s="296"/>
      <c r="N982" s="295">
        <v>0</v>
      </c>
      <c r="O982" s="295">
        <v>0</v>
      </c>
      <c r="P982" s="295">
        <f>O982+N982</f>
        <v>0</v>
      </c>
      <c r="Q982" s="317"/>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c r="CA982" s="13"/>
      <c r="CB982" s="13"/>
      <c r="CC982" s="13"/>
      <c r="CD982" s="13"/>
      <c r="CE982" s="13"/>
      <c r="CF982" s="13"/>
      <c r="CG982" s="13"/>
      <c r="CH982" s="13"/>
      <c r="CI982" s="13"/>
      <c r="CJ982" s="13"/>
      <c r="CK982" s="13"/>
      <c r="CL982" s="13"/>
      <c r="CM982" s="13"/>
      <c r="CN982" s="13"/>
      <c r="CO982" s="13"/>
      <c r="CP982" s="13"/>
      <c r="CQ982" s="13"/>
      <c r="CR982" s="13"/>
      <c r="CS982" s="13"/>
      <c r="CT982" s="13"/>
      <c r="CU982" s="13"/>
      <c r="CV982" s="13"/>
      <c r="CW982" s="13"/>
      <c r="CX982" s="13"/>
    </row>
    <row r="983" spans="1:102" ht="12.75" hidden="1">
      <c r="A983" s="133" t="s">
        <v>184</v>
      </c>
      <c r="B983" s="292"/>
      <c r="C983" s="292"/>
      <c r="D983" s="293"/>
      <c r="E983" s="295"/>
      <c r="F983" s="295"/>
      <c r="G983" s="293"/>
      <c r="H983" s="295"/>
      <c r="I983" s="295"/>
      <c r="J983" s="295"/>
      <c r="K983" s="296"/>
      <c r="L983" s="296"/>
      <c r="M983" s="296"/>
      <c r="N983" s="293"/>
      <c r="O983" s="295"/>
      <c r="P983" s="295"/>
      <c r="Q983" s="317"/>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c r="BD983" s="13"/>
      <c r="BE983" s="13"/>
      <c r="BF983" s="13"/>
      <c r="BG983" s="13"/>
      <c r="BH983" s="13"/>
      <c r="BI983" s="13"/>
      <c r="BJ983" s="13"/>
      <c r="BK983" s="13"/>
      <c r="BL983" s="13"/>
      <c r="BM983" s="13"/>
      <c r="BN983" s="13"/>
      <c r="BO983" s="13"/>
      <c r="BP983" s="13"/>
      <c r="BQ983" s="13"/>
      <c r="BR983" s="13"/>
      <c r="BS983" s="13"/>
      <c r="BT983" s="13"/>
      <c r="BU983" s="13"/>
      <c r="BV983" s="13"/>
      <c r="BW983" s="13"/>
      <c r="BX983" s="13"/>
      <c r="BY983" s="13"/>
      <c r="BZ983" s="13"/>
      <c r="CA983" s="13"/>
      <c r="CB983" s="13"/>
      <c r="CC983" s="13"/>
      <c r="CD983" s="13"/>
      <c r="CE983" s="13"/>
      <c r="CF983" s="13"/>
      <c r="CG983" s="13"/>
      <c r="CH983" s="13"/>
      <c r="CI983" s="13"/>
      <c r="CJ983" s="13"/>
      <c r="CK983" s="13"/>
      <c r="CL983" s="13"/>
      <c r="CM983" s="13"/>
      <c r="CN983" s="13"/>
      <c r="CO983" s="13"/>
      <c r="CP983" s="13"/>
      <c r="CQ983" s="13"/>
      <c r="CR983" s="13"/>
      <c r="CS983" s="13"/>
      <c r="CT983" s="13"/>
      <c r="CU983" s="13"/>
      <c r="CV983" s="13"/>
      <c r="CW983" s="13"/>
      <c r="CX983" s="13"/>
    </row>
    <row r="984" spans="1:102" ht="27" customHeight="1" hidden="1">
      <c r="A984" s="134" t="s">
        <v>570</v>
      </c>
      <c r="B984" s="292"/>
      <c r="C984" s="292"/>
      <c r="D984" s="293"/>
      <c r="E984" s="300"/>
      <c r="F984" s="301">
        <f>E984</f>
        <v>0</v>
      </c>
      <c r="G984" s="307"/>
      <c r="H984" s="300" t="s">
        <v>569</v>
      </c>
      <c r="I984" s="301" t="str">
        <f>H984</f>
        <v>1</v>
      </c>
      <c r="J984" s="301" t="str">
        <f>I984</f>
        <v>1</v>
      </c>
      <c r="K984" s="296"/>
      <c r="L984" s="296"/>
      <c r="M984" s="296"/>
      <c r="N984" s="307"/>
      <c r="O984" s="300"/>
      <c r="P984" s="301">
        <f>O984</f>
        <v>0</v>
      </c>
      <c r="Q984" s="317"/>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c r="CA984" s="13"/>
      <c r="CB984" s="13"/>
      <c r="CC984" s="13"/>
      <c r="CD984" s="13"/>
      <c r="CE984" s="13"/>
      <c r="CF984" s="13"/>
      <c r="CG984" s="13"/>
      <c r="CH984" s="13"/>
      <c r="CI984" s="13"/>
      <c r="CJ984" s="13"/>
      <c r="CK984" s="13"/>
      <c r="CL984" s="13"/>
      <c r="CM984" s="13"/>
      <c r="CN984" s="13"/>
      <c r="CO984" s="13"/>
      <c r="CP984" s="13"/>
      <c r="CQ984" s="13"/>
      <c r="CR984" s="13"/>
      <c r="CS984" s="13"/>
      <c r="CT984" s="13"/>
      <c r="CU984" s="13"/>
      <c r="CV984" s="13"/>
      <c r="CW984" s="13"/>
      <c r="CX984" s="13"/>
    </row>
    <row r="985" spans="1:102" ht="12.75" hidden="1">
      <c r="A985" s="133" t="s">
        <v>186</v>
      </c>
      <c r="B985" s="292"/>
      <c r="C985" s="292"/>
      <c r="D985" s="293"/>
      <c r="E985" s="294"/>
      <c r="F985" s="294"/>
      <c r="G985" s="293"/>
      <c r="H985" s="294"/>
      <c r="I985" s="294"/>
      <c r="J985" s="301"/>
      <c r="K985" s="296"/>
      <c r="L985" s="296"/>
      <c r="M985" s="296"/>
      <c r="N985" s="293"/>
      <c r="O985" s="294"/>
      <c r="P985" s="294"/>
      <c r="Q985" s="317"/>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c r="BD985" s="13"/>
      <c r="BE985" s="13"/>
      <c r="BF985" s="13"/>
      <c r="BG985" s="13"/>
      <c r="BH985" s="13"/>
      <c r="BI985" s="13"/>
      <c r="BJ985" s="13"/>
      <c r="BK985" s="13"/>
      <c r="BL985" s="13"/>
      <c r="BM985" s="13"/>
      <c r="BN985" s="13"/>
      <c r="BO985" s="13"/>
      <c r="BP985" s="13"/>
      <c r="BQ985" s="13"/>
      <c r="BR985" s="13"/>
      <c r="BS985" s="13"/>
      <c r="BT985" s="13"/>
      <c r="BU985" s="13"/>
      <c r="BV985" s="13"/>
      <c r="BW985" s="13"/>
      <c r="BX985" s="13"/>
      <c r="BY985" s="13"/>
      <c r="BZ985" s="13"/>
      <c r="CA985" s="13"/>
      <c r="CB985" s="13"/>
      <c r="CC985" s="13"/>
      <c r="CD985" s="13"/>
      <c r="CE985" s="13"/>
      <c r="CF985" s="13"/>
      <c r="CG985" s="13"/>
      <c r="CH985" s="13"/>
      <c r="CI985" s="13"/>
      <c r="CJ985" s="13"/>
      <c r="CK985" s="13"/>
      <c r="CL985" s="13"/>
      <c r="CM985" s="13"/>
      <c r="CN985" s="13"/>
      <c r="CO985" s="13"/>
      <c r="CP985" s="13"/>
      <c r="CQ985" s="13"/>
      <c r="CR985" s="13"/>
      <c r="CS985" s="13"/>
      <c r="CT985" s="13"/>
      <c r="CU985" s="13"/>
      <c r="CV985" s="13"/>
      <c r="CW985" s="13"/>
      <c r="CX985" s="13"/>
    </row>
    <row r="986" spans="1:102" ht="25.5" hidden="1">
      <c r="A986" s="134" t="s">
        <v>571</v>
      </c>
      <c r="B986" s="292"/>
      <c r="C986" s="292"/>
      <c r="D986" s="295"/>
      <c r="E986" s="295" t="e">
        <f>E982/E984</f>
        <v>#DIV/0!</v>
      </c>
      <c r="F986" s="295" t="e">
        <f>D986+E986</f>
        <v>#DIV/0!</v>
      </c>
      <c r="G986" s="295"/>
      <c r="H986" s="295">
        <f>H982/H984</f>
        <v>200000000</v>
      </c>
      <c r="I986" s="295">
        <f>G986+H986</f>
        <v>200000000</v>
      </c>
      <c r="J986" s="319">
        <f>I986</f>
        <v>200000000</v>
      </c>
      <c r="K986" s="296"/>
      <c r="L986" s="296"/>
      <c r="M986" s="296"/>
      <c r="N986" s="295" t="e">
        <f>N982/N984</f>
        <v>#DIV/0!</v>
      </c>
      <c r="O986" s="295" t="e">
        <f>O982/O984</f>
        <v>#DIV/0!</v>
      </c>
      <c r="P986" s="295" t="e">
        <f>N986+O986</f>
        <v>#DIV/0!</v>
      </c>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c r="BJ986" s="13"/>
      <c r="BK986" s="13"/>
      <c r="BL986" s="13"/>
      <c r="BM986" s="13"/>
      <c r="BN986" s="13"/>
      <c r="BO986" s="13"/>
      <c r="BP986" s="13"/>
      <c r="BQ986" s="13"/>
      <c r="BR986" s="13"/>
      <c r="BS986" s="13"/>
      <c r="BT986" s="13"/>
      <c r="BU986" s="13"/>
      <c r="BV986" s="13"/>
      <c r="BW986" s="13"/>
      <c r="BX986" s="13"/>
      <c r="BY986" s="13"/>
      <c r="BZ986" s="13"/>
      <c r="CA986" s="13"/>
      <c r="CB986" s="13"/>
      <c r="CC986" s="13"/>
      <c r="CD986" s="13"/>
      <c r="CE986" s="13"/>
      <c r="CF986" s="13"/>
      <c r="CG986" s="13"/>
      <c r="CH986" s="13"/>
      <c r="CI986" s="13"/>
      <c r="CJ986" s="13"/>
      <c r="CK986" s="13"/>
      <c r="CL986" s="13"/>
      <c r="CM986" s="13"/>
      <c r="CN986" s="13"/>
      <c r="CO986" s="13"/>
      <c r="CP986" s="13"/>
      <c r="CQ986" s="13"/>
      <c r="CR986" s="13"/>
      <c r="CS986" s="13"/>
      <c r="CT986" s="13"/>
      <c r="CU986" s="13"/>
      <c r="CV986" s="13"/>
      <c r="CW986" s="13"/>
      <c r="CX986" s="13"/>
    </row>
    <row r="987" spans="1:102" ht="12.75" hidden="1">
      <c r="A987" s="281" t="s">
        <v>72</v>
      </c>
      <c r="B987" s="208"/>
      <c r="C987" s="208"/>
      <c r="D987" s="282">
        <f aca="true" t="shared" si="70" ref="D987:J987">D988</f>
        <v>0</v>
      </c>
      <c r="E987" s="282">
        <f t="shared" si="70"/>
        <v>0</v>
      </c>
      <c r="F987" s="282">
        <f t="shared" si="70"/>
        <v>0</v>
      </c>
      <c r="G987" s="282">
        <f t="shared" si="70"/>
        <v>0</v>
      </c>
      <c r="H987" s="282">
        <f t="shared" si="70"/>
        <v>17709000</v>
      </c>
      <c r="I987" s="282">
        <f t="shared" si="70"/>
        <v>17709000</v>
      </c>
      <c r="J987" s="282">
        <f t="shared" si="70"/>
        <v>17709000</v>
      </c>
      <c r="K987" s="284"/>
      <c r="L987" s="284"/>
      <c r="M987" s="284"/>
      <c r="N987" s="282">
        <f>N988</f>
        <v>0</v>
      </c>
      <c r="O987" s="282">
        <f>O988</f>
        <v>0</v>
      </c>
      <c r="P987" s="282">
        <f>P988</f>
        <v>0</v>
      </c>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c r="BD987" s="13"/>
      <c r="BE987" s="13"/>
      <c r="BF987" s="13"/>
      <c r="BG987" s="13"/>
      <c r="BH987" s="13"/>
      <c r="BI987" s="13"/>
      <c r="BJ987" s="13"/>
      <c r="BK987" s="13"/>
      <c r="BL987" s="13"/>
      <c r="BM987" s="13"/>
      <c r="BN987" s="13"/>
      <c r="BO987" s="13"/>
      <c r="BP987" s="13"/>
      <c r="BQ987" s="13"/>
      <c r="BR987" s="13"/>
      <c r="BS987" s="13"/>
      <c r="BT987" s="13"/>
      <c r="BU987" s="13"/>
      <c r="BV987" s="13"/>
      <c r="BW987" s="13"/>
      <c r="BX987" s="13"/>
      <c r="BY987" s="13"/>
      <c r="BZ987" s="13"/>
      <c r="CA987" s="13"/>
      <c r="CB987" s="13"/>
      <c r="CC987" s="13"/>
      <c r="CD987" s="13"/>
      <c r="CE987" s="13"/>
      <c r="CF987" s="13"/>
      <c r="CG987" s="13"/>
      <c r="CH987" s="13"/>
      <c r="CI987" s="13"/>
      <c r="CJ987" s="13"/>
      <c r="CK987" s="13"/>
      <c r="CL987" s="13"/>
      <c r="CM987" s="13"/>
      <c r="CN987" s="13"/>
      <c r="CO987" s="13"/>
      <c r="CP987" s="13"/>
      <c r="CQ987" s="13"/>
      <c r="CR987" s="13"/>
      <c r="CS987" s="13"/>
      <c r="CT987" s="13"/>
      <c r="CU987" s="13"/>
      <c r="CV987" s="13"/>
      <c r="CW987" s="13"/>
      <c r="CX987" s="13"/>
    </row>
    <row r="988" spans="1:102" ht="25.5" hidden="1">
      <c r="A988" s="286" t="s">
        <v>577</v>
      </c>
      <c r="B988" s="287"/>
      <c r="C988" s="287"/>
      <c r="D988" s="288">
        <f>D990</f>
        <v>0</v>
      </c>
      <c r="E988" s="288">
        <f>E990</f>
        <v>0</v>
      </c>
      <c r="F988" s="288">
        <f>E988+D988</f>
        <v>0</v>
      </c>
      <c r="G988" s="288">
        <f>G990</f>
        <v>0</v>
      </c>
      <c r="H988" s="288">
        <f>H990</f>
        <v>17709000</v>
      </c>
      <c r="I988" s="288">
        <f>H988+G988</f>
        <v>17709000</v>
      </c>
      <c r="J988" s="288">
        <f>G988+H988</f>
        <v>17709000</v>
      </c>
      <c r="K988" s="289"/>
      <c r="L988" s="289"/>
      <c r="M988" s="289"/>
      <c r="N988" s="288">
        <f>N990</f>
        <v>0</v>
      </c>
      <c r="O988" s="288">
        <f>O990</f>
        <v>0</v>
      </c>
      <c r="P988" s="288">
        <f>O988+N988</f>
        <v>0</v>
      </c>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c r="BD988" s="13"/>
      <c r="BE988" s="13"/>
      <c r="BF988" s="13"/>
      <c r="BG988" s="13"/>
      <c r="BH988" s="13"/>
      <c r="BI988" s="13"/>
      <c r="BJ988" s="13"/>
      <c r="BK988" s="13"/>
      <c r="BL988" s="13"/>
      <c r="BM988" s="13"/>
      <c r="BN988" s="13"/>
      <c r="BO988" s="13"/>
      <c r="BP988" s="13"/>
      <c r="BQ988" s="13"/>
      <c r="BR988" s="13"/>
      <c r="BS988" s="13"/>
      <c r="BT988" s="13"/>
      <c r="BU988" s="13"/>
      <c r="BV988" s="13"/>
      <c r="BW988" s="13"/>
      <c r="BX988" s="13"/>
      <c r="BY988" s="13"/>
      <c r="BZ988" s="13"/>
      <c r="CA988" s="13"/>
      <c r="CB988" s="13"/>
      <c r="CC988" s="13"/>
      <c r="CD988" s="13"/>
      <c r="CE988" s="13"/>
      <c r="CF988" s="13"/>
      <c r="CG988" s="13"/>
      <c r="CH988" s="13"/>
      <c r="CI988" s="13"/>
      <c r="CJ988" s="13"/>
      <c r="CK988" s="13"/>
      <c r="CL988" s="13"/>
      <c r="CM988" s="13"/>
      <c r="CN988" s="13"/>
      <c r="CO988" s="13"/>
      <c r="CP988" s="13"/>
      <c r="CQ988" s="13"/>
      <c r="CR988" s="13"/>
      <c r="CS988" s="13"/>
      <c r="CT988" s="13"/>
      <c r="CU988" s="13"/>
      <c r="CV988" s="13"/>
      <c r="CW988" s="13"/>
      <c r="CX988" s="13"/>
    </row>
    <row r="989" spans="1:102" ht="12.75" hidden="1">
      <c r="A989" s="133" t="s">
        <v>183</v>
      </c>
      <c r="B989" s="292"/>
      <c r="C989" s="292"/>
      <c r="D989" s="293"/>
      <c r="E989" s="294"/>
      <c r="F989" s="295"/>
      <c r="G989" s="293"/>
      <c r="H989" s="294"/>
      <c r="I989" s="295"/>
      <c r="J989" s="295"/>
      <c r="K989" s="296"/>
      <c r="L989" s="296"/>
      <c r="M989" s="296"/>
      <c r="N989" s="293"/>
      <c r="O989" s="294"/>
      <c r="P989" s="295"/>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c r="CA989" s="13"/>
      <c r="CB989" s="13"/>
      <c r="CC989" s="13"/>
      <c r="CD989" s="13"/>
      <c r="CE989" s="13"/>
      <c r="CF989" s="13"/>
      <c r="CG989" s="13"/>
      <c r="CH989" s="13"/>
      <c r="CI989" s="13"/>
      <c r="CJ989" s="13"/>
      <c r="CK989" s="13"/>
      <c r="CL989" s="13"/>
      <c r="CM989" s="13"/>
      <c r="CN989" s="13"/>
      <c r="CO989" s="13"/>
      <c r="CP989" s="13"/>
      <c r="CQ989" s="13"/>
      <c r="CR989" s="13"/>
      <c r="CS989" s="13"/>
      <c r="CT989" s="13"/>
      <c r="CU989" s="13"/>
      <c r="CV989" s="13"/>
      <c r="CW989" s="13"/>
      <c r="CX989" s="13"/>
    </row>
    <row r="990" spans="1:102" ht="12.75" hidden="1">
      <c r="A990" s="134" t="s">
        <v>204</v>
      </c>
      <c r="B990" s="292"/>
      <c r="C990" s="292"/>
      <c r="D990" s="299"/>
      <c r="E990" s="295"/>
      <c r="F990" s="295">
        <f>E990+D990</f>
        <v>0</v>
      </c>
      <c r="G990" s="295"/>
      <c r="H990" s="295">
        <f>17709000</f>
        <v>17709000</v>
      </c>
      <c r="I990" s="295">
        <f>H990+G990</f>
        <v>17709000</v>
      </c>
      <c r="J990" s="295">
        <f>G990+H990</f>
        <v>17709000</v>
      </c>
      <c r="K990" s="296"/>
      <c r="L990" s="296"/>
      <c r="M990" s="296"/>
      <c r="N990" s="295">
        <v>0</v>
      </c>
      <c r="O990" s="295">
        <v>0</v>
      </c>
      <c r="P990" s="295">
        <f>O990+N990</f>
        <v>0</v>
      </c>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c r="CA990" s="13"/>
      <c r="CB990" s="13"/>
      <c r="CC990" s="13"/>
      <c r="CD990" s="13"/>
      <c r="CE990" s="13"/>
      <c r="CF990" s="13"/>
      <c r="CG990" s="13"/>
      <c r="CH990" s="13"/>
      <c r="CI990" s="13"/>
      <c r="CJ990" s="13"/>
      <c r="CK990" s="13"/>
      <c r="CL990" s="13"/>
      <c r="CM990" s="13"/>
      <c r="CN990" s="13"/>
      <c r="CO990" s="13"/>
      <c r="CP990" s="13"/>
      <c r="CQ990" s="13"/>
      <c r="CR990" s="13"/>
      <c r="CS990" s="13"/>
      <c r="CT990" s="13"/>
      <c r="CU990" s="13"/>
      <c r="CV990" s="13"/>
      <c r="CW990" s="13"/>
      <c r="CX990" s="13"/>
    </row>
    <row r="991" spans="1:102" ht="12.75" hidden="1">
      <c r="A991" s="133" t="s">
        <v>184</v>
      </c>
      <c r="B991" s="292"/>
      <c r="C991" s="292"/>
      <c r="D991" s="293"/>
      <c r="E991" s="295"/>
      <c r="F991" s="295"/>
      <c r="G991" s="293"/>
      <c r="H991" s="295"/>
      <c r="I991" s="295"/>
      <c r="J991" s="295"/>
      <c r="K991" s="296"/>
      <c r="L991" s="296"/>
      <c r="M991" s="296"/>
      <c r="N991" s="293"/>
      <c r="O991" s="295"/>
      <c r="P991" s="295"/>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c r="BH991" s="13"/>
      <c r="BI991" s="13"/>
      <c r="BJ991" s="13"/>
      <c r="BK991" s="13"/>
      <c r="BL991" s="13"/>
      <c r="BM991" s="13"/>
      <c r="BN991" s="13"/>
      <c r="BO991" s="13"/>
      <c r="BP991" s="13"/>
      <c r="BQ991" s="13"/>
      <c r="BR991" s="13"/>
      <c r="BS991" s="13"/>
      <c r="BT991" s="13"/>
      <c r="BU991" s="13"/>
      <c r="BV991" s="13"/>
      <c r="BW991" s="13"/>
      <c r="BX991" s="13"/>
      <c r="BY991" s="13"/>
      <c r="BZ991" s="13"/>
      <c r="CA991" s="13"/>
      <c r="CB991" s="13"/>
      <c r="CC991" s="13"/>
      <c r="CD991" s="13"/>
      <c r="CE991" s="13"/>
      <c r="CF991" s="13"/>
      <c r="CG991" s="13"/>
      <c r="CH991" s="13"/>
      <c r="CI991" s="13"/>
      <c r="CJ991" s="13"/>
      <c r="CK991" s="13"/>
      <c r="CL991" s="13"/>
      <c r="CM991" s="13"/>
      <c r="CN991" s="13"/>
      <c r="CO991" s="13"/>
      <c r="CP991" s="13"/>
      <c r="CQ991" s="13"/>
      <c r="CR991" s="13"/>
      <c r="CS991" s="13"/>
      <c r="CT991" s="13"/>
      <c r="CU991" s="13"/>
      <c r="CV991" s="13"/>
      <c r="CW991" s="13"/>
      <c r="CX991" s="13"/>
    </row>
    <row r="992" spans="1:102" ht="25.5" hidden="1">
      <c r="A992" s="134" t="s">
        <v>578</v>
      </c>
      <c r="B992" s="292"/>
      <c r="C992" s="292"/>
      <c r="D992" s="293"/>
      <c r="E992" s="300"/>
      <c r="F992" s="301">
        <f>E992</f>
        <v>0</v>
      </c>
      <c r="G992" s="307"/>
      <c r="H992" s="300" t="s">
        <v>539</v>
      </c>
      <c r="I992" s="301" t="str">
        <f>H992</f>
        <v>2</v>
      </c>
      <c r="J992" s="301" t="str">
        <f>I992</f>
        <v>2</v>
      </c>
      <c r="K992" s="296"/>
      <c r="L992" s="296"/>
      <c r="M992" s="296"/>
      <c r="N992" s="307"/>
      <c r="O992" s="300"/>
      <c r="P992" s="301">
        <f>O992</f>
        <v>0</v>
      </c>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c r="BD992" s="13"/>
      <c r="BE992" s="13"/>
      <c r="BF992" s="13"/>
      <c r="BG992" s="13"/>
      <c r="BH992" s="13"/>
      <c r="BI992" s="13"/>
      <c r="BJ992" s="13"/>
      <c r="BK992" s="13"/>
      <c r="BL992" s="13"/>
      <c r="BM992" s="13"/>
      <c r="BN992" s="13"/>
      <c r="BO992" s="13"/>
      <c r="BP992" s="13"/>
      <c r="BQ992" s="13"/>
      <c r="BR992" s="13"/>
      <c r="BS992" s="13"/>
      <c r="BT992" s="13"/>
      <c r="BU992" s="13"/>
      <c r="BV992" s="13"/>
      <c r="BW992" s="13"/>
      <c r="BX992" s="13"/>
      <c r="BY992" s="13"/>
      <c r="BZ992" s="13"/>
      <c r="CA992" s="13"/>
      <c r="CB992" s="13"/>
      <c r="CC992" s="13"/>
      <c r="CD992" s="13"/>
      <c r="CE992" s="13"/>
      <c r="CF992" s="13"/>
      <c r="CG992" s="13"/>
      <c r="CH992" s="13"/>
      <c r="CI992" s="13"/>
      <c r="CJ992" s="13"/>
      <c r="CK992" s="13"/>
      <c r="CL992" s="13"/>
      <c r="CM992" s="13"/>
      <c r="CN992" s="13"/>
      <c r="CO992" s="13"/>
      <c r="CP992" s="13"/>
      <c r="CQ992" s="13"/>
      <c r="CR992" s="13"/>
      <c r="CS992" s="13"/>
      <c r="CT992" s="13"/>
      <c r="CU992" s="13"/>
      <c r="CV992" s="13"/>
      <c r="CW992" s="13"/>
      <c r="CX992" s="13"/>
    </row>
    <row r="993" spans="1:102" ht="12.75" hidden="1">
      <c r="A993" s="133" t="s">
        <v>186</v>
      </c>
      <c r="B993" s="292"/>
      <c r="C993" s="292"/>
      <c r="D993" s="293"/>
      <c r="E993" s="294"/>
      <c r="F993" s="294"/>
      <c r="G993" s="293"/>
      <c r="H993" s="294"/>
      <c r="I993" s="294"/>
      <c r="J993" s="301"/>
      <c r="K993" s="296"/>
      <c r="L993" s="296"/>
      <c r="M993" s="296"/>
      <c r="N993" s="293"/>
      <c r="O993" s="294"/>
      <c r="P993" s="294"/>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c r="BE993" s="13"/>
      <c r="BF993" s="13"/>
      <c r="BG993" s="13"/>
      <c r="BH993" s="13"/>
      <c r="BI993" s="13"/>
      <c r="BJ993" s="13"/>
      <c r="BK993" s="13"/>
      <c r="BL993" s="13"/>
      <c r="BM993" s="13"/>
      <c r="BN993" s="13"/>
      <c r="BO993" s="13"/>
      <c r="BP993" s="13"/>
      <c r="BQ993" s="13"/>
      <c r="BR993" s="13"/>
      <c r="BS993" s="13"/>
      <c r="BT993" s="13"/>
      <c r="BU993" s="13"/>
      <c r="BV993" s="13"/>
      <c r="BW993" s="13"/>
      <c r="BX993" s="13"/>
      <c r="BY993" s="13"/>
      <c r="BZ993" s="13"/>
      <c r="CA993" s="13"/>
      <c r="CB993" s="13"/>
      <c r="CC993" s="13"/>
      <c r="CD993" s="13"/>
      <c r="CE993" s="13"/>
      <c r="CF993" s="13"/>
      <c r="CG993" s="13"/>
      <c r="CH993" s="13"/>
      <c r="CI993" s="13"/>
      <c r="CJ993" s="13"/>
      <c r="CK993" s="13"/>
      <c r="CL993" s="13"/>
      <c r="CM993" s="13"/>
      <c r="CN993" s="13"/>
      <c r="CO993" s="13"/>
      <c r="CP993" s="13"/>
      <c r="CQ993" s="13"/>
      <c r="CR993" s="13"/>
      <c r="CS993" s="13"/>
      <c r="CT993" s="13"/>
      <c r="CU993" s="13"/>
      <c r="CV993" s="13"/>
      <c r="CW993" s="13"/>
      <c r="CX993" s="13"/>
    </row>
    <row r="994" spans="1:102" ht="25.5" hidden="1">
      <c r="A994" s="134" t="s">
        <v>579</v>
      </c>
      <c r="B994" s="292"/>
      <c r="C994" s="292"/>
      <c r="D994" s="295"/>
      <c r="E994" s="295" t="e">
        <f>E990/E992</f>
        <v>#DIV/0!</v>
      </c>
      <c r="F994" s="295" t="e">
        <f>D994+E994</f>
        <v>#DIV/0!</v>
      </c>
      <c r="G994" s="295"/>
      <c r="H994" s="295">
        <f>H990/H992</f>
        <v>8854500</v>
      </c>
      <c r="I994" s="295">
        <f>G994+H994</f>
        <v>8854500</v>
      </c>
      <c r="J994" s="319">
        <f>I994</f>
        <v>8854500</v>
      </c>
      <c r="K994" s="296"/>
      <c r="L994" s="296"/>
      <c r="M994" s="296"/>
      <c r="N994" s="295" t="e">
        <f>N990/N992</f>
        <v>#DIV/0!</v>
      </c>
      <c r="O994" s="295" t="e">
        <f>O990/O992</f>
        <v>#DIV/0!</v>
      </c>
      <c r="P994" s="295" t="e">
        <f>N994+O994</f>
        <v>#DIV/0!</v>
      </c>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c r="BH994" s="13"/>
      <c r="BI994" s="13"/>
      <c r="BJ994" s="13"/>
      <c r="BK994" s="13"/>
      <c r="BL994" s="13"/>
      <c r="BM994" s="13"/>
      <c r="BN994" s="13"/>
      <c r="BO994" s="13"/>
      <c r="BP994" s="13"/>
      <c r="BQ994" s="13"/>
      <c r="BR994" s="13"/>
      <c r="BS994" s="13"/>
      <c r="BT994" s="13"/>
      <c r="BU994" s="13"/>
      <c r="BV994" s="13"/>
      <c r="BW994" s="13"/>
      <c r="BX994" s="13"/>
      <c r="BY994" s="13"/>
      <c r="BZ994" s="13"/>
      <c r="CA994" s="13"/>
      <c r="CB994" s="13"/>
      <c r="CC994" s="13"/>
      <c r="CD994" s="13"/>
      <c r="CE994" s="13"/>
      <c r="CF994" s="13"/>
      <c r="CG994" s="13"/>
      <c r="CH994" s="13"/>
      <c r="CI994" s="13"/>
      <c r="CJ994" s="13"/>
      <c r="CK994" s="13"/>
      <c r="CL994" s="13"/>
      <c r="CM994" s="13"/>
      <c r="CN994" s="13"/>
      <c r="CO994" s="13"/>
      <c r="CP994" s="13"/>
      <c r="CQ994" s="13"/>
      <c r="CR994" s="13"/>
      <c r="CS994" s="13"/>
      <c r="CT994" s="13"/>
      <c r="CU994" s="13"/>
      <c r="CV994" s="13"/>
      <c r="CW994" s="13"/>
      <c r="CX994" s="13"/>
    </row>
    <row r="995" spans="1:102" ht="12.75" hidden="1">
      <c r="A995" s="281" t="s">
        <v>581</v>
      </c>
      <c r="B995" s="208"/>
      <c r="C995" s="208"/>
      <c r="D995" s="282">
        <f aca="true" t="shared" si="71" ref="D995:J995">D996</f>
        <v>0</v>
      </c>
      <c r="E995" s="282">
        <f t="shared" si="71"/>
        <v>0</v>
      </c>
      <c r="F995" s="282">
        <f t="shared" si="71"/>
        <v>0</v>
      </c>
      <c r="G995" s="282">
        <f t="shared" si="71"/>
        <v>0</v>
      </c>
      <c r="H995" s="282">
        <f t="shared" si="71"/>
        <v>15622974</v>
      </c>
      <c r="I995" s="282">
        <f t="shared" si="71"/>
        <v>15622974</v>
      </c>
      <c r="J995" s="282">
        <f t="shared" si="71"/>
        <v>15622974</v>
      </c>
      <c r="K995" s="284"/>
      <c r="L995" s="284"/>
      <c r="M995" s="284"/>
      <c r="N995" s="282">
        <f>N996</f>
        <v>0</v>
      </c>
      <c r="O995" s="282">
        <f>O996</f>
        <v>0</v>
      </c>
      <c r="P995" s="282">
        <f>P996</f>
        <v>0</v>
      </c>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c r="BH995" s="13"/>
      <c r="BI995" s="13"/>
      <c r="BJ995" s="13"/>
      <c r="BK995" s="13"/>
      <c r="BL995" s="13"/>
      <c r="BM995" s="13"/>
      <c r="BN995" s="13"/>
      <c r="BO995" s="13"/>
      <c r="BP995" s="13"/>
      <c r="BQ995" s="13"/>
      <c r="BR995" s="13"/>
      <c r="BS995" s="13"/>
      <c r="BT995" s="13"/>
      <c r="BU995" s="13"/>
      <c r="BV995" s="13"/>
      <c r="BW995" s="13"/>
      <c r="BX995" s="13"/>
      <c r="BY995" s="13"/>
      <c r="BZ995" s="13"/>
      <c r="CA995" s="13"/>
      <c r="CB995" s="13"/>
      <c r="CC995" s="13"/>
      <c r="CD995" s="13"/>
      <c r="CE995" s="13"/>
      <c r="CF995" s="13"/>
      <c r="CG995" s="13"/>
      <c r="CH995" s="13"/>
      <c r="CI995" s="13"/>
      <c r="CJ995" s="13"/>
      <c r="CK995" s="13"/>
      <c r="CL995" s="13"/>
      <c r="CM995" s="13"/>
      <c r="CN995" s="13"/>
      <c r="CO995" s="13"/>
      <c r="CP995" s="13"/>
      <c r="CQ995" s="13"/>
      <c r="CR995" s="13"/>
      <c r="CS995" s="13"/>
      <c r="CT995" s="13"/>
      <c r="CU995" s="13"/>
      <c r="CV995" s="13"/>
      <c r="CW995" s="13"/>
      <c r="CX995" s="13"/>
    </row>
    <row r="996" spans="1:102" ht="38.25" hidden="1">
      <c r="A996" s="286" t="s">
        <v>582</v>
      </c>
      <c r="B996" s="287"/>
      <c r="C996" s="287"/>
      <c r="D996" s="288">
        <f>D998</f>
        <v>0</v>
      </c>
      <c r="E996" s="288">
        <f>E998</f>
        <v>0</v>
      </c>
      <c r="F996" s="288">
        <f>E996+D996</f>
        <v>0</v>
      </c>
      <c r="G996" s="288">
        <f>G998</f>
        <v>0</v>
      </c>
      <c r="H996" s="288">
        <f>H998</f>
        <v>15622974</v>
      </c>
      <c r="I996" s="288">
        <f>H996+G996</f>
        <v>15622974</v>
      </c>
      <c r="J996" s="288">
        <f>G996+H996</f>
        <v>15622974</v>
      </c>
      <c r="K996" s="289"/>
      <c r="L996" s="289"/>
      <c r="M996" s="289"/>
      <c r="N996" s="288">
        <f>N998</f>
        <v>0</v>
      </c>
      <c r="O996" s="288">
        <f>O998</f>
        <v>0</v>
      </c>
      <c r="P996" s="288">
        <f>O996+N996</f>
        <v>0</v>
      </c>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c r="BH996" s="13"/>
      <c r="BI996" s="13"/>
      <c r="BJ996" s="13"/>
      <c r="BK996" s="13"/>
      <c r="BL996" s="13"/>
      <c r="BM996" s="13"/>
      <c r="BN996" s="13"/>
      <c r="BO996" s="13"/>
      <c r="BP996" s="13"/>
      <c r="BQ996" s="13"/>
      <c r="BR996" s="13"/>
      <c r="BS996" s="13"/>
      <c r="BT996" s="13"/>
      <c r="BU996" s="13"/>
      <c r="BV996" s="13"/>
      <c r="BW996" s="13"/>
      <c r="BX996" s="13"/>
      <c r="BY996" s="13"/>
      <c r="BZ996" s="13"/>
      <c r="CA996" s="13"/>
      <c r="CB996" s="13"/>
      <c r="CC996" s="13"/>
      <c r="CD996" s="13"/>
      <c r="CE996" s="13"/>
      <c r="CF996" s="13"/>
      <c r="CG996" s="13"/>
      <c r="CH996" s="13"/>
      <c r="CI996" s="13"/>
      <c r="CJ996" s="13"/>
      <c r="CK996" s="13"/>
      <c r="CL996" s="13"/>
      <c r="CM996" s="13"/>
      <c r="CN996" s="13"/>
      <c r="CO996" s="13"/>
      <c r="CP996" s="13"/>
      <c r="CQ996" s="13"/>
      <c r="CR996" s="13"/>
      <c r="CS996" s="13"/>
      <c r="CT996" s="13"/>
      <c r="CU996" s="13"/>
      <c r="CV996" s="13"/>
      <c r="CW996" s="13"/>
      <c r="CX996" s="13"/>
    </row>
    <row r="997" spans="1:102" ht="12.75" hidden="1">
      <c r="A997" s="133" t="s">
        <v>183</v>
      </c>
      <c r="B997" s="292"/>
      <c r="C997" s="292"/>
      <c r="D997" s="293"/>
      <c r="E997" s="294"/>
      <c r="F997" s="295"/>
      <c r="G997" s="293"/>
      <c r="H997" s="294"/>
      <c r="I997" s="295"/>
      <c r="J997" s="295"/>
      <c r="K997" s="296"/>
      <c r="L997" s="296"/>
      <c r="M997" s="296"/>
      <c r="N997" s="293"/>
      <c r="O997" s="294"/>
      <c r="P997" s="295"/>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c r="BH997" s="13"/>
      <c r="BI997" s="13"/>
      <c r="BJ997" s="13"/>
      <c r="BK997" s="13"/>
      <c r="BL997" s="13"/>
      <c r="BM997" s="13"/>
      <c r="BN997" s="13"/>
      <c r="BO997" s="13"/>
      <c r="BP997" s="13"/>
      <c r="BQ997" s="13"/>
      <c r="BR997" s="13"/>
      <c r="BS997" s="13"/>
      <c r="BT997" s="13"/>
      <c r="BU997" s="13"/>
      <c r="BV997" s="13"/>
      <c r="BW997" s="13"/>
      <c r="BX997" s="13"/>
      <c r="BY997" s="13"/>
      <c r="BZ997" s="13"/>
      <c r="CA997" s="13"/>
      <c r="CB997" s="13"/>
      <c r="CC997" s="13"/>
      <c r="CD997" s="13"/>
      <c r="CE997" s="13"/>
      <c r="CF997" s="13"/>
      <c r="CG997" s="13"/>
      <c r="CH997" s="13"/>
      <c r="CI997" s="13"/>
      <c r="CJ997" s="13"/>
      <c r="CK997" s="13"/>
      <c r="CL997" s="13"/>
      <c r="CM997" s="13"/>
      <c r="CN997" s="13"/>
      <c r="CO997" s="13"/>
      <c r="CP997" s="13"/>
      <c r="CQ997" s="13"/>
      <c r="CR997" s="13"/>
      <c r="CS997" s="13"/>
      <c r="CT997" s="13"/>
      <c r="CU997" s="13"/>
      <c r="CV997" s="13"/>
      <c r="CW997" s="13"/>
      <c r="CX997" s="13"/>
    </row>
    <row r="998" spans="1:102" ht="12.75" hidden="1">
      <c r="A998" s="134" t="s">
        <v>204</v>
      </c>
      <c r="B998" s="292"/>
      <c r="C998" s="292"/>
      <c r="D998" s="299"/>
      <c r="E998" s="295"/>
      <c r="F998" s="295">
        <f>E998+D998</f>
        <v>0</v>
      </c>
      <c r="G998" s="295"/>
      <c r="H998" s="295">
        <f>15622974</f>
        <v>15622974</v>
      </c>
      <c r="I998" s="295">
        <f>H998+G998</f>
        <v>15622974</v>
      </c>
      <c r="J998" s="295">
        <f>G998+H998</f>
        <v>15622974</v>
      </c>
      <c r="K998" s="296"/>
      <c r="L998" s="296"/>
      <c r="M998" s="296"/>
      <c r="N998" s="295">
        <v>0</v>
      </c>
      <c r="O998" s="295">
        <v>0</v>
      </c>
      <c r="P998" s="295">
        <f>O998+N998</f>
        <v>0</v>
      </c>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c r="CA998" s="13"/>
      <c r="CB998" s="13"/>
      <c r="CC998" s="13"/>
      <c r="CD998" s="13"/>
      <c r="CE998" s="13"/>
      <c r="CF998" s="13"/>
      <c r="CG998" s="13"/>
      <c r="CH998" s="13"/>
      <c r="CI998" s="13"/>
      <c r="CJ998" s="13"/>
      <c r="CK998" s="13"/>
      <c r="CL998" s="13"/>
      <c r="CM998" s="13"/>
      <c r="CN998" s="13"/>
      <c r="CO998" s="13"/>
      <c r="CP998" s="13"/>
      <c r="CQ998" s="13"/>
      <c r="CR998" s="13"/>
      <c r="CS998" s="13"/>
      <c r="CT998" s="13"/>
      <c r="CU998" s="13"/>
      <c r="CV998" s="13"/>
      <c r="CW998" s="13"/>
      <c r="CX998" s="13"/>
    </row>
    <row r="999" spans="1:102" ht="12.75" hidden="1">
      <c r="A999" s="133" t="s">
        <v>184</v>
      </c>
      <c r="B999" s="292"/>
      <c r="C999" s="292"/>
      <c r="D999" s="293"/>
      <c r="E999" s="295"/>
      <c r="F999" s="295"/>
      <c r="G999" s="293"/>
      <c r="H999" s="295"/>
      <c r="I999" s="295"/>
      <c r="J999" s="295"/>
      <c r="K999" s="296"/>
      <c r="L999" s="296"/>
      <c r="M999" s="296"/>
      <c r="N999" s="293"/>
      <c r="O999" s="295"/>
      <c r="P999" s="295"/>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c r="CA999" s="13"/>
      <c r="CB999" s="13"/>
      <c r="CC999" s="13"/>
      <c r="CD999" s="13"/>
      <c r="CE999" s="13"/>
      <c r="CF999" s="13"/>
      <c r="CG999" s="13"/>
      <c r="CH999" s="13"/>
      <c r="CI999" s="13"/>
      <c r="CJ999" s="13"/>
      <c r="CK999" s="13"/>
      <c r="CL999" s="13"/>
      <c r="CM999" s="13"/>
      <c r="CN999" s="13"/>
      <c r="CO999" s="13"/>
      <c r="CP999" s="13"/>
      <c r="CQ999" s="13"/>
      <c r="CR999" s="13"/>
      <c r="CS999" s="13"/>
      <c r="CT999" s="13"/>
      <c r="CU999" s="13"/>
      <c r="CV999" s="13"/>
      <c r="CW999" s="13"/>
      <c r="CX999" s="13"/>
    </row>
    <row r="1000" spans="1:102" ht="25.5" hidden="1">
      <c r="A1000" s="134" t="s">
        <v>578</v>
      </c>
      <c r="B1000" s="292"/>
      <c r="C1000" s="292"/>
      <c r="D1000" s="293"/>
      <c r="E1000" s="300"/>
      <c r="F1000" s="301">
        <f>E1000</f>
        <v>0</v>
      </c>
      <c r="G1000" s="307"/>
      <c r="H1000" s="300" t="s">
        <v>569</v>
      </c>
      <c r="I1000" s="301" t="str">
        <f>H1000</f>
        <v>1</v>
      </c>
      <c r="J1000" s="301" t="str">
        <f>I1000</f>
        <v>1</v>
      </c>
      <c r="K1000" s="296"/>
      <c r="L1000" s="296"/>
      <c r="M1000" s="296"/>
      <c r="N1000" s="307"/>
      <c r="O1000" s="300"/>
      <c r="P1000" s="301">
        <f>O1000</f>
        <v>0</v>
      </c>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c r="BD1000" s="13"/>
      <c r="BE1000" s="13"/>
      <c r="BF1000" s="13"/>
      <c r="BG1000" s="13"/>
      <c r="BH1000" s="13"/>
      <c r="BI1000" s="13"/>
      <c r="BJ1000" s="13"/>
      <c r="BK1000" s="13"/>
      <c r="BL1000" s="13"/>
      <c r="BM1000" s="13"/>
      <c r="BN1000" s="13"/>
      <c r="BO1000" s="13"/>
      <c r="BP1000" s="13"/>
      <c r="BQ1000" s="13"/>
      <c r="BR1000" s="13"/>
      <c r="BS1000" s="13"/>
      <c r="BT1000" s="13"/>
      <c r="BU1000" s="13"/>
      <c r="BV1000" s="13"/>
      <c r="BW1000" s="13"/>
      <c r="BX1000" s="13"/>
      <c r="BY1000" s="13"/>
      <c r="BZ1000" s="13"/>
      <c r="CA1000" s="13"/>
      <c r="CB1000" s="13"/>
      <c r="CC1000" s="13"/>
      <c r="CD1000" s="13"/>
      <c r="CE1000" s="13"/>
      <c r="CF1000" s="13"/>
      <c r="CG1000" s="13"/>
      <c r="CH1000" s="13"/>
      <c r="CI1000" s="13"/>
      <c r="CJ1000" s="13"/>
      <c r="CK1000" s="13"/>
      <c r="CL1000" s="13"/>
      <c r="CM1000" s="13"/>
      <c r="CN1000" s="13"/>
      <c r="CO1000" s="13"/>
      <c r="CP1000" s="13"/>
      <c r="CQ1000" s="13"/>
      <c r="CR1000" s="13"/>
      <c r="CS1000" s="13"/>
      <c r="CT1000" s="13"/>
      <c r="CU1000" s="13"/>
      <c r="CV1000" s="13"/>
      <c r="CW1000" s="13"/>
      <c r="CX1000" s="13"/>
    </row>
    <row r="1001" spans="1:102" ht="12.75" hidden="1">
      <c r="A1001" s="133" t="s">
        <v>186</v>
      </c>
      <c r="B1001" s="292"/>
      <c r="C1001" s="292"/>
      <c r="D1001" s="293"/>
      <c r="E1001" s="294"/>
      <c r="F1001" s="294"/>
      <c r="G1001" s="293"/>
      <c r="H1001" s="294"/>
      <c r="I1001" s="294"/>
      <c r="J1001" s="301"/>
      <c r="K1001" s="296"/>
      <c r="L1001" s="296"/>
      <c r="M1001" s="296"/>
      <c r="N1001" s="293"/>
      <c r="O1001" s="294"/>
      <c r="P1001" s="294"/>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c r="AN1001" s="13"/>
      <c r="AO1001" s="13"/>
      <c r="AP1001" s="13"/>
      <c r="AQ1001" s="13"/>
      <c r="AR1001" s="13"/>
      <c r="AS1001" s="13"/>
      <c r="AT1001" s="13"/>
      <c r="AU1001" s="13"/>
      <c r="AV1001" s="13"/>
      <c r="AW1001" s="13"/>
      <c r="AX1001" s="13"/>
      <c r="AY1001" s="13"/>
      <c r="AZ1001" s="13"/>
      <c r="BA1001" s="13"/>
      <c r="BB1001" s="13"/>
      <c r="BC1001" s="13"/>
      <c r="BD1001" s="13"/>
      <c r="BE1001" s="13"/>
      <c r="BF1001" s="13"/>
      <c r="BG1001" s="13"/>
      <c r="BH1001" s="13"/>
      <c r="BI1001" s="13"/>
      <c r="BJ1001" s="13"/>
      <c r="BK1001" s="13"/>
      <c r="BL1001" s="13"/>
      <c r="BM1001" s="13"/>
      <c r="BN1001" s="13"/>
      <c r="BO1001" s="13"/>
      <c r="BP1001" s="13"/>
      <c r="BQ1001" s="13"/>
      <c r="BR1001" s="13"/>
      <c r="BS1001" s="13"/>
      <c r="BT1001" s="13"/>
      <c r="BU1001" s="13"/>
      <c r="BV1001" s="13"/>
      <c r="BW1001" s="13"/>
      <c r="BX1001" s="13"/>
      <c r="BY1001" s="13"/>
      <c r="BZ1001" s="13"/>
      <c r="CA1001" s="13"/>
      <c r="CB1001" s="13"/>
      <c r="CC1001" s="13"/>
      <c r="CD1001" s="13"/>
      <c r="CE1001" s="13"/>
      <c r="CF1001" s="13"/>
      <c r="CG1001" s="13"/>
      <c r="CH1001" s="13"/>
      <c r="CI1001" s="13"/>
      <c r="CJ1001" s="13"/>
      <c r="CK1001" s="13"/>
      <c r="CL1001" s="13"/>
      <c r="CM1001" s="13"/>
      <c r="CN1001" s="13"/>
      <c r="CO1001" s="13"/>
      <c r="CP1001" s="13"/>
      <c r="CQ1001" s="13"/>
      <c r="CR1001" s="13"/>
      <c r="CS1001" s="13"/>
      <c r="CT1001" s="13"/>
      <c r="CU1001" s="13"/>
      <c r="CV1001" s="13"/>
      <c r="CW1001" s="13"/>
      <c r="CX1001" s="13"/>
    </row>
    <row r="1002" spans="1:102" ht="25.5" hidden="1">
      <c r="A1002" s="134" t="s">
        <v>579</v>
      </c>
      <c r="B1002" s="292"/>
      <c r="C1002" s="292"/>
      <c r="D1002" s="295"/>
      <c r="E1002" s="295" t="e">
        <f>E998/E1000</f>
        <v>#DIV/0!</v>
      </c>
      <c r="F1002" s="295" t="e">
        <f>D1002+E1002</f>
        <v>#DIV/0!</v>
      </c>
      <c r="G1002" s="295"/>
      <c r="H1002" s="295">
        <f>H998/H1000</f>
        <v>15622974</v>
      </c>
      <c r="I1002" s="295">
        <f>G1002+H1002</f>
        <v>15622974</v>
      </c>
      <c r="J1002" s="319">
        <f>I1002</f>
        <v>15622974</v>
      </c>
      <c r="K1002" s="296"/>
      <c r="L1002" s="296"/>
      <c r="M1002" s="296"/>
      <c r="N1002" s="295" t="e">
        <f>N998/N1000</f>
        <v>#DIV/0!</v>
      </c>
      <c r="O1002" s="295" t="e">
        <f>O998/O1000</f>
        <v>#DIV/0!</v>
      </c>
      <c r="P1002" s="295" t="e">
        <f>N1002+O1002</f>
        <v>#DIV/0!</v>
      </c>
      <c r="R1002" s="13"/>
      <c r="S1002" s="13"/>
      <c r="T1002" s="13"/>
      <c r="U1002" s="13"/>
      <c r="V1002" s="13"/>
      <c r="W1002" s="13"/>
      <c r="X1002" s="13"/>
      <c r="Y1002" s="13"/>
      <c r="Z1002" s="13"/>
      <c r="AA1002" s="13"/>
      <c r="AB1002" s="13"/>
      <c r="AC1002" s="13"/>
      <c r="AD1002" s="13"/>
      <c r="AE1002" s="13"/>
      <c r="AF1002" s="13"/>
      <c r="AG1002" s="13"/>
      <c r="AH1002" s="13"/>
      <c r="AI1002" s="13"/>
      <c r="AJ1002" s="13"/>
      <c r="AK1002" s="13"/>
      <c r="AL1002" s="13"/>
      <c r="AM1002" s="13"/>
      <c r="AN1002" s="13"/>
      <c r="AO1002" s="13"/>
      <c r="AP1002" s="13"/>
      <c r="AQ1002" s="13"/>
      <c r="AR1002" s="13"/>
      <c r="AS1002" s="13"/>
      <c r="AT1002" s="13"/>
      <c r="AU1002" s="13"/>
      <c r="AV1002" s="13"/>
      <c r="AW1002" s="13"/>
      <c r="AX1002" s="13"/>
      <c r="AY1002" s="13"/>
      <c r="AZ1002" s="13"/>
      <c r="BA1002" s="13"/>
      <c r="BB1002" s="13"/>
      <c r="BC1002" s="13"/>
      <c r="BD1002" s="13"/>
      <c r="BE1002" s="13"/>
      <c r="BF1002" s="13"/>
      <c r="BG1002" s="13"/>
      <c r="BH1002" s="13"/>
      <c r="BI1002" s="13"/>
      <c r="BJ1002" s="13"/>
      <c r="BK1002" s="13"/>
      <c r="BL1002" s="13"/>
      <c r="BM1002" s="13"/>
      <c r="BN1002" s="13"/>
      <c r="BO1002" s="13"/>
      <c r="BP1002" s="13"/>
      <c r="BQ1002" s="13"/>
      <c r="BR1002" s="13"/>
      <c r="BS1002" s="13"/>
      <c r="BT1002" s="13"/>
      <c r="BU1002" s="13"/>
      <c r="BV1002" s="13"/>
      <c r="BW1002" s="13"/>
      <c r="BX1002" s="13"/>
      <c r="BY1002" s="13"/>
      <c r="BZ1002" s="13"/>
      <c r="CA1002" s="13"/>
      <c r="CB1002" s="13"/>
      <c r="CC1002" s="13"/>
      <c r="CD1002" s="13"/>
      <c r="CE1002" s="13"/>
      <c r="CF1002" s="13"/>
      <c r="CG1002" s="13"/>
      <c r="CH1002" s="13"/>
      <c r="CI1002" s="13"/>
      <c r="CJ1002" s="13"/>
      <c r="CK1002" s="13"/>
      <c r="CL1002" s="13"/>
      <c r="CM1002" s="13"/>
      <c r="CN1002" s="13"/>
      <c r="CO1002" s="13"/>
      <c r="CP1002" s="13"/>
      <c r="CQ1002" s="13"/>
      <c r="CR1002" s="13"/>
      <c r="CS1002" s="13"/>
      <c r="CT1002" s="13"/>
      <c r="CU1002" s="13"/>
      <c r="CV1002" s="13"/>
      <c r="CW1002" s="13"/>
      <c r="CX1002" s="13"/>
    </row>
    <row r="1003" spans="1:102" ht="12.75">
      <c r="A1003" s="135"/>
      <c r="B1003" s="316"/>
      <c r="C1003" s="316"/>
      <c r="D1003" s="317"/>
      <c r="E1003" s="317"/>
      <c r="F1003" s="317"/>
      <c r="G1003" s="317"/>
      <c r="H1003" s="317"/>
      <c r="I1003" s="317"/>
      <c r="J1003" s="317"/>
      <c r="K1003" s="318"/>
      <c r="L1003" s="318"/>
      <c r="M1003" s="318"/>
      <c r="N1003" s="317"/>
      <c r="O1003" s="317"/>
      <c r="P1003" s="317"/>
      <c r="R1003" s="13"/>
      <c r="S1003" s="13"/>
      <c r="T1003" s="13"/>
      <c r="U1003" s="13"/>
      <c r="V1003" s="13"/>
      <c r="W1003" s="13"/>
      <c r="X1003" s="13"/>
      <c r="Y1003" s="13"/>
      <c r="Z1003" s="13"/>
      <c r="AA1003" s="13"/>
      <c r="AB1003" s="13"/>
      <c r="AC1003" s="13"/>
      <c r="AD1003" s="13"/>
      <c r="AE1003" s="13"/>
      <c r="AF1003" s="13"/>
      <c r="AG1003" s="13"/>
      <c r="AH1003" s="13"/>
      <c r="AI1003" s="13"/>
      <c r="AJ1003" s="13"/>
      <c r="AK1003" s="13"/>
      <c r="AL1003" s="13"/>
      <c r="AM1003" s="13"/>
      <c r="AN1003" s="13"/>
      <c r="AO1003" s="13"/>
      <c r="AP1003" s="13"/>
      <c r="AQ1003" s="13"/>
      <c r="AR1003" s="13"/>
      <c r="AS1003" s="13"/>
      <c r="AT1003" s="13"/>
      <c r="AU1003" s="13"/>
      <c r="AV1003" s="13"/>
      <c r="AW1003" s="13"/>
      <c r="AX1003" s="13"/>
      <c r="AY1003" s="13"/>
      <c r="AZ1003" s="13"/>
      <c r="BA1003" s="13"/>
      <c r="BB1003" s="13"/>
      <c r="BC1003" s="13"/>
      <c r="BD1003" s="13"/>
      <c r="BE1003" s="13"/>
      <c r="BF1003" s="13"/>
      <c r="BG1003" s="13"/>
      <c r="BH1003" s="13"/>
      <c r="BI1003" s="13"/>
      <c r="BJ1003" s="13"/>
      <c r="BK1003" s="13"/>
      <c r="BL1003" s="13"/>
      <c r="BM1003" s="13"/>
      <c r="BN1003" s="13"/>
      <c r="BO1003" s="13"/>
      <c r="BP1003" s="13"/>
      <c r="BQ1003" s="13"/>
      <c r="BR1003" s="13"/>
      <c r="BS1003" s="13"/>
      <c r="BT1003" s="13"/>
      <c r="BU1003" s="13"/>
      <c r="BV1003" s="13"/>
      <c r="BW1003" s="13"/>
      <c r="BX1003" s="13"/>
      <c r="BY1003" s="13"/>
      <c r="BZ1003" s="13"/>
      <c r="CA1003" s="13"/>
      <c r="CB1003" s="13"/>
      <c r="CC1003" s="13"/>
      <c r="CD1003" s="13"/>
      <c r="CE1003" s="13"/>
      <c r="CF1003" s="13"/>
      <c r="CG1003" s="13"/>
      <c r="CH1003" s="13"/>
      <c r="CI1003" s="13"/>
      <c r="CJ1003" s="13"/>
      <c r="CK1003" s="13"/>
      <c r="CL1003" s="13"/>
      <c r="CM1003" s="13"/>
      <c r="CN1003" s="13"/>
      <c r="CO1003" s="13"/>
      <c r="CP1003" s="13"/>
      <c r="CQ1003" s="13"/>
      <c r="CR1003" s="13"/>
      <c r="CS1003" s="13"/>
      <c r="CT1003" s="13"/>
      <c r="CU1003" s="13"/>
      <c r="CV1003" s="13"/>
      <c r="CW1003" s="13"/>
      <c r="CX1003" s="13"/>
    </row>
    <row r="1004" spans="1:102" ht="18.75">
      <c r="A1004" s="135"/>
      <c r="B1004" s="20"/>
      <c r="C1004" s="20"/>
      <c r="D1004" s="19"/>
      <c r="E1004" s="127"/>
      <c r="F1004" s="128"/>
      <c r="G1004" s="127"/>
      <c r="H1004" s="127"/>
      <c r="I1004" s="127"/>
      <c r="J1004" s="129"/>
      <c r="K1004" s="129"/>
      <c r="L1004" s="129"/>
      <c r="M1004" s="129"/>
      <c r="N1004" s="129"/>
      <c r="O1004" s="129"/>
      <c r="P1004" s="129"/>
      <c r="R1004" s="13"/>
      <c r="S1004" s="13"/>
      <c r="T1004" s="13"/>
      <c r="U1004" s="13"/>
      <c r="V1004" s="13"/>
      <c r="W1004" s="13"/>
      <c r="X1004" s="13"/>
      <c r="Y1004" s="13"/>
      <c r="Z1004" s="13"/>
      <c r="AA1004" s="13"/>
      <c r="AB1004" s="13"/>
      <c r="AC1004" s="13"/>
      <c r="AD1004" s="13"/>
      <c r="AE1004" s="13"/>
      <c r="AF1004" s="13"/>
      <c r="AG1004" s="13"/>
      <c r="AH1004" s="13"/>
      <c r="AI1004" s="13"/>
      <c r="AJ1004" s="13"/>
      <c r="AK1004" s="13"/>
      <c r="AL1004" s="13"/>
      <c r="AM1004" s="13"/>
      <c r="AN1004" s="13"/>
      <c r="AO1004" s="13"/>
      <c r="AP1004" s="13"/>
      <c r="AQ1004" s="13"/>
      <c r="AR1004" s="13"/>
      <c r="AS1004" s="13"/>
      <c r="AT1004" s="13"/>
      <c r="AU1004" s="13"/>
      <c r="AV1004" s="13"/>
      <c r="AW1004" s="13"/>
      <c r="AX1004" s="13"/>
      <c r="AY1004" s="13"/>
      <c r="AZ1004" s="13"/>
      <c r="BA1004" s="13"/>
      <c r="BB1004" s="13"/>
      <c r="BC1004" s="13"/>
      <c r="BD1004" s="13"/>
      <c r="BE1004" s="13"/>
      <c r="BF1004" s="13"/>
      <c r="BG1004" s="13"/>
      <c r="BH1004" s="13"/>
      <c r="BI1004" s="13"/>
      <c r="BJ1004" s="13"/>
      <c r="BK1004" s="13"/>
      <c r="BL1004" s="13"/>
      <c r="BM1004" s="13"/>
      <c r="BN1004" s="13"/>
      <c r="BO1004" s="13"/>
      <c r="BP1004" s="13"/>
      <c r="BQ1004" s="13"/>
      <c r="BR1004" s="13"/>
      <c r="BS1004" s="13"/>
      <c r="BT1004" s="13"/>
      <c r="BU1004" s="13"/>
      <c r="BV1004" s="13"/>
      <c r="BW1004" s="13"/>
      <c r="BX1004" s="13"/>
      <c r="BY1004" s="13"/>
      <c r="BZ1004" s="13"/>
      <c r="CA1004" s="13"/>
      <c r="CB1004" s="13"/>
      <c r="CC1004" s="13"/>
      <c r="CD1004" s="13"/>
      <c r="CE1004" s="13"/>
      <c r="CF1004" s="13"/>
      <c r="CG1004" s="13"/>
      <c r="CH1004" s="13"/>
      <c r="CI1004" s="13"/>
      <c r="CJ1004" s="13"/>
      <c r="CK1004" s="13"/>
      <c r="CL1004" s="13"/>
      <c r="CM1004" s="13"/>
      <c r="CN1004" s="13"/>
      <c r="CO1004" s="13"/>
      <c r="CP1004" s="13"/>
      <c r="CQ1004" s="13"/>
      <c r="CR1004" s="13"/>
      <c r="CS1004" s="13"/>
      <c r="CT1004" s="13"/>
      <c r="CU1004" s="13"/>
      <c r="CV1004" s="13"/>
      <c r="CW1004" s="13"/>
      <c r="CX1004" s="13"/>
    </row>
    <row r="1005" spans="1:102" ht="39.75" customHeight="1">
      <c r="A1005" s="357" t="s">
        <v>589</v>
      </c>
      <c r="B1005" s="357"/>
      <c r="C1005" s="357" t="s">
        <v>586</v>
      </c>
      <c r="D1005" s="357"/>
      <c r="E1005" s="329"/>
      <c r="F1005" s="330"/>
      <c r="G1005" s="331"/>
      <c r="H1005" s="331"/>
      <c r="I1005" s="331"/>
      <c r="J1005" s="332"/>
      <c r="K1005" s="332"/>
      <c r="L1005" s="332"/>
      <c r="M1005" s="332"/>
      <c r="N1005" s="331"/>
      <c r="O1005" s="343" t="s">
        <v>590</v>
      </c>
      <c r="P1005" s="343"/>
      <c r="Q1005" s="13"/>
      <c r="R1005" s="13"/>
      <c r="S1005" s="13"/>
      <c r="T1005" s="13"/>
      <c r="U1005" s="13"/>
      <c r="V1005" s="13"/>
      <c r="W1005" s="13"/>
      <c r="X1005" s="13"/>
      <c r="Y1005" s="13"/>
      <c r="Z1005" s="13"/>
      <c r="AA1005" s="13"/>
      <c r="AB1005" s="13"/>
      <c r="AC1005" s="13"/>
      <c r="AD1005" s="13"/>
      <c r="AE1005" s="13"/>
      <c r="AF1005" s="13"/>
      <c r="AG1005" s="13"/>
      <c r="AH1005" s="13"/>
      <c r="AI1005" s="13"/>
      <c r="AJ1005" s="13"/>
      <c r="AK1005" s="13"/>
      <c r="AL1005" s="13"/>
      <c r="AM1005" s="13"/>
      <c r="AN1005" s="13"/>
      <c r="AO1005" s="13"/>
      <c r="AP1005" s="13"/>
      <c r="AQ1005" s="13"/>
      <c r="AR1005" s="13"/>
      <c r="AS1005" s="13"/>
      <c r="AT1005" s="13"/>
      <c r="AU1005" s="13"/>
      <c r="AV1005" s="13"/>
      <c r="AW1005" s="13"/>
      <c r="AX1005" s="13"/>
      <c r="AY1005" s="13"/>
      <c r="AZ1005" s="13"/>
      <c r="BA1005" s="13"/>
      <c r="BB1005" s="13"/>
      <c r="BC1005" s="13"/>
      <c r="BD1005" s="13"/>
      <c r="BE1005" s="13"/>
      <c r="BF1005" s="13"/>
      <c r="BG1005" s="13"/>
      <c r="BH1005" s="13"/>
      <c r="BI1005" s="13"/>
      <c r="BJ1005" s="13"/>
      <c r="BK1005" s="13"/>
      <c r="BL1005" s="13"/>
      <c r="BM1005" s="13"/>
      <c r="BN1005" s="13"/>
      <c r="BO1005" s="13"/>
      <c r="BP1005" s="13"/>
      <c r="BQ1005" s="13"/>
      <c r="BR1005" s="13"/>
      <c r="BS1005" s="13"/>
      <c r="BT1005" s="13"/>
      <c r="BU1005" s="13"/>
      <c r="BV1005" s="13"/>
      <c r="BW1005" s="13"/>
      <c r="BX1005" s="13"/>
      <c r="BY1005" s="13"/>
      <c r="BZ1005" s="13"/>
      <c r="CA1005" s="13"/>
      <c r="CB1005" s="13"/>
      <c r="CC1005" s="13"/>
      <c r="CD1005" s="13"/>
      <c r="CE1005" s="13"/>
      <c r="CF1005" s="13"/>
      <c r="CG1005" s="13"/>
      <c r="CH1005" s="13"/>
      <c r="CI1005" s="13"/>
      <c r="CJ1005" s="13"/>
      <c r="CK1005" s="13"/>
      <c r="CL1005" s="13"/>
      <c r="CM1005" s="13"/>
      <c r="CN1005" s="13"/>
      <c r="CO1005" s="13"/>
      <c r="CP1005" s="13"/>
      <c r="CQ1005" s="13"/>
      <c r="CR1005" s="13"/>
      <c r="CS1005" s="13"/>
      <c r="CT1005" s="13"/>
      <c r="CU1005" s="13"/>
      <c r="CV1005" s="13"/>
      <c r="CW1005" s="13"/>
      <c r="CX1005" s="13"/>
    </row>
    <row r="1006" spans="1:102" ht="8.25" customHeight="1">
      <c r="A1006" s="324"/>
      <c r="B1006" s="324"/>
      <c r="C1006" s="324"/>
      <c r="D1006" s="320"/>
      <c r="E1006" s="320"/>
      <c r="F1006" s="321"/>
      <c r="G1006" s="322"/>
      <c r="H1006" s="322"/>
      <c r="I1006" s="322"/>
      <c r="J1006" s="323"/>
      <c r="K1006" s="323"/>
      <c r="L1006" s="323"/>
      <c r="M1006" s="323"/>
      <c r="N1006" s="322"/>
      <c r="O1006" s="325"/>
      <c r="P1006" s="325"/>
      <c r="Q1006" s="13"/>
      <c r="R1006" s="13"/>
      <c r="S1006" s="13"/>
      <c r="T1006" s="13"/>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c r="BO1006" s="13"/>
      <c r="BP1006" s="13"/>
      <c r="BQ1006" s="13"/>
      <c r="BR1006" s="13"/>
      <c r="BS1006" s="13"/>
      <c r="BT1006" s="13"/>
      <c r="BU1006" s="13"/>
      <c r="BV1006" s="13"/>
      <c r="BW1006" s="13"/>
      <c r="BX1006" s="13"/>
      <c r="BY1006" s="13"/>
      <c r="BZ1006" s="13"/>
      <c r="CA1006" s="13"/>
      <c r="CB1006" s="13"/>
      <c r="CC1006" s="13"/>
      <c r="CD1006" s="13"/>
      <c r="CE1006" s="13"/>
      <c r="CF1006" s="13"/>
      <c r="CG1006" s="13"/>
      <c r="CH1006" s="13"/>
      <c r="CI1006" s="13"/>
      <c r="CJ1006" s="13"/>
      <c r="CK1006" s="13"/>
      <c r="CL1006" s="13"/>
      <c r="CM1006" s="13"/>
      <c r="CN1006" s="13"/>
      <c r="CO1006" s="13"/>
      <c r="CP1006" s="13"/>
      <c r="CQ1006" s="13"/>
      <c r="CR1006" s="13"/>
      <c r="CS1006" s="13"/>
      <c r="CT1006" s="13"/>
      <c r="CU1006" s="13"/>
      <c r="CV1006" s="13"/>
      <c r="CW1006" s="13"/>
      <c r="CX1006" s="13"/>
    </row>
    <row r="1007" spans="1:102" ht="6.75" customHeight="1">
      <c r="A1007" s="324"/>
      <c r="B1007" s="324"/>
      <c r="C1007" s="324"/>
      <c r="D1007" s="320"/>
      <c r="E1007" s="320"/>
      <c r="F1007" s="321"/>
      <c r="G1007" s="322"/>
      <c r="H1007" s="322"/>
      <c r="I1007" s="322"/>
      <c r="J1007" s="323"/>
      <c r="K1007" s="323"/>
      <c r="L1007" s="323"/>
      <c r="M1007" s="323"/>
      <c r="N1007" s="322"/>
      <c r="O1007" s="325"/>
      <c r="P1007" s="325"/>
      <c r="Q1007" s="13"/>
      <c r="R1007" s="13"/>
      <c r="S1007" s="13"/>
      <c r="T1007" s="13"/>
      <c r="U1007" s="13"/>
      <c r="V1007" s="13"/>
      <c r="W1007" s="13"/>
      <c r="X1007" s="13"/>
      <c r="Y1007" s="13"/>
      <c r="Z1007" s="13"/>
      <c r="AA1007" s="13"/>
      <c r="AB1007" s="13"/>
      <c r="AC1007" s="13"/>
      <c r="AD1007" s="13"/>
      <c r="AE1007" s="13"/>
      <c r="AF1007" s="13"/>
      <c r="AG1007" s="13"/>
      <c r="AH1007" s="13"/>
      <c r="AI1007" s="13"/>
      <c r="AJ1007" s="13"/>
      <c r="AK1007" s="13"/>
      <c r="AL1007" s="13"/>
      <c r="AM1007" s="13"/>
      <c r="AN1007" s="13"/>
      <c r="AO1007" s="13"/>
      <c r="AP1007" s="13"/>
      <c r="AQ1007" s="13"/>
      <c r="AR1007" s="13"/>
      <c r="AS1007" s="13"/>
      <c r="AT1007" s="13"/>
      <c r="AU1007" s="13"/>
      <c r="AV1007" s="13"/>
      <c r="AW1007" s="13"/>
      <c r="AX1007" s="13"/>
      <c r="AY1007" s="13"/>
      <c r="AZ1007" s="13"/>
      <c r="BA1007" s="13"/>
      <c r="BB1007" s="13"/>
      <c r="BC1007" s="13"/>
      <c r="BD1007" s="13"/>
      <c r="BE1007" s="13"/>
      <c r="BF1007" s="13"/>
      <c r="BG1007" s="13"/>
      <c r="BH1007" s="13"/>
      <c r="BI1007" s="13"/>
      <c r="BJ1007" s="13"/>
      <c r="BK1007" s="13"/>
      <c r="BL1007" s="13"/>
      <c r="BM1007" s="13"/>
      <c r="BN1007" s="13"/>
      <c r="BO1007" s="13"/>
      <c r="BP1007" s="13"/>
      <c r="BQ1007" s="13"/>
      <c r="BR1007" s="13"/>
      <c r="BS1007" s="13"/>
      <c r="BT1007" s="13"/>
      <c r="BU1007" s="13"/>
      <c r="BV1007" s="13"/>
      <c r="BW1007" s="13"/>
      <c r="BX1007" s="13"/>
      <c r="BY1007" s="13"/>
      <c r="BZ1007" s="13"/>
      <c r="CA1007" s="13"/>
      <c r="CB1007" s="13"/>
      <c r="CC1007" s="13"/>
      <c r="CD1007" s="13"/>
      <c r="CE1007" s="13"/>
      <c r="CF1007" s="13"/>
      <c r="CG1007" s="13"/>
      <c r="CH1007" s="13"/>
      <c r="CI1007" s="13"/>
      <c r="CJ1007" s="13"/>
      <c r="CK1007" s="13"/>
      <c r="CL1007" s="13"/>
      <c r="CM1007" s="13"/>
      <c r="CN1007" s="13"/>
      <c r="CO1007" s="13"/>
      <c r="CP1007" s="13"/>
      <c r="CQ1007" s="13"/>
      <c r="CR1007" s="13"/>
      <c r="CS1007" s="13"/>
      <c r="CT1007" s="13"/>
      <c r="CU1007" s="13"/>
      <c r="CV1007" s="13"/>
      <c r="CW1007" s="13"/>
      <c r="CX1007" s="13"/>
    </row>
    <row r="1008" spans="1:102" ht="18.75" customHeight="1" hidden="1">
      <c r="A1008" s="355" t="s">
        <v>583</v>
      </c>
      <c r="B1008" s="355"/>
      <c r="C1008" s="326"/>
      <c r="D1008" s="327"/>
      <c r="E1008" s="320"/>
      <c r="F1008" s="322"/>
      <c r="G1008" s="320"/>
      <c r="H1008" s="320"/>
      <c r="I1008" s="320"/>
      <c r="J1008" s="328"/>
      <c r="K1008" s="328"/>
      <c r="L1008" s="328"/>
      <c r="M1008" s="328"/>
      <c r="N1008" s="328"/>
      <c r="O1008" s="328"/>
      <c r="P1008" s="328"/>
      <c r="Q1008" s="23"/>
      <c r="R1008" s="13"/>
      <c r="S1008" s="13"/>
      <c r="T1008" s="13"/>
      <c r="U1008" s="13"/>
      <c r="V1008" s="13"/>
      <c r="W1008" s="13"/>
      <c r="X1008" s="13"/>
      <c r="Y1008" s="13"/>
      <c r="Z1008" s="13"/>
      <c r="AA1008" s="13"/>
      <c r="AB1008" s="13"/>
      <c r="AC1008" s="13"/>
      <c r="AD1008" s="13"/>
      <c r="AE1008" s="13"/>
      <c r="AF1008" s="13"/>
      <c r="AG1008" s="13"/>
      <c r="AH1008" s="13"/>
      <c r="AI1008" s="13"/>
      <c r="AJ1008" s="13"/>
      <c r="AK1008" s="13"/>
      <c r="AL1008" s="13"/>
      <c r="AM1008" s="13"/>
      <c r="AN1008" s="13"/>
      <c r="AO1008" s="13"/>
      <c r="AP1008" s="13"/>
      <c r="AQ1008" s="13"/>
      <c r="AR1008" s="13"/>
      <c r="AS1008" s="13"/>
      <c r="AT1008" s="13"/>
      <c r="AU1008" s="13"/>
      <c r="AV1008" s="13"/>
      <c r="AW1008" s="13"/>
      <c r="AX1008" s="13"/>
      <c r="AY1008" s="13"/>
      <c r="AZ1008" s="13"/>
      <c r="BA1008" s="13"/>
      <c r="BB1008" s="13"/>
      <c r="BC1008" s="13"/>
      <c r="BD1008" s="13"/>
      <c r="BE1008" s="13"/>
      <c r="BF1008" s="13"/>
      <c r="BG1008" s="13"/>
      <c r="BH1008" s="13"/>
      <c r="BI1008" s="13"/>
      <c r="BJ1008" s="13"/>
      <c r="BK1008" s="13"/>
      <c r="BL1008" s="13"/>
      <c r="BM1008" s="13"/>
      <c r="BN1008" s="13"/>
      <c r="BO1008" s="13"/>
      <c r="BP1008" s="13"/>
      <c r="BQ1008" s="13"/>
      <c r="BR1008" s="13"/>
      <c r="BS1008" s="13"/>
      <c r="BT1008" s="13"/>
      <c r="BU1008" s="13"/>
      <c r="BV1008" s="13"/>
      <c r="BW1008" s="13"/>
      <c r="BX1008" s="13"/>
      <c r="BY1008" s="13"/>
      <c r="BZ1008" s="13"/>
      <c r="CA1008" s="13"/>
      <c r="CB1008" s="13"/>
      <c r="CC1008" s="13"/>
      <c r="CD1008" s="13"/>
      <c r="CE1008" s="13"/>
      <c r="CF1008" s="13"/>
      <c r="CG1008" s="13"/>
      <c r="CH1008" s="13"/>
      <c r="CI1008" s="13"/>
      <c r="CJ1008" s="13"/>
      <c r="CK1008" s="13"/>
      <c r="CL1008" s="13"/>
      <c r="CM1008" s="13"/>
      <c r="CN1008" s="13"/>
      <c r="CO1008" s="13"/>
      <c r="CP1008" s="13"/>
      <c r="CQ1008" s="13"/>
      <c r="CR1008" s="13"/>
      <c r="CS1008" s="13"/>
      <c r="CT1008" s="13"/>
      <c r="CU1008" s="13"/>
      <c r="CV1008" s="13"/>
      <c r="CW1008" s="13"/>
      <c r="CX1008" s="13"/>
    </row>
    <row r="1009" spans="1:102" ht="0.75" customHeight="1">
      <c r="A1009" s="6" t="s">
        <v>252</v>
      </c>
      <c r="B1009" s="6"/>
      <c r="C1009" s="24"/>
      <c r="D1009" s="21"/>
      <c r="E1009" s="21"/>
      <c r="F1009" s="21"/>
      <c r="G1009" s="21"/>
      <c r="H1009" s="21"/>
      <c r="I1009" s="21"/>
      <c r="J1009" s="21"/>
      <c r="K1009" s="21"/>
      <c r="L1009" s="21"/>
      <c r="M1009" s="21"/>
      <c r="N1009" s="21"/>
      <c r="O1009" s="21"/>
      <c r="P1009" s="21"/>
      <c r="Q1009" s="13"/>
      <c r="R1009" s="13"/>
      <c r="S1009" s="13"/>
      <c r="T1009" s="13"/>
      <c r="U1009" s="13"/>
      <c r="V1009" s="13"/>
      <c r="W1009" s="13"/>
      <c r="X1009" s="13"/>
      <c r="Y1009" s="13"/>
      <c r="Z1009" s="13"/>
      <c r="AA1009" s="13"/>
      <c r="AB1009" s="13"/>
      <c r="AC1009" s="13"/>
      <c r="AD1009" s="13"/>
      <c r="AE1009" s="13"/>
      <c r="AF1009" s="13"/>
      <c r="AG1009" s="13"/>
      <c r="AH1009" s="13"/>
      <c r="AI1009" s="13"/>
      <c r="AJ1009" s="13"/>
      <c r="AK1009" s="13"/>
      <c r="AL1009" s="13"/>
      <c r="AM1009" s="13"/>
      <c r="AN1009" s="13"/>
      <c r="AO1009" s="13"/>
      <c r="AP1009" s="13"/>
      <c r="AQ1009" s="13"/>
      <c r="AR1009" s="13"/>
      <c r="AS1009" s="13"/>
      <c r="AT1009" s="13"/>
      <c r="AU1009" s="13"/>
      <c r="AV1009" s="13"/>
      <c r="AW1009" s="13"/>
      <c r="AX1009" s="13"/>
      <c r="AY1009" s="13"/>
      <c r="AZ1009" s="13"/>
      <c r="BA1009" s="13"/>
      <c r="BB1009" s="13"/>
      <c r="BC1009" s="13"/>
      <c r="BD1009" s="13"/>
      <c r="BE1009" s="13"/>
      <c r="BF1009" s="13"/>
      <c r="BG1009" s="13"/>
      <c r="BH1009" s="13"/>
      <c r="BI1009" s="13"/>
      <c r="BJ1009" s="13"/>
      <c r="BK1009" s="13"/>
      <c r="BL1009" s="13"/>
      <c r="BM1009" s="13"/>
      <c r="BN1009" s="13"/>
      <c r="BO1009" s="13"/>
      <c r="BP1009" s="13"/>
      <c r="BQ1009" s="13"/>
      <c r="BR1009" s="13"/>
      <c r="BS1009" s="13"/>
      <c r="BT1009" s="13"/>
      <c r="BU1009" s="13"/>
      <c r="BV1009" s="13"/>
      <c r="BW1009" s="13"/>
      <c r="BX1009" s="13"/>
      <c r="BY1009" s="13"/>
      <c r="BZ1009" s="13"/>
      <c r="CA1009" s="13"/>
      <c r="CB1009" s="13"/>
      <c r="CC1009" s="13"/>
      <c r="CD1009" s="13"/>
      <c r="CE1009" s="13"/>
      <c r="CF1009" s="13"/>
      <c r="CG1009" s="13"/>
      <c r="CH1009" s="13"/>
      <c r="CI1009" s="13"/>
      <c r="CJ1009" s="13"/>
      <c r="CK1009" s="13"/>
      <c r="CL1009" s="13"/>
      <c r="CM1009" s="13"/>
      <c r="CN1009" s="13"/>
      <c r="CO1009" s="13"/>
      <c r="CP1009" s="13"/>
      <c r="CQ1009" s="13"/>
      <c r="CR1009" s="13"/>
      <c r="CS1009" s="13"/>
      <c r="CT1009" s="13"/>
      <c r="CU1009" s="13"/>
      <c r="CV1009" s="13"/>
      <c r="CW1009" s="13"/>
      <c r="CX1009" s="13"/>
    </row>
    <row r="1010" spans="1:102" ht="28.5" customHeight="1">
      <c r="A1010" s="25"/>
      <c r="B1010" s="26"/>
      <c r="C1010" s="27"/>
      <c r="D1010" s="28"/>
      <c r="E1010" s="28"/>
      <c r="F1010" s="21"/>
      <c r="G1010" s="21"/>
      <c r="H1010" s="21"/>
      <c r="I1010" s="21"/>
      <c r="J1010" s="21"/>
      <c r="K1010" s="21"/>
      <c r="L1010" s="21"/>
      <c r="M1010" s="21"/>
      <c r="N1010" s="21"/>
      <c r="O1010" s="21"/>
      <c r="P1010" s="21"/>
      <c r="Q1010" s="13"/>
      <c r="R1010" s="13"/>
      <c r="S1010" s="13"/>
      <c r="T1010" s="13"/>
      <c r="U1010" s="13"/>
      <c r="V1010" s="13"/>
      <c r="W1010" s="13"/>
      <c r="X1010" s="13"/>
      <c r="Y1010" s="13"/>
      <c r="Z1010" s="13"/>
      <c r="AA1010" s="13"/>
      <c r="AB1010" s="13"/>
      <c r="AC1010" s="13"/>
      <c r="AD1010" s="13"/>
      <c r="AE1010" s="13"/>
      <c r="AF1010" s="13"/>
      <c r="AG1010" s="13"/>
      <c r="AH1010" s="13"/>
      <c r="AI1010" s="13"/>
      <c r="AJ1010" s="13"/>
      <c r="AK1010" s="13"/>
      <c r="AL1010" s="13"/>
      <c r="AM1010" s="13"/>
      <c r="AN1010" s="13"/>
      <c r="AO1010" s="13"/>
      <c r="AP1010" s="13"/>
      <c r="AQ1010" s="13"/>
      <c r="AR1010" s="13"/>
      <c r="AS1010" s="13"/>
      <c r="AT1010" s="13"/>
      <c r="AU1010" s="13"/>
      <c r="AV1010" s="13"/>
      <c r="AW1010" s="13"/>
      <c r="AX1010" s="13"/>
      <c r="AY1010" s="13"/>
      <c r="AZ1010" s="13"/>
      <c r="BA1010" s="13"/>
      <c r="BB1010" s="13"/>
      <c r="BC1010" s="13"/>
      <c r="BD1010" s="13"/>
      <c r="BE1010" s="13"/>
      <c r="BF1010" s="13"/>
      <c r="BG1010" s="13"/>
      <c r="BH1010" s="13"/>
      <c r="BI1010" s="13"/>
      <c r="BJ1010" s="13"/>
      <c r="BK1010" s="13"/>
      <c r="BL1010" s="13"/>
      <c r="BM1010" s="13"/>
      <c r="BN1010" s="13"/>
      <c r="BO1010" s="13"/>
      <c r="BP1010" s="13"/>
      <c r="BQ1010" s="13"/>
      <c r="BR1010" s="13"/>
      <c r="BS1010" s="13"/>
      <c r="BT1010" s="13"/>
      <c r="BU1010" s="13"/>
      <c r="BV1010" s="13"/>
      <c r="BW1010" s="13"/>
      <c r="BX1010" s="13"/>
      <c r="BY1010" s="13"/>
      <c r="BZ1010" s="13"/>
      <c r="CA1010" s="13"/>
      <c r="CB1010" s="13"/>
      <c r="CC1010" s="13"/>
      <c r="CD1010" s="13"/>
      <c r="CE1010" s="13"/>
      <c r="CF1010" s="13"/>
      <c r="CG1010" s="13"/>
      <c r="CH1010" s="13"/>
      <c r="CI1010" s="13"/>
      <c r="CJ1010" s="13"/>
      <c r="CK1010" s="13"/>
      <c r="CL1010" s="13"/>
      <c r="CM1010" s="13"/>
      <c r="CN1010" s="13"/>
      <c r="CO1010" s="13"/>
      <c r="CP1010" s="13"/>
      <c r="CQ1010" s="13"/>
      <c r="CR1010" s="13"/>
      <c r="CS1010" s="13"/>
      <c r="CT1010" s="13"/>
      <c r="CU1010" s="13"/>
      <c r="CV1010" s="13"/>
      <c r="CW1010" s="13"/>
      <c r="CX1010" s="13"/>
    </row>
    <row r="1011" spans="1:102" ht="11.25">
      <c r="A1011" s="1"/>
      <c r="B1011" s="1"/>
      <c r="C1011" s="1"/>
      <c r="D1011" s="2"/>
      <c r="E1011" s="2"/>
      <c r="F1011" s="2"/>
      <c r="G1011" s="2"/>
      <c r="H1011" s="2"/>
      <c r="I1011" s="2"/>
      <c r="J1011" s="2"/>
      <c r="K1011" s="2"/>
      <c r="L1011" s="2"/>
      <c r="M1011" s="2"/>
      <c r="R1011" s="13"/>
      <c r="S1011" s="13"/>
      <c r="T1011" s="13"/>
      <c r="U1011" s="13"/>
      <c r="V1011" s="13"/>
      <c r="W1011" s="13"/>
      <c r="X1011" s="13"/>
      <c r="Y1011" s="13"/>
      <c r="Z1011" s="13"/>
      <c r="AA1011" s="13"/>
      <c r="AB1011" s="13"/>
      <c r="AC1011" s="13"/>
      <c r="AD1011" s="13"/>
      <c r="AE1011" s="13"/>
      <c r="AF1011" s="13"/>
      <c r="AG1011" s="13"/>
      <c r="AH1011" s="13"/>
      <c r="AI1011" s="13"/>
      <c r="AJ1011" s="13"/>
      <c r="AK1011" s="13"/>
      <c r="AL1011" s="13"/>
      <c r="AM1011" s="13"/>
      <c r="AN1011" s="13"/>
      <c r="AO1011" s="13"/>
      <c r="AP1011" s="13"/>
      <c r="AQ1011" s="13"/>
      <c r="AR1011" s="13"/>
      <c r="AS1011" s="13"/>
      <c r="AT1011" s="13"/>
      <c r="AU1011" s="13"/>
      <c r="AV1011" s="13"/>
      <c r="AW1011" s="13"/>
      <c r="AX1011" s="13"/>
      <c r="AY1011" s="13"/>
      <c r="AZ1011" s="13"/>
      <c r="BA1011" s="13"/>
      <c r="BB1011" s="13"/>
      <c r="BC1011" s="13"/>
      <c r="BD1011" s="13"/>
      <c r="BE1011" s="13"/>
      <c r="BF1011" s="13"/>
      <c r="BG1011" s="13"/>
      <c r="BH1011" s="13"/>
      <c r="BI1011" s="13"/>
      <c r="BJ1011" s="13"/>
      <c r="BK1011" s="13"/>
      <c r="BL1011" s="13"/>
      <c r="BM1011" s="13"/>
      <c r="BN1011" s="13"/>
      <c r="BO1011" s="13"/>
      <c r="BP1011" s="13"/>
      <c r="BQ1011" s="13"/>
      <c r="BR1011" s="13"/>
      <c r="BS1011" s="13"/>
      <c r="BT1011" s="13"/>
      <c r="BU1011" s="13"/>
      <c r="BV1011" s="13"/>
      <c r="BW1011" s="13"/>
      <c r="BX1011" s="13"/>
      <c r="BY1011" s="13"/>
      <c r="BZ1011" s="13"/>
      <c r="CA1011" s="13"/>
      <c r="CB1011" s="13"/>
      <c r="CC1011" s="13"/>
      <c r="CD1011" s="13"/>
      <c r="CE1011" s="13"/>
      <c r="CF1011" s="13"/>
      <c r="CG1011" s="13"/>
      <c r="CH1011" s="13"/>
      <c r="CI1011" s="13"/>
      <c r="CJ1011" s="13"/>
      <c r="CK1011" s="13"/>
      <c r="CL1011" s="13"/>
      <c r="CM1011" s="13"/>
      <c r="CN1011" s="13"/>
      <c r="CO1011" s="13"/>
      <c r="CP1011" s="13"/>
      <c r="CQ1011" s="13"/>
      <c r="CR1011" s="13"/>
      <c r="CS1011" s="13"/>
      <c r="CT1011" s="13"/>
      <c r="CU1011" s="13"/>
      <c r="CV1011" s="13"/>
      <c r="CW1011" s="13"/>
      <c r="CX1011" s="13"/>
    </row>
    <row r="1012" spans="1:102" ht="11.25">
      <c r="A1012" s="1"/>
      <c r="B1012" s="1"/>
      <c r="C1012" s="1"/>
      <c r="D1012" s="2"/>
      <c r="E1012" s="2"/>
      <c r="F1012" s="2"/>
      <c r="G1012" s="2"/>
      <c r="H1012" s="2"/>
      <c r="I1012" s="2"/>
      <c r="J1012" s="2"/>
      <c r="K1012" s="2"/>
      <c r="L1012" s="2"/>
      <c r="M1012" s="2"/>
      <c r="R1012" s="13"/>
      <c r="S1012" s="13"/>
      <c r="T1012" s="13"/>
      <c r="U1012" s="13"/>
      <c r="V1012" s="13"/>
      <c r="W1012" s="13"/>
      <c r="X1012" s="13"/>
      <c r="Y1012" s="13"/>
      <c r="Z1012" s="13"/>
      <c r="AA1012" s="13"/>
      <c r="AB1012" s="13"/>
      <c r="AC1012" s="13"/>
      <c r="AD1012" s="13"/>
      <c r="AE1012" s="13"/>
      <c r="AF1012" s="13"/>
      <c r="AG1012" s="13"/>
      <c r="AH1012" s="13"/>
      <c r="AI1012" s="13"/>
      <c r="AJ1012" s="13"/>
      <c r="AK1012" s="13"/>
      <c r="AL1012" s="13"/>
      <c r="AM1012" s="13"/>
      <c r="AN1012" s="13"/>
      <c r="AO1012" s="13"/>
      <c r="AP1012" s="13"/>
      <c r="AQ1012" s="13"/>
      <c r="AR1012" s="13"/>
      <c r="AS1012" s="13"/>
      <c r="AT1012" s="13"/>
      <c r="AU1012" s="13"/>
      <c r="AV1012" s="13"/>
      <c r="AW1012" s="13"/>
      <c r="AX1012" s="13"/>
      <c r="AY1012" s="13"/>
      <c r="AZ1012" s="13"/>
      <c r="BA1012" s="13"/>
      <c r="BB1012" s="13"/>
      <c r="BC1012" s="13"/>
      <c r="BD1012" s="13"/>
      <c r="BE1012" s="13"/>
      <c r="BF1012" s="13"/>
      <c r="BG1012" s="13"/>
      <c r="BH1012" s="13"/>
      <c r="BI1012" s="13"/>
      <c r="BJ1012" s="13"/>
      <c r="BK1012" s="13"/>
      <c r="BL1012" s="13"/>
      <c r="BM1012" s="13"/>
      <c r="BN1012" s="13"/>
      <c r="BO1012" s="13"/>
      <c r="BP1012" s="13"/>
      <c r="BQ1012" s="13"/>
      <c r="BR1012" s="13"/>
      <c r="BS1012" s="13"/>
      <c r="BT1012" s="13"/>
      <c r="BU1012" s="13"/>
      <c r="BV1012" s="13"/>
      <c r="BW1012" s="13"/>
      <c r="BX1012" s="13"/>
      <c r="BY1012" s="13"/>
      <c r="BZ1012" s="13"/>
      <c r="CA1012" s="13"/>
      <c r="CB1012" s="13"/>
      <c r="CC1012" s="13"/>
      <c r="CD1012" s="13"/>
      <c r="CE1012" s="13"/>
      <c r="CF1012" s="13"/>
      <c r="CG1012" s="13"/>
      <c r="CH1012" s="13"/>
      <c r="CI1012" s="13"/>
      <c r="CJ1012" s="13"/>
      <c r="CK1012" s="13"/>
      <c r="CL1012" s="13"/>
      <c r="CM1012" s="13"/>
      <c r="CN1012" s="13"/>
      <c r="CO1012" s="13"/>
      <c r="CP1012" s="13"/>
      <c r="CQ1012" s="13"/>
      <c r="CR1012" s="13"/>
      <c r="CS1012" s="13"/>
      <c r="CT1012" s="13"/>
      <c r="CU1012" s="13"/>
      <c r="CV1012" s="13"/>
      <c r="CW1012" s="13"/>
      <c r="CX1012" s="13"/>
    </row>
    <row r="1013" spans="1:102" ht="11.25">
      <c r="A1013" s="1"/>
      <c r="B1013" s="1"/>
      <c r="C1013" s="1"/>
      <c r="D1013" s="2"/>
      <c r="E1013" s="2"/>
      <c r="F1013" s="2"/>
      <c r="G1013" s="2"/>
      <c r="H1013" s="2"/>
      <c r="I1013" s="2"/>
      <c r="J1013" s="2"/>
      <c r="K1013" s="2"/>
      <c r="L1013" s="2"/>
      <c r="M1013" s="2"/>
      <c r="R1013" s="13"/>
      <c r="S1013" s="13"/>
      <c r="T1013" s="13"/>
      <c r="U1013" s="13"/>
      <c r="V1013" s="13"/>
      <c r="W1013" s="13"/>
      <c r="X1013" s="13"/>
      <c r="Y1013" s="13"/>
      <c r="Z1013" s="13"/>
      <c r="AA1013" s="13"/>
      <c r="AB1013" s="13"/>
      <c r="AC1013" s="13"/>
      <c r="AD1013" s="13"/>
      <c r="AE1013" s="13"/>
      <c r="AF1013" s="13"/>
      <c r="AG1013" s="13"/>
      <c r="AH1013" s="13"/>
      <c r="AI1013" s="13"/>
      <c r="AJ1013" s="13"/>
      <c r="AK1013" s="13"/>
      <c r="AL1013" s="13"/>
      <c r="AM1013" s="13"/>
      <c r="AN1013" s="13"/>
      <c r="AO1013" s="13"/>
      <c r="AP1013" s="13"/>
      <c r="AQ1013" s="13"/>
      <c r="AR1013" s="13"/>
      <c r="AS1013" s="13"/>
      <c r="AT1013" s="13"/>
      <c r="AU1013" s="13"/>
      <c r="AV1013" s="13"/>
      <c r="AW1013" s="13"/>
      <c r="AX1013" s="13"/>
      <c r="AY1013" s="13"/>
      <c r="AZ1013" s="13"/>
      <c r="BA1013" s="13"/>
      <c r="BB1013" s="13"/>
      <c r="BC1013" s="13"/>
      <c r="BD1013" s="13"/>
      <c r="BE1013" s="13"/>
      <c r="BF1013" s="13"/>
      <c r="BG1013" s="13"/>
      <c r="BH1013" s="13"/>
      <c r="BI1013" s="13"/>
      <c r="BJ1013" s="13"/>
      <c r="BK1013" s="13"/>
      <c r="BL1013" s="13"/>
      <c r="BM1013" s="13"/>
      <c r="BN1013" s="13"/>
      <c r="BO1013" s="13"/>
      <c r="BP1013" s="13"/>
      <c r="BQ1013" s="13"/>
      <c r="BR1013" s="13"/>
      <c r="BS1013" s="13"/>
      <c r="BT1013" s="13"/>
      <c r="BU1013" s="13"/>
      <c r="BV1013" s="13"/>
      <c r="BW1013" s="13"/>
      <c r="BX1013" s="13"/>
      <c r="BY1013" s="13"/>
      <c r="BZ1013" s="13"/>
      <c r="CA1013" s="13"/>
      <c r="CB1013" s="13"/>
      <c r="CC1013" s="13"/>
      <c r="CD1013" s="13"/>
      <c r="CE1013" s="13"/>
      <c r="CF1013" s="13"/>
      <c r="CG1013" s="13"/>
      <c r="CH1013" s="13"/>
      <c r="CI1013" s="13"/>
      <c r="CJ1013" s="13"/>
      <c r="CK1013" s="13"/>
      <c r="CL1013" s="13"/>
      <c r="CM1013" s="13"/>
      <c r="CN1013" s="13"/>
      <c r="CO1013" s="13"/>
      <c r="CP1013" s="13"/>
      <c r="CQ1013" s="13"/>
      <c r="CR1013" s="13"/>
      <c r="CS1013" s="13"/>
      <c r="CT1013" s="13"/>
      <c r="CU1013" s="13"/>
      <c r="CV1013" s="13"/>
      <c r="CW1013" s="13"/>
      <c r="CX1013" s="13"/>
    </row>
    <row r="1014" spans="1:102" ht="11.25">
      <c r="A1014" s="1"/>
      <c r="B1014" s="1"/>
      <c r="C1014" s="1"/>
      <c r="D1014" s="2"/>
      <c r="E1014" s="2"/>
      <c r="F1014" s="2"/>
      <c r="G1014" s="2"/>
      <c r="H1014" s="2"/>
      <c r="I1014" s="2"/>
      <c r="J1014" s="2"/>
      <c r="K1014" s="2"/>
      <c r="L1014" s="2"/>
      <c r="M1014" s="2"/>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13"/>
      <c r="AZ1014" s="13"/>
      <c r="BA1014" s="13"/>
      <c r="BB1014" s="13"/>
      <c r="BC1014" s="13"/>
      <c r="BD1014" s="13"/>
      <c r="BE1014" s="13"/>
      <c r="BF1014" s="13"/>
      <c r="BG1014" s="13"/>
      <c r="BH1014" s="13"/>
      <c r="BI1014" s="13"/>
      <c r="BJ1014" s="13"/>
      <c r="BK1014" s="13"/>
      <c r="BL1014" s="13"/>
      <c r="BM1014" s="13"/>
      <c r="BN1014" s="13"/>
      <c r="BO1014" s="13"/>
      <c r="BP1014" s="13"/>
      <c r="BQ1014" s="13"/>
      <c r="BR1014" s="13"/>
      <c r="BS1014" s="13"/>
      <c r="BT1014" s="13"/>
      <c r="BU1014" s="13"/>
      <c r="BV1014" s="13"/>
      <c r="BW1014" s="13"/>
      <c r="BX1014" s="13"/>
      <c r="BY1014" s="13"/>
      <c r="BZ1014" s="13"/>
      <c r="CA1014" s="13"/>
      <c r="CB1014" s="13"/>
      <c r="CC1014" s="13"/>
      <c r="CD1014" s="13"/>
      <c r="CE1014" s="13"/>
      <c r="CF1014" s="13"/>
      <c r="CG1014" s="13"/>
      <c r="CH1014" s="13"/>
      <c r="CI1014" s="13"/>
      <c r="CJ1014" s="13"/>
      <c r="CK1014" s="13"/>
      <c r="CL1014" s="13"/>
      <c r="CM1014" s="13"/>
      <c r="CN1014" s="13"/>
      <c r="CO1014" s="13"/>
      <c r="CP1014" s="13"/>
      <c r="CQ1014" s="13"/>
      <c r="CR1014" s="13"/>
      <c r="CS1014" s="13"/>
      <c r="CT1014" s="13"/>
      <c r="CU1014" s="13"/>
      <c r="CV1014" s="13"/>
      <c r="CW1014" s="13"/>
      <c r="CX1014" s="13"/>
    </row>
    <row r="1015" spans="1:102" ht="11.25">
      <c r="A1015" s="1"/>
      <c r="B1015" s="1"/>
      <c r="C1015" s="1"/>
      <c r="D1015" s="2"/>
      <c r="E1015" s="2"/>
      <c r="F1015" s="2"/>
      <c r="G1015" s="2"/>
      <c r="H1015" s="2"/>
      <c r="I1015" s="2"/>
      <c r="J1015" s="2"/>
      <c r="K1015" s="2"/>
      <c r="L1015" s="2"/>
      <c r="M1015" s="2"/>
      <c r="R1015" s="13"/>
      <c r="S1015" s="13"/>
      <c r="T1015" s="13"/>
      <c r="U1015" s="13"/>
      <c r="V1015" s="13"/>
      <c r="W1015" s="13"/>
      <c r="X1015" s="13"/>
      <c r="Y1015" s="13"/>
      <c r="Z1015" s="13"/>
      <c r="AA1015" s="13"/>
      <c r="AB1015" s="13"/>
      <c r="AC1015" s="13"/>
      <c r="AD1015" s="13"/>
      <c r="AE1015" s="13"/>
      <c r="AF1015" s="13"/>
      <c r="AG1015" s="13"/>
      <c r="AH1015" s="13"/>
      <c r="AI1015" s="13"/>
      <c r="AJ1015" s="13"/>
      <c r="AK1015" s="13"/>
      <c r="AL1015" s="13"/>
      <c r="AM1015" s="13"/>
      <c r="AN1015" s="13"/>
      <c r="AO1015" s="13"/>
      <c r="AP1015" s="13"/>
      <c r="AQ1015" s="13"/>
      <c r="AR1015" s="13"/>
      <c r="AS1015" s="13"/>
      <c r="AT1015" s="13"/>
      <c r="AU1015" s="13"/>
      <c r="AV1015" s="13"/>
      <c r="AW1015" s="13"/>
      <c r="AX1015" s="13"/>
      <c r="AY1015" s="13"/>
      <c r="AZ1015" s="13"/>
      <c r="BA1015" s="13"/>
      <c r="BB1015" s="13"/>
      <c r="BC1015" s="13"/>
      <c r="BD1015" s="13"/>
      <c r="BE1015" s="13"/>
      <c r="BF1015" s="13"/>
      <c r="BG1015" s="13"/>
      <c r="BH1015" s="13"/>
      <c r="BI1015" s="13"/>
      <c r="BJ1015" s="13"/>
      <c r="BK1015" s="13"/>
      <c r="BL1015" s="13"/>
      <c r="BM1015" s="13"/>
      <c r="BN1015" s="13"/>
      <c r="BO1015" s="13"/>
      <c r="BP1015" s="13"/>
      <c r="BQ1015" s="13"/>
      <c r="BR1015" s="13"/>
      <c r="BS1015" s="13"/>
      <c r="BT1015" s="13"/>
      <c r="BU1015" s="13"/>
      <c r="BV1015" s="13"/>
      <c r="BW1015" s="13"/>
      <c r="BX1015" s="13"/>
      <c r="BY1015" s="13"/>
      <c r="BZ1015" s="13"/>
      <c r="CA1015" s="13"/>
      <c r="CB1015" s="13"/>
      <c r="CC1015" s="13"/>
      <c r="CD1015" s="13"/>
      <c r="CE1015" s="13"/>
      <c r="CF1015" s="13"/>
      <c r="CG1015" s="13"/>
      <c r="CH1015" s="13"/>
      <c r="CI1015" s="13"/>
      <c r="CJ1015" s="13"/>
      <c r="CK1015" s="13"/>
      <c r="CL1015" s="13"/>
      <c r="CM1015" s="13"/>
      <c r="CN1015" s="13"/>
      <c r="CO1015" s="13"/>
      <c r="CP1015" s="13"/>
      <c r="CQ1015" s="13"/>
      <c r="CR1015" s="13"/>
      <c r="CS1015" s="13"/>
      <c r="CT1015" s="13"/>
      <c r="CU1015" s="13"/>
      <c r="CV1015" s="13"/>
      <c r="CW1015" s="13"/>
      <c r="CX1015" s="13"/>
    </row>
    <row r="1016" spans="1:102" ht="11.25">
      <c r="A1016" s="1"/>
      <c r="B1016" s="1"/>
      <c r="C1016" s="1"/>
      <c r="D1016" s="2"/>
      <c r="E1016" s="2"/>
      <c r="F1016" s="2"/>
      <c r="G1016" s="2"/>
      <c r="H1016" s="2"/>
      <c r="I1016" s="2"/>
      <c r="J1016" s="2"/>
      <c r="K1016" s="2"/>
      <c r="L1016" s="2"/>
      <c r="M1016" s="2"/>
      <c r="R1016" s="13"/>
      <c r="S1016" s="13"/>
      <c r="T1016" s="13"/>
      <c r="U1016" s="13"/>
      <c r="V1016" s="13"/>
      <c r="W1016" s="13"/>
      <c r="X1016" s="13"/>
      <c r="Y1016" s="13"/>
      <c r="Z1016" s="13"/>
      <c r="AA1016" s="13"/>
      <c r="AB1016" s="13"/>
      <c r="AC1016" s="13"/>
      <c r="AD1016" s="13"/>
      <c r="AE1016" s="13"/>
      <c r="AF1016" s="13"/>
      <c r="AG1016" s="13"/>
      <c r="AH1016" s="13"/>
      <c r="AI1016" s="13"/>
      <c r="AJ1016" s="13"/>
      <c r="AK1016" s="13"/>
      <c r="AL1016" s="13"/>
      <c r="AM1016" s="13"/>
      <c r="AN1016" s="13"/>
      <c r="AO1016" s="13"/>
      <c r="AP1016" s="13"/>
      <c r="AQ1016" s="13"/>
      <c r="AR1016" s="13"/>
      <c r="AS1016" s="13"/>
      <c r="AT1016" s="13"/>
      <c r="AU1016" s="13"/>
      <c r="AV1016" s="13"/>
      <c r="AW1016" s="13"/>
      <c r="AX1016" s="13"/>
      <c r="AY1016" s="13"/>
      <c r="AZ1016" s="13"/>
      <c r="BA1016" s="13"/>
      <c r="BB1016" s="13"/>
      <c r="BC1016" s="13"/>
      <c r="BD1016" s="13"/>
      <c r="BE1016" s="13"/>
      <c r="BF1016" s="13"/>
      <c r="BG1016" s="13"/>
      <c r="BH1016" s="13"/>
      <c r="BI1016" s="13"/>
      <c r="BJ1016" s="13"/>
      <c r="BK1016" s="13"/>
      <c r="BL1016" s="13"/>
      <c r="BM1016" s="13"/>
      <c r="BN1016" s="13"/>
      <c r="BO1016" s="13"/>
      <c r="BP1016" s="13"/>
      <c r="BQ1016" s="13"/>
      <c r="BR1016" s="13"/>
      <c r="BS1016" s="13"/>
      <c r="BT1016" s="13"/>
      <c r="BU1016" s="13"/>
      <c r="BV1016" s="13"/>
      <c r="BW1016" s="13"/>
      <c r="BX1016" s="13"/>
      <c r="BY1016" s="13"/>
      <c r="BZ1016" s="13"/>
      <c r="CA1016" s="13"/>
      <c r="CB1016" s="13"/>
      <c r="CC1016" s="13"/>
      <c r="CD1016" s="13"/>
      <c r="CE1016" s="13"/>
      <c r="CF1016" s="13"/>
      <c r="CG1016" s="13"/>
      <c r="CH1016" s="13"/>
      <c r="CI1016" s="13"/>
      <c r="CJ1016" s="13"/>
      <c r="CK1016" s="13"/>
      <c r="CL1016" s="13"/>
      <c r="CM1016" s="13"/>
      <c r="CN1016" s="13"/>
      <c r="CO1016" s="13"/>
      <c r="CP1016" s="13"/>
      <c r="CQ1016" s="13"/>
      <c r="CR1016" s="13"/>
      <c r="CS1016" s="13"/>
      <c r="CT1016" s="13"/>
      <c r="CU1016" s="13"/>
      <c r="CV1016" s="13"/>
      <c r="CW1016" s="13"/>
      <c r="CX1016" s="13"/>
    </row>
    <row r="1017" spans="1:102" ht="11.25">
      <c r="A1017" s="1"/>
      <c r="B1017" s="1"/>
      <c r="C1017" s="1"/>
      <c r="D1017" s="2"/>
      <c r="E1017" s="2"/>
      <c r="F1017" s="2"/>
      <c r="G1017" s="2"/>
      <c r="H1017" s="2"/>
      <c r="I1017" s="2"/>
      <c r="J1017" s="2"/>
      <c r="K1017" s="2"/>
      <c r="L1017" s="2"/>
      <c r="M1017" s="2"/>
      <c r="R1017" s="13"/>
      <c r="S1017" s="13"/>
      <c r="T1017" s="13"/>
      <c r="U1017" s="13"/>
      <c r="V1017" s="13"/>
      <c r="W1017" s="13"/>
      <c r="X1017" s="13"/>
      <c r="Y1017" s="13"/>
      <c r="Z1017" s="13"/>
      <c r="AA1017" s="13"/>
      <c r="AB1017" s="13"/>
      <c r="AC1017" s="13"/>
      <c r="AD1017" s="13"/>
      <c r="AE1017" s="13"/>
      <c r="AF1017" s="13"/>
      <c r="AG1017" s="13"/>
      <c r="AH1017" s="13"/>
      <c r="AI1017" s="13"/>
      <c r="AJ1017" s="13"/>
      <c r="AK1017" s="13"/>
      <c r="AL1017" s="13"/>
      <c r="AM1017" s="13"/>
      <c r="AN1017" s="13"/>
      <c r="AO1017" s="13"/>
      <c r="AP1017" s="13"/>
      <c r="AQ1017" s="13"/>
      <c r="AR1017" s="13"/>
      <c r="AS1017" s="13"/>
      <c r="AT1017" s="13"/>
      <c r="AU1017" s="13"/>
      <c r="AV1017" s="13"/>
      <c r="AW1017" s="13"/>
      <c r="AX1017" s="13"/>
      <c r="AY1017" s="13"/>
      <c r="AZ1017" s="13"/>
      <c r="BA1017" s="13"/>
      <c r="BB1017" s="13"/>
      <c r="BC1017" s="13"/>
      <c r="BD1017" s="13"/>
      <c r="BE1017" s="13"/>
      <c r="BF1017" s="13"/>
      <c r="BG1017" s="13"/>
      <c r="BH1017" s="13"/>
      <c r="BI1017" s="13"/>
      <c r="BJ1017" s="13"/>
      <c r="BK1017" s="13"/>
      <c r="BL1017" s="13"/>
      <c r="BM1017" s="13"/>
      <c r="BN1017" s="13"/>
      <c r="BO1017" s="13"/>
      <c r="BP1017" s="13"/>
      <c r="BQ1017" s="13"/>
      <c r="BR1017" s="13"/>
      <c r="BS1017" s="13"/>
      <c r="BT1017" s="13"/>
      <c r="BU1017" s="13"/>
      <c r="BV1017" s="13"/>
      <c r="BW1017" s="13"/>
      <c r="BX1017" s="13"/>
      <c r="BY1017" s="13"/>
      <c r="BZ1017" s="13"/>
      <c r="CA1017" s="13"/>
      <c r="CB1017" s="13"/>
      <c r="CC1017" s="13"/>
      <c r="CD1017" s="13"/>
      <c r="CE1017" s="13"/>
      <c r="CF1017" s="13"/>
      <c r="CG1017" s="13"/>
      <c r="CH1017" s="13"/>
      <c r="CI1017" s="13"/>
      <c r="CJ1017" s="13"/>
      <c r="CK1017" s="13"/>
      <c r="CL1017" s="13"/>
      <c r="CM1017" s="13"/>
      <c r="CN1017" s="13"/>
      <c r="CO1017" s="13"/>
      <c r="CP1017" s="13"/>
      <c r="CQ1017" s="13"/>
      <c r="CR1017" s="13"/>
      <c r="CS1017" s="13"/>
      <c r="CT1017" s="13"/>
      <c r="CU1017" s="13"/>
      <c r="CV1017" s="13"/>
      <c r="CW1017" s="13"/>
      <c r="CX1017" s="13"/>
    </row>
    <row r="1018" spans="1:102" ht="11.25">
      <c r="A1018" s="1"/>
      <c r="B1018" s="1"/>
      <c r="C1018" s="1"/>
      <c r="D1018" s="2"/>
      <c r="E1018" s="2"/>
      <c r="F1018" s="2"/>
      <c r="G1018" s="2"/>
      <c r="H1018" s="2"/>
      <c r="I1018" s="2"/>
      <c r="J1018" s="2"/>
      <c r="K1018" s="2"/>
      <c r="L1018" s="2"/>
      <c r="M1018" s="2"/>
      <c r="R1018" s="13"/>
      <c r="S1018" s="13"/>
      <c r="T1018" s="13"/>
      <c r="U1018" s="13"/>
      <c r="V1018" s="13"/>
      <c r="W1018" s="13"/>
      <c r="X1018" s="13"/>
      <c r="Y1018" s="13"/>
      <c r="Z1018" s="13"/>
      <c r="AA1018" s="13"/>
      <c r="AB1018" s="13"/>
      <c r="AC1018" s="13"/>
      <c r="AD1018" s="13"/>
      <c r="AE1018" s="13"/>
      <c r="AF1018" s="13"/>
      <c r="AG1018" s="13"/>
      <c r="AH1018" s="13"/>
      <c r="AI1018" s="13"/>
      <c r="AJ1018" s="13"/>
      <c r="AK1018" s="13"/>
      <c r="AL1018" s="13"/>
      <c r="AM1018" s="13"/>
      <c r="AN1018" s="13"/>
      <c r="AO1018" s="13"/>
      <c r="AP1018" s="13"/>
      <c r="AQ1018" s="13"/>
      <c r="AR1018" s="13"/>
      <c r="AS1018" s="13"/>
      <c r="AT1018" s="13"/>
      <c r="AU1018" s="13"/>
      <c r="AV1018" s="13"/>
      <c r="AW1018" s="13"/>
      <c r="AX1018" s="13"/>
      <c r="AY1018" s="13"/>
      <c r="AZ1018" s="13"/>
      <c r="BA1018" s="13"/>
      <c r="BB1018" s="13"/>
      <c r="BC1018" s="13"/>
      <c r="BD1018" s="13"/>
      <c r="BE1018" s="13"/>
      <c r="BF1018" s="13"/>
      <c r="BG1018" s="13"/>
      <c r="BH1018" s="13"/>
      <c r="BI1018" s="13"/>
      <c r="BJ1018" s="13"/>
      <c r="BK1018" s="13"/>
      <c r="BL1018" s="13"/>
      <c r="BM1018" s="13"/>
      <c r="BN1018" s="13"/>
      <c r="BO1018" s="13"/>
      <c r="BP1018" s="13"/>
      <c r="BQ1018" s="13"/>
      <c r="BR1018" s="13"/>
      <c r="BS1018" s="13"/>
      <c r="BT1018" s="13"/>
      <c r="BU1018" s="13"/>
      <c r="BV1018" s="13"/>
      <c r="BW1018" s="13"/>
      <c r="BX1018" s="13"/>
      <c r="BY1018" s="13"/>
      <c r="BZ1018" s="13"/>
      <c r="CA1018" s="13"/>
      <c r="CB1018" s="13"/>
      <c r="CC1018" s="13"/>
      <c r="CD1018" s="13"/>
      <c r="CE1018" s="13"/>
      <c r="CF1018" s="13"/>
      <c r="CG1018" s="13"/>
      <c r="CH1018" s="13"/>
      <c r="CI1018" s="13"/>
      <c r="CJ1018" s="13"/>
      <c r="CK1018" s="13"/>
      <c r="CL1018" s="13"/>
      <c r="CM1018" s="13"/>
      <c r="CN1018" s="13"/>
      <c r="CO1018" s="13"/>
      <c r="CP1018" s="13"/>
      <c r="CQ1018" s="13"/>
      <c r="CR1018" s="13"/>
      <c r="CS1018" s="13"/>
      <c r="CT1018" s="13"/>
      <c r="CU1018" s="13"/>
      <c r="CV1018" s="13"/>
      <c r="CW1018" s="13"/>
      <c r="CX1018" s="13"/>
    </row>
    <row r="1019" spans="1:102" ht="11.25">
      <c r="A1019" s="1"/>
      <c r="B1019" s="1"/>
      <c r="C1019" s="1"/>
      <c r="D1019" s="2"/>
      <c r="E1019" s="2"/>
      <c r="F1019" s="2"/>
      <c r="G1019" s="2"/>
      <c r="H1019" s="2"/>
      <c r="I1019" s="2"/>
      <c r="J1019" s="2"/>
      <c r="K1019" s="2"/>
      <c r="L1019" s="2"/>
      <c r="M1019" s="2"/>
      <c r="R1019" s="13"/>
      <c r="S1019" s="13"/>
      <c r="T1019" s="13"/>
      <c r="U1019" s="13"/>
      <c r="V1019" s="13"/>
      <c r="W1019" s="13"/>
      <c r="X1019" s="13"/>
      <c r="Y1019" s="13"/>
      <c r="Z1019" s="13"/>
      <c r="AA1019" s="13"/>
      <c r="AB1019" s="13"/>
      <c r="AC1019" s="13"/>
      <c r="AD1019" s="13"/>
      <c r="AE1019" s="13"/>
      <c r="AF1019" s="13"/>
      <c r="AG1019" s="13"/>
      <c r="AH1019" s="13"/>
      <c r="AI1019" s="13"/>
      <c r="AJ1019" s="13"/>
      <c r="AK1019" s="13"/>
      <c r="AL1019" s="13"/>
      <c r="AM1019" s="13"/>
      <c r="AN1019" s="13"/>
      <c r="AO1019" s="13"/>
      <c r="AP1019" s="13"/>
      <c r="AQ1019" s="13"/>
      <c r="AR1019" s="13"/>
      <c r="AS1019" s="13"/>
      <c r="AT1019" s="13"/>
      <c r="AU1019" s="13"/>
      <c r="AV1019" s="13"/>
      <c r="AW1019" s="13"/>
      <c r="AX1019" s="13"/>
      <c r="AY1019" s="13"/>
      <c r="AZ1019" s="13"/>
      <c r="BA1019" s="13"/>
      <c r="BB1019" s="13"/>
      <c r="BC1019" s="13"/>
      <c r="BD1019" s="13"/>
      <c r="BE1019" s="13"/>
      <c r="BF1019" s="13"/>
      <c r="BG1019" s="13"/>
      <c r="BH1019" s="13"/>
      <c r="BI1019" s="13"/>
      <c r="BJ1019" s="13"/>
      <c r="BK1019" s="13"/>
      <c r="BL1019" s="13"/>
      <c r="BM1019" s="13"/>
      <c r="BN1019" s="13"/>
      <c r="BO1019" s="13"/>
      <c r="BP1019" s="13"/>
      <c r="BQ1019" s="13"/>
      <c r="BR1019" s="13"/>
      <c r="BS1019" s="13"/>
      <c r="BT1019" s="13"/>
      <c r="BU1019" s="13"/>
      <c r="BV1019" s="13"/>
      <c r="BW1019" s="13"/>
      <c r="BX1019" s="13"/>
      <c r="BY1019" s="13"/>
      <c r="BZ1019" s="13"/>
      <c r="CA1019" s="13"/>
      <c r="CB1019" s="13"/>
      <c r="CC1019" s="13"/>
      <c r="CD1019" s="13"/>
      <c r="CE1019" s="13"/>
      <c r="CF1019" s="13"/>
      <c r="CG1019" s="13"/>
      <c r="CH1019" s="13"/>
      <c r="CI1019" s="13"/>
      <c r="CJ1019" s="13"/>
      <c r="CK1019" s="13"/>
      <c r="CL1019" s="13"/>
      <c r="CM1019" s="13"/>
      <c r="CN1019" s="13"/>
      <c r="CO1019" s="13"/>
      <c r="CP1019" s="13"/>
      <c r="CQ1019" s="13"/>
      <c r="CR1019" s="13"/>
      <c r="CS1019" s="13"/>
      <c r="CT1019" s="13"/>
      <c r="CU1019" s="13"/>
      <c r="CV1019" s="13"/>
      <c r="CW1019" s="13"/>
      <c r="CX1019" s="13"/>
    </row>
    <row r="1020" spans="1:102" ht="11.25">
      <c r="A1020" s="1"/>
      <c r="B1020" s="1"/>
      <c r="C1020" s="1"/>
      <c r="D1020" s="2"/>
      <c r="E1020" s="2"/>
      <c r="F1020" s="2"/>
      <c r="G1020" s="2"/>
      <c r="H1020" s="2"/>
      <c r="I1020" s="2"/>
      <c r="J1020" s="2"/>
      <c r="K1020" s="2"/>
      <c r="L1020" s="2"/>
      <c r="M1020" s="2"/>
      <c r="R1020" s="13"/>
      <c r="S1020" s="13"/>
      <c r="T1020" s="13"/>
      <c r="U1020" s="13"/>
      <c r="V1020" s="13"/>
      <c r="W1020" s="13"/>
      <c r="X1020" s="13"/>
      <c r="Y1020" s="13"/>
      <c r="Z1020" s="13"/>
      <c r="AA1020" s="13"/>
      <c r="AB1020" s="13"/>
      <c r="AC1020" s="13"/>
      <c r="AD1020" s="13"/>
      <c r="AE1020" s="13"/>
      <c r="AF1020" s="13"/>
      <c r="AG1020" s="13"/>
      <c r="AH1020" s="13"/>
      <c r="AI1020" s="13"/>
      <c r="AJ1020" s="13"/>
      <c r="AK1020" s="13"/>
      <c r="AL1020" s="13"/>
      <c r="AM1020" s="13"/>
      <c r="AN1020" s="13"/>
      <c r="AO1020" s="13"/>
      <c r="AP1020" s="13"/>
      <c r="AQ1020" s="13"/>
      <c r="AR1020" s="13"/>
      <c r="AS1020" s="13"/>
      <c r="AT1020" s="13"/>
      <c r="AU1020" s="13"/>
      <c r="AV1020" s="13"/>
      <c r="AW1020" s="13"/>
      <c r="AX1020" s="13"/>
      <c r="AY1020" s="13"/>
      <c r="AZ1020" s="13"/>
      <c r="BA1020" s="13"/>
      <c r="BB1020" s="13"/>
      <c r="BC1020" s="13"/>
      <c r="BD1020" s="13"/>
      <c r="BE1020" s="13"/>
      <c r="BF1020" s="13"/>
      <c r="BG1020" s="13"/>
      <c r="BH1020" s="13"/>
      <c r="BI1020" s="13"/>
      <c r="BJ1020" s="13"/>
      <c r="BK1020" s="13"/>
      <c r="BL1020" s="13"/>
      <c r="BM1020" s="13"/>
      <c r="BN1020" s="13"/>
      <c r="BO1020" s="13"/>
      <c r="BP1020" s="13"/>
      <c r="BQ1020" s="13"/>
      <c r="BR1020" s="13"/>
      <c r="BS1020" s="13"/>
      <c r="BT1020" s="13"/>
      <c r="BU1020" s="13"/>
      <c r="BV1020" s="13"/>
      <c r="BW1020" s="13"/>
      <c r="BX1020" s="13"/>
      <c r="BY1020" s="13"/>
      <c r="BZ1020" s="13"/>
      <c r="CA1020" s="13"/>
      <c r="CB1020" s="13"/>
      <c r="CC1020" s="13"/>
      <c r="CD1020" s="13"/>
      <c r="CE1020" s="13"/>
      <c r="CF1020" s="13"/>
      <c r="CG1020" s="13"/>
      <c r="CH1020" s="13"/>
      <c r="CI1020" s="13"/>
      <c r="CJ1020" s="13"/>
      <c r="CK1020" s="13"/>
      <c r="CL1020" s="13"/>
      <c r="CM1020" s="13"/>
      <c r="CN1020" s="13"/>
      <c r="CO1020" s="13"/>
      <c r="CP1020" s="13"/>
      <c r="CQ1020" s="13"/>
      <c r="CR1020" s="13"/>
      <c r="CS1020" s="13"/>
      <c r="CT1020" s="13"/>
      <c r="CU1020" s="13"/>
      <c r="CV1020" s="13"/>
      <c r="CW1020" s="13"/>
      <c r="CX1020" s="13"/>
    </row>
    <row r="1021" spans="1:102" ht="11.25">
      <c r="A1021" s="1"/>
      <c r="B1021" s="1"/>
      <c r="C1021" s="1"/>
      <c r="D1021" s="2"/>
      <c r="E1021" s="2"/>
      <c r="F1021" s="2"/>
      <c r="G1021" s="2"/>
      <c r="H1021" s="2"/>
      <c r="I1021" s="2"/>
      <c r="J1021" s="2"/>
      <c r="K1021" s="2"/>
      <c r="L1021" s="2"/>
      <c r="M1021" s="2"/>
      <c r="R1021" s="13"/>
      <c r="S1021" s="13"/>
      <c r="T1021" s="13"/>
      <c r="U1021" s="13"/>
      <c r="V1021" s="13"/>
      <c r="W1021" s="13"/>
      <c r="X1021" s="13"/>
      <c r="Y1021" s="13"/>
      <c r="Z1021" s="13"/>
      <c r="AA1021" s="13"/>
      <c r="AB1021" s="13"/>
      <c r="AC1021" s="13"/>
      <c r="AD1021" s="13"/>
      <c r="AE1021" s="13"/>
      <c r="AF1021" s="13"/>
      <c r="AG1021" s="13"/>
      <c r="AH1021" s="13"/>
      <c r="AI1021" s="13"/>
      <c r="AJ1021" s="13"/>
      <c r="AK1021" s="13"/>
      <c r="AL1021" s="13"/>
      <c r="AM1021" s="13"/>
      <c r="AN1021" s="13"/>
      <c r="AO1021" s="13"/>
      <c r="AP1021" s="13"/>
      <c r="AQ1021" s="13"/>
      <c r="AR1021" s="13"/>
      <c r="AS1021" s="13"/>
      <c r="AT1021" s="13"/>
      <c r="AU1021" s="13"/>
      <c r="AV1021" s="13"/>
      <c r="AW1021" s="13"/>
      <c r="AX1021" s="13"/>
      <c r="AY1021" s="13"/>
      <c r="AZ1021" s="13"/>
      <c r="BA1021" s="13"/>
      <c r="BB1021" s="13"/>
      <c r="BC1021" s="13"/>
      <c r="BD1021" s="13"/>
      <c r="BE1021" s="13"/>
      <c r="BF1021" s="13"/>
      <c r="BG1021" s="13"/>
      <c r="BH1021" s="13"/>
      <c r="BI1021" s="13"/>
      <c r="BJ1021" s="13"/>
      <c r="BK1021" s="13"/>
      <c r="BL1021" s="13"/>
      <c r="BM1021" s="13"/>
      <c r="BN1021" s="13"/>
      <c r="BO1021" s="13"/>
      <c r="BP1021" s="13"/>
      <c r="BQ1021" s="13"/>
      <c r="BR1021" s="13"/>
      <c r="BS1021" s="13"/>
      <c r="BT1021" s="13"/>
      <c r="BU1021" s="13"/>
      <c r="BV1021" s="13"/>
      <c r="BW1021" s="13"/>
      <c r="BX1021" s="13"/>
      <c r="BY1021" s="13"/>
      <c r="BZ1021" s="13"/>
      <c r="CA1021" s="13"/>
      <c r="CB1021" s="13"/>
      <c r="CC1021" s="13"/>
      <c r="CD1021" s="13"/>
      <c r="CE1021" s="13"/>
      <c r="CF1021" s="13"/>
      <c r="CG1021" s="13"/>
      <c r="CH1021" s="13"/>
      <c r="CI1021" s="13"/>
      <c r="CJ1021" s="13"/>
      <c r="CK1021" s="13"/>
      <c r="CL1021" s="13"/>
      <c r="CM1021" s="13"/>
      <c r="CN1021" s="13"/>
      <c r="CO1021" s="13"/>
      <c r="CP1021" s="13"/>
      <c r="CQ1021" s="13"/>
      <c r="CR1021" s="13"/>
      <c r="CS1021" s="13"/>
      <c r="CT1021" s="13"/>
      <c r="CU1021" s="13"/>
      <c r="CV1021" s="13"/>
      <c r="CW1021" s="13"/>
      <c r="CX1021" s="13"/>
    </row>
    <row r="1022" spans="1:102" ht="11.25">
      <c r="A1022" s="1"/>
      <c r="B1022" s="1"/>
      <c r="C1022" s="1"/>
      <c r="D1022" s="2"/>
      <c r="E1022" s="2"/>
      <c r="F1022" s="2"/>
      <c r="G1022" s="2"/>
      <c r="H1022" s="2"/>
      <c r="I1022" s="2"/>
      <c r="J1022" s="2"/>
      <c r="K1022" s="2"/>
      <c r="L1022" s="2"/>
      <c r="M1022" s="2"/>
      <c r="R1022" s="13"/>
      <c r="S1022" s="13"/>
      <c r="T1022" s="13"/>
      <c r="U1022" s="13"/>
      <c r="V1022" s="13"/>
      <c r="W1022" s="13"/>
      <c r="X1022" s="13"/>
      <c r="Y1022" s="13"/>
      <c r="Z1022" s="13"/>
      <c r="AA1022" s="13"/>
      <c r="AB1022" s="13"/>
      <c r="AC1022" s="13"/>
      <c r="AD1022" s="13"/>
      <c r="AE1022" s="13"/>
      <c r="AF1022" s="13"/>
      <c r="AG1022" s="13"/>
      <c r="AH1022" s="13"/>
      <c r="AI1022" s="13"/>
      <c r="AJ1022" s="13"/>
      <c r="AK1022" s="13"/>
      <c r="AL1022" s="13"/>
      <c r="AM1022" s="13"/>
      <c r="AN1022" s="13"/>
      <c r="AO1022" s="13"/>
      <c r="AP1022" s="13"/>
      <c r="AQ1022" s="13"/>
      <c r="AR1022" s="13"/>
      <c r="AS1022" s="13"/>
      <c r="AT1022" s="13"/>
      <c r="AU1022" s="13"/>
      <c r="AV1022" s="13"/>
      <c r="AW1022" s="13"/>
      <c r="AX1022" s="13"/>
      <c r="AY1022" s="13"/>
      <c r="AZ1022" s="13"/>
      <c r="BA1022" s="13"/>
      <c r="BB1022" s="13"/>
      <c r="BC1022" s="13"/>
      <c r="BD1022" s="13"/>
      <c r="BE1022" s="13"/>
      <c r="BF1022" s="13"/>
      <c r="BG1022" s="13"/>
      <c r="BH1022" s="13"/>
      <c r="BI1022" s="13"/>
      <c r="BJ1022" s="13"/>
      <c r="BK1022" s="13"/>
      <c r="BL1022" s="13"/>
      <c r="BM1022" s="13"/>
      <c r="BN1022" s="13"/>
      <c r="BO1022" s="13"/>
      <c r="BP1022" s="13"/>
      <c r="BQ1022" s="13"/>
      <c r="BR1022" s="13"/>
      <c r="BS1022" s="13"/>
      <c r="BT1022" s="13"/>
      <c r="BU1022" s="13"/>
      <c r="BV1022" s="13"/>
      <c r="BW1022" s="13"/>
      <c r="BX1022" s="13"/>
      <c r="BY1022" s="13"/>
      <c r="BZ1022" s="13"/>
      <c r="CA1022" s="13"/>
      <c r="CB1022" s="13"/>
      <c r="CC1022" s="13"/>
      <c r="CD1022" s="13"/>
      <c r="CE1022" s="13"/>
      <c r="CF1022" s="13"/>
      <c r="CG1022" s="13"/>
      <c r="CH1022" s="13"/>
      <c r="CI1022" s="13"/>
      <c r="CJ1022" s="13"/>
      <c r="CK1022" s="13"/>
      <c r="CL1022" s="13"/>
      <c r="CM1022" s="13"/>
      <c r="CN1022" s="13"/>
      <c r="CO1022" s="13"/>
      <c r="CP1022" s="13"/>
      <c r="CQ1022" s="13"/>
      <c r="CR1022" s="13"/>
      <c r="CS1022" s="13"/>
      <c r="CT1022" s="13"/>
      <c r="CU1022" s="13"/>
      <c r="CV1022" s="13"/>
      <c r="CW1022" s="13"/>
      <c r="CX1022" s="13"/>
    </row>
    <row r="1023" spans="1:102" ht="11.25">
      <c r="A1023" s="1"/>
      <c r="B1023" s="1"/>
      <c r="C1023" s="1"/>
      <c r="D1023" s="2"/>
      <c r="E1023" s="2"/>
      <c r="F1023" s="2"/>
      <c r="G1023" s="2"/>
      <c r="H1023" s="2"/>
      <c r="I1023" s="2"/>
      <c r="J1023" s="2"/>
      <c r="K1023" s="2"/>
      <c r="L1023" s="2"/>
      <c r="M1023" s="2"/>
      <c r="N1023" s="21"/>
      <c r="O1023" s="21"/>
      <c r="P1023" s="21"/>
      <c r="Q1023" s="13"/>
      <c r="R1023" s="13"/>
      <c r="S1023" s="13"/>
      <c r="T1023" s="13"/>
      <c r="U1023" s="13"/>
      <c r="V1023" s="13"/>
      <c r="W1023" s="13"/>
      <c r="X1023" s="13"/>
      <c r="Y1023" s="13"/>
      <c r="Z1023" s="13"/>
      <c r="AA1023" s="13"/>
      <c r="AB1023" s="13"/>
      <c r="AC1023" s="13"/>
      <c r="AD1023" s="13"/>
      <c r="AE1023" s="13"/>
      <c r="AF1023" s="13"/>
      <c r="AG1023" s="13"/>
      <c r="AH1023" s="13"/>
      <c r="AI1023" s="13"/>
      <c r="AJ1023" s="13"/>
      <c r="AK1023" s="13"/>
      <c r="AL1023" s="13"/>
      <c r="AM1023" s="13"/>
      <c r="AN1023" s="13"/>
      <c r="AO1023" s="13"/>
      <c r="AP1023" s="13"/>
      <c r="AQ1023" s="13"/>
      <c r="AR1023" s="13"/>
      <c r="AS1023" s="13"/>
      <c r="AT1023" s="13"/>
      <c r="AU1023" s="13"/>
      <c r="AV1023" s="13"/>
      <c r="AW1023" s="13"/>
      <c r="AX1023" s="13"/>
      <c r="AY1023" s="13"/>
      <c r="AZ1023" s="13"/>
      <c r="BA1023" s="13"/>
      <c r="BB1023" s="13"/>
      <c r="BC1023" s="13"/>
      <c r="BD1023" s="13"/>
      <c r="BE1023" s="13"/>
      <c r="BF1023" s="13"/>
      <c r="BG1023" s="13"/>
      <c r="BH1023" s="13"/>
      <c r="BI1023" s="13"/>
      <c r="BJ1023" s="13"/>
      <c r="BK1023" s="13"/>
      <c r="BL1023" s="13"/>
      <c r="BM1023" s="13"/>
      <c r="BN1023" s="13"/>
      <c r="BO1023" s="13"/>
      <c r="BP1023" s="13"/>
      <c r="BQ1023" s="13"/>
      <c r="BR1023" s="13"/>
      <c r="BS1023" s="13"/>
      <c r="BT1023" s="13"/>
      <c r="BU1023" s="13"/>
      <c r="BV1023" s="13"/>
      <c r="BW1023" s="13"/>
      <c r="BX1023" s="13"/>
      <c r="BY1023" s="13"/>
      <c r="BZ1023" s="13"/>
      <c r="CA1023" s="13"/>
      <c r="CB1023" s="13"/>
      <c r="CC1023" s="13"/>
      <c r="CD1023" s="13"/>
      <c r="CE1023" s="13"/>
      <c r="CF1023" s="13"/>
      <c r="CG1023" s="13"/>
      <c r="CH1023" s="13"/>
      <c r="CI1023" s="13"/>
      <c r="CJ1023" s="13"/>
      <c r="CK1023" s="13"/>
      <c r="CL1023" s="13"/>
      <c r="CM1023" s="13"/>
      <c r="CN1023" s="13"/>
      <c r="CO1023" s="13"/>
      <c r="CP1023" s="13"/>
      <c r="CQ1023" s="13"/>
      <c r="CR1023" s="13"/>
      <c r="CS1023" s="13"/>
      <c r="CT1023" s="13"/>
      <c r="CU1023" s="13"/>
      <c r="CV1023" s="13"/>
      <c r="CW1023" s="13"/>
      <c r="CX1023" s="13"/>
    </row>
    <row r="1024" spans="1:102" ht="11.25">
      <c r="A1024" s="1"/>
      <c r="B1024" s="1"/>
      <c r="C1024" s="1"/>
      <c r="D1024" s="2"/>
      <c r="E1024" s="2"/>
      <c r="F1024" s="2"/>
      <c r="G1024" s="2"/>
      <c r="H1024" s="2"/>
      <c r="I1024" s="2"/>
      <c r="J1024" s="2"/>
      <c r="K1024" s="2"/>
      <c r="L1024" s="2"/>
      <c r="M1024" s="2"/>
      <c r="N1024" s="21"/>
      <c r="O1024" s="21"/>
      <c r="P1024" s="21"/>
      <c r="Q1024" s="13"/>
      <c r="R1024" s="13"/>
      <c r="S1024" s="13"/>
      <c r="T1024" s="13"/>
      <c r="U1024" s="13"/>
      <c r="V1024" s="13"/>
      <c r="W1024" s="13"/>
      <c r="X1024" s="13"/>
      <c r="Y1024" s="13"/>
      <c r="Z1024" s="13"/>
      <c r="AA1024" s="13"/>
      <c r="AB1024" s="13"/>
      <c r="AC1024" s="13"/>
      <c r="AD1024" s="13"/>
      <c r="AE1024" s="13"/>
      <c r="AF1024" s="13"/>
      <c r="AG1024" s="13"/>
      <c r="AH1024" s="13"/>
      <c r="AI1024" s="13"/>
      <c r="AJ1024" s="13"/>
      <c r="AK1024" s="13"/>
      <c r="AL1024" s="13"/>
      <c r="AM1024" s="13"/>
      <c r="AN1024" s="13"/>
      <c r="AO1024" s="13"/>
      <c r="AP1024" s="13"/>
      <c r="AQ1024" s="13"/>
      <c r="AR1024" s="13"/>
      <c r="AS1024" s="13"/>
      <c r="AT1024" s="13"/>
      <c r="AU1024" s="13"/>
      <c r="AV1024" s="13"/>
      <c r="AW1024" s="13"/>
      <c r="AX1024" s="13"/>
      <c r="AY1024" s="13"/>
      <c r="AZ1024" s="13"/>
      <c r="BA1024" s="13"/>
      <c r="BB1024" s="13"/>
      <c r="BC1024" s="13"/>
      <c r="BD1024" s="13"/>
      <c r="BE1024" s="13"/>
      <c r="BF1024" s="13"/>
      <c r="BG1024" s="13"/>
      <c r="BH1024" s="13"/>
      <c r="BI1024" s="13"/>
      <c r="BJ1024" s="13"/>
      <c r="BK1024" s="13"/>
      <c r="BL1024" s="13"/>
      <c r="BM1024" s="13"/>
      <c r="BN1024" s="13"/>
      <c r="BO1024" s="13"/>
      <c r="BP1024" s="13"/>
      <c r="BQ1024" s="13"/>
      <c r="BR1024" s="13"/>
      <c r="BS1024" s="13"/>
      <c r="BT1024" s="13"/>
      <c r="BU1024" s="13"/>
      <c r="BV1024" s="13"/>
      <c r="BW1024" s="13"/>
      <c r="BX1024" s="13"/>
      <c r="BY1024" s="13"/>
      <c r="BZ1024" s="13"/>
      <c r="CA1024" s="13"/>
      <c r="CB1024" s="13"/>
      <c r="CC1024" s="13"/>
      <c r="CD1024" s="13"/>
      <c r="CE1024" s="13"/>
      <c r="CF1024" s="13"/>
      <c r="CG1024" s="13"/>
      <c r="CH1024" s="13"/>
      <c r="CI1024" s="13"/>
      <c r="CJ1024" s="13"/>
      <c r="CK1024" s="13"/>
      <c r="CL1024" s="13"/>
      <c r="CM1024" s="13"/>
      <c r="CN1024" s="13"/>
      <c r="CO1024" s="13"/>
      <c r="CP1024" s="13"/>
      <c r="CQ1024" s="13"/>
      <c r="CR1024" s="13"/>
      <c r="CS1024" s="13"/>
      <c r="CT1024" s="13"/>
      <c r="CU1024" s="13"/>
      <c r="CV1024" s="13"/>
      <c r="CW1024" s="13"/>
      <c r="CX1024" s="13"/>
    </row>
    <row r="1025" spans="1:102" ht="11.25">
      <c r="A1025" s="1"/>
      <c r="B1025" s="1"/>
      <c r="C1025" s="1"/>
      <c r="D1025" s="2"/>
      <c r="E1025" s="2"/>
      <c r="F1025" s="2"/>
      <c r="G1025" s="2"/>
      <c r="H1025" s="2"/>
      <c r="I1025" s="2"/>
      <c r="J1025" s="2"/>
      <c r="K1025" s="2"/>
      <c r="L1025" s="2"/>
      <c r="M1025" s="2"/>
      <c r="N1025" s="21"/>
      <c r="O1025" s="21"/>
      <c r="P1025" s="21"/>
      <c r="Q1025" s="13"/>
      <c r="R1025" s="13"/>
      <c r="S1025" s="13"/>
      <c r="T1025" s="13"/>
      <c r="U1025" s="13"/>
      <c r="V1025" s="13"/>
      <c r="W1025" s="13"/>
      <c r="X1025" s="13"/>
      <c r="Y1025" s="13"/>
      <c r="Z1025" s="13"/>
      <c r="AA1025" s="13"/>
      <c r="AB1025" s="13"/>
      <c r="AC1025" s="13"/>
      <c r="AD1025" s="13"/>
      <c r="AE1025" s="13"/>
      <c r="AF1025" s="13"/>
      <c r="AG1025" s="13"/>
      <c r="AH1025" s="13"/>
      <c r="AI1025" s="13"/>
      <c r="AJ1025" s="13"/>
      <c r="AK1025" s="13"/>
      <c r="AL1025" s="13"/>
      <c r="AM1025" s="13"/>
      <c r="AN1025" s="13"/>
      <c r="AO1025" s="13"/>
      <c r="AP1025" s="13"/>
      <c r="AQ1025" s="13"/>
      <c r="AR1025" s="13"/>
      <c r="AS1025" s="13"/>
      <c r="AT1025" s="13"/>
      <c r="AU1025" s="13"/>
      <c r="AV1025" s="13"/>
      <c r="AW1025" s="13"/>
      <c r="AX1025" s="13"/>
      <c r="AY1025" s="13"/>
      <c r="AZ1025" s="13"/>
      <c r="BA1025" s="13"/>
      <c r="BB1025" s="13"/>
      <c r="BC1025" s="13"/>
      <c r="BD1025" s="13"/>
      <c r="BE1025" s="13"/>
      <c r="BF1025" s="13"/>
      <c r="BG1025" s="13"/>
      <c r="BH1025" s="13"/>
      <c r="BI1025" s="13"/>
      <c r="BJ1025" s="13"/>
      <c r="BK1025" s="13"/>
      <c r="BL1025" s="13"/>
      <c r="BM1025" s="13"/>
      <c r="BN1025" s="13"/>
      <c r="BO1025" s="13"/>
      <c r="BP1025" s="13"/>
      <c r="BQ1025" s="13"/>
      <c r="BR1025" s="13"/>
      <c r="BS1025" s="13"/>
      <c r="BT1025" s="13"/>
      <c r="BU1025" s="13"/>
      <c r="BV1025" s="13"/>
      <c r="BW1025" s="13"/>
      <c r="BX1025" s="13"/>
      <c r="BY1025" s="13"/>
      <c r="BZ1025" s="13"/>
      <c r="CA1025" s="13"/>
      <c r="CB1025" s="13"/>
      <c r="CC1025" s="13"/>
      <c r="CD1025" s="13"/>
      <c r="CE1025" s="13"/>
      <c r="CF1025" s="13"/>
      <c r="CG1025" s="13"/>
      <c r="CH1025" s="13"/>
      <c r="CI1025" s="13"/>
      <c r="CJ1025" s="13"/>
      <c r="CK1025" s="13"/>
      <c r="CL1025" s="13"/>
      <c r="CM1025" s="13"/>
      <c r="CN1025" s="13"/>
      <c r="CO1025" s="13"/>
      <c r="CP1025" s="13"/>
      <c r="CQ1025" s="13"/>
      <c r="CR1025" s="13"/>
      <c r="CS1025" s="13"/>
      <c r="CT1025" s="13"/>
      <c r="CU1025" s="13"/>
      <c r="CV1025" s="13"/>
      <c r="CW1025" s="13"/>
      <c r="CX1025" s="13"/>
    </row>
    <row r="1026" spans="1:102" ht="11.25">
      <c r="A1026" s="1"/>
      <c r="B1026" s="1"/>
      <c r="C1026" s="1"/>
      <c r="D1026" s="2"/>
      <c r="E1026" s="2"/>
      <c r="F1026" s="2"/>
      <c r="G1026" s="2"/>
      <c r="H1026" s="2"/>
      <c r="I1026" s="2"/>
      <c r="J1026" s="2"/>
      <c r="K1026" s="2"/>
      <c r="L1026" s="2"/>
      <c r="M1026" s="2"/>
      <c r="N1026" s="21"/>
      <c r="O1026" s="21"/>
      <c r="P1026" s="21"/>
      <c r="Q1026" s="13"/>
      <c r="R1026" s="13"/>
      <c r="S1026" s="13"/>
      <c r="T1026" s="13"/>
      <c r="U1026" s="13"/>
      <c r="V1026" s="13"/>
      <c r="W1026" s="13"/>
      <c r="X1026" s="13"/>
      <c r="Y1026" s="13"/>
      <c r="Z1026" s="13"/>
      <c r="AA1026" s="13"/>
      <c r="AB1026" s="13"/>
      <c r="AC1026" s="13"/>
      <c r="AD1026" s="13"/>
      <c r="AE1026" s="13"/>
      <c r="AF1026" s="13"/>
      <c r="AG1026" s="13"/>
      <c r="AH1026" s="13"/>
      <c r="AI1026" s="13"/>
      <c r="AJ1026" s="13"/>
      <c r="AK1026" s="13"/>
      <c r="AL1026" s="13"/>
      <c r="AM1026" s="13"/>
      <c r="AN1026" s="13"/>
      <c r="AO1026" s="13"/>
      <c r="AP1026" s="13"/>
      <c r="AQ1026" s="13"/>
      <c r="AR1026" s="13"/>
      <c r="AS1026" s="13"/>
      <c r="AT1026" s="13"/>
      <c r="AU1026" s="13"/>
      <c r="AV1026" s="13"/>
      <c r="AW1026" s="13"/>
      <c r="AX1026" s="13"/>
      <c r="AY1026" s="13"/>
      <c r="AZ1026" s="13"/>
      <c r="BA1026" s="13"/>
      <c r="BB1026" s="13"/>
      <c r="BC1026" s="13"/>
      <c r="BD1026" s="13"/>
      <c r="BE1026" s="13"/>
      <c r="BF1026" s="13"/>
      <c r="BG1026" s="13"/>
      <c r="BH1026" s="13"/>
      <c r="BI1026" s="13"/>
      <c r="BJ1026" s="13"/>
      <c r="BK1026" s="13"/>
      <c r="BL1026" s="13"/>
      <c r="BM1026" s="13"/>
      <c r="BN1026" s="13"/>
      <c r="BO1026" s="13"/>
      <c r="BP1026" s="13"/>
      <c r="BQ1026" s="13"/>
      <c r="BR1026" s="13"/>
      <c r="BS1026" s="13"/>
      <c r="BT1026" s="13"/>
      <c r="BU1026" s="13"/>
      <c r="BV1026" s="13"/>
      <c r="BW1026" s="13"/>
      <c r="BX1026" s="13"/>
      <c r="BY1026" s="13"/>
      <c r="BZ1026" s="13"/>
      <c r="CA1026" s="13"/>
      <c r="CB1026" s="13"/>
      <c r="CC1026" s="13"/>
      <c r="CD1026" s="13"/>
      <c r="CE1026" s="13"/>
      <c r="CF1026" s="13"/>
      <c r="CG1026" s="13"/>
      <c r="CH1026" s="13"/>
      <c r="CI1026" s="13"/>
      <c r="CJ1026" s="13"/>
      <c r="CK1026" s="13"/>
      <c r="CL1026" s="13"/>
      <c r="CM1026" s="13"/>
      <c r="CN1026" s="13"/>
      <c r="CO1026" s="13"/>
      <c r="CP1026" s="13"/>
      <c r="CQ1026" s="13"/>
      <c r="CR1026" s="13"/>
      <c r="CS1026" s="13"/>
      <c r="CT1026" s="13"/>
      <c r="CU1026" s="13"/>
      <c r="CV1026" s="13"/>
      <c r="CW1026" s="13"/>
      <c r="CX1026" s="13"/>
    </row>
    <row r="1027" spans="1:102" ht="11.25">
      <c r="A1027" s="1"/>
      <c r="B1027" s="1"/>
      <c r="C1027" s="1"/>
      <c r="D1027" s="2"/>
      <c r="E1027" s="2"/>
      <c r="F1027" s="2"/>
      <c r="G1027" s="2"/>
      <c r="H1027" s="2"/>
      <c r="I1027" s="2"/>
      <c r="J1027" s="2"/>
      <c r="K1027" s="2"/>
      <c r="L1027" s="2"/>
      <c r="M1027" s="2"/>
      <c r="N1027" s="21"/>
      <c r="O1027" s="21"/>
      <c r="P1027" s="21"/>
      <c r="Q1027" s="13"/>
      <c r="R1027" s="13"/>
      <c r="S1027" s="13"/>
      <c r="T1027" s="13"/>
      <c r="U1027" s="13"/>
      <c r="V1027" s="13"/>
      <c r="W1027" s="13"/>
      <c r="X1027" s="13"/>
      <c r="Y1027" s="13"/>
      <c r="Z1027" s="13"/>
      <c r="AA1027" s="13"/>
      <c r="AB1027" s="13"/>
      <c r="AC1027" s="13"/>
      <c r="AD1027" s="13"/>
      <c r="AE1027" s="13"/>
      <c r="AF1027" s="13"/>
      <c r="AG1027" s="13"/>
      <c r="AH1027" s="13"/>
      <c r="AI1027" s="13"/>
      <c r="AJ1027" s="13"/>
      <c r="AK1027" s="13"/>
      <c r="AL1027" s="13"/>
      <c r="AM1027" s="13"/>
      <c r="AN1027" s="13"/>
      <c r="AO1027" s="13"/>
      <c r="AP1027" s="13"/>
      <c r="AQ1027" s="13"/>
      <c r="AR1027" s="13"/>
      <c r="AS1027" s="13"/>
      <c r="AT1027" s="13"/>
      <c r="AU1027" s="13"/>
      <c r="AV1027" s="13"/>
      <c r="AW1027" s="13"/>
      <c r="AX1027" s="13"/>
      <c r="AY1027" s="13"/>
      <c r="AZ1027" s="13"/>
      <c r="BA1027" s="13"/>
      <c r="BB1027" s="13"/>
      <c r="BC1027" s="13"/>
      <c r="BD1027" s="13"/>
      <c r="BE1027" s="13"/>
      <c r="BF1027" s="13"/>
      <c r="BG1027" s="13"/>
      <c r="BH1027" s="13"/>
      <c r="BI1027" s="13"/>
      <c r="BJ1027" s="13"/>
      <c r="BK1027" s="13"/>
      <c r="BL1027" s="13"/>
      <c r="BM1027" s="13"/>
      <c r="BN1027" s="13"/>
      <c r="BO1027" s="13"/>
      <c r="BP1027" s="13"/>
      <c r="BQ1027" s="13"/>
      <c r="BR1027" s="13"/>
      <c r="BS1027" s="13"/>
      <c r="BT1027" s="13"/>
      <c r="BU1027" s="13"/>
      <c r="BV1027" s="13"/>
      <c r="BW1027" s="13"/>
      <c r="BX1027" s="13"/>
      <c r="BY1027" s="13"/>
      <c r="BZ1027" s="13"/>
      <c r="CA1027" s="13"/>
      <c r="CB1027" s="13"/>
      <c r="CC1027" s="13"/>
      <c r="CD1027" s="13"/>
      <c r="CE1027" s="13"/>
      <c r="CF1027" s="13"/>
      <c r="CG1027" s="13"/>
      <c r="CH1027" s="13"/>
      <c r="CI1027" s="13"/>
      <c r="CJ1027" s="13"/>
      <c r="CK1027" s="13"/>
      <c r="CL1027" s="13"/>
      <c r="CM1027" s="13"/>
      <c r="CN1027" s="13"/>
      <c r="CO1027" s="13"/>
      <c r="CP1027" s="13"/>
      <c r="CQ1027" s="13"/>
      <c r="CR1027" s="13"/>
      <c r="CS1027" s="13"/>
      <c r="CT1027" s="13"/>
      <c r="CU1027" s="13"/>
      <c r="CV1027" s="13"/>
      <c r="CW1027" s="13"/>
      <c r="CX1027" s="13"/>
    </row>
    <row r="1028" spans="1:102" ht="11.25">
      <c r="A1028" s="1"/>
      <c r="B1028" s="1"/>
      <c r="C1028" s="1"/>
      <c r="D1028" s="2"/>
      <c r="E1028" s="2"/>
      <c r="F1028" s="2"/>
      <c r="G1028" s="2"/>
      <c r="H1028" s="2"/>
      <c r="I1028" s="2"/>
      <c r="J1028" s="2"/>
      <c r="K1028" s="2"/>
      <c r="L1028" s="2"/>
      <c r="M1028" s="2"/>
      <c r="N1028" s="21"/>
      <c r="O1028" s="21"/>
      <c r="P1028" s="21"/>
      <c r="Q1028" s="13"/>
      <c r="R1028" s="13"/>
      <c r="S1028" s="13"/>
      <c r="T1028" s="13"/>
      <c r="U1028" s="13"/>
      <c r="V1028" s="13"/>
      <c r="W1028" s="13"/>
      <c r="X1028" s="13"/>
      <c r="Y1028" s="13"/>
      <c r="Z1028" s="13"/>
      <c r="AA1028" s="13"/>
      <c r="AB1028" s="13"/>
      <c r="AC1028" s="13"/>
      <c r="AD1028" s="13"/>
      <c r="AE1028" s="13"/>
      <c r="AF1028" s="13"/>
      <c r="AG1028" s="13"/>
      <c r="AH1028" s="13"/>
      <c r="AI1028" s="13"/>
      <c r="AJ1028" s="13"/>
      <c r="AK1028" s="13"/>
      <c r="AL1028" s="13"/>
      <c r="AM1028" s="13"/>
      <c r="AN1028" s="13"/>
      <c r="AO1028" s="13"/>
      <c r="AP1028" s="13"/>
      <c r="AQ1028" s="13"/>
      <c r="AR1028" s="13"/>
      <c r="AS1028" s="13"/>
      <c r="AT1028" s="13"/>
      <c r="AU1028" s="13"/>
      <c r="AV1028" s="13"/>
      <c r="AW1028" s="13"/>
      <c r="AX1028" s="13"/>
      <c r="AY1028" s="13"/>
      <c r="AZ1028" s="13"/>
      <c r="BA1028" s="13"/>
      <c r="BB1028" s="13"/>
      <c r="BC1028" s="13"/>
      <c r="BD1028" s="13"/>
      <c r="BE1028" s="13"/>
      <c r="BF1028" s="13"/>
      <c r="BG1028" s="13"/>
      <c r="BH1028" s="13"/>
      <c r="BI1028" s="13"/>
      <c r="BJ1028" s="13"/>
      <c r="BK1028" s="13"/>
      <c r="BL1028" s="13"/>
      <c r="BM1028" s="13"/>
      <c r="BN1028" s="13"/>
      <c r="BO1028" s="13"/>
      <c r="BP1028" s="13"/>
      <c r="BQ1028" s="13"/>
      <c r="BR1028" s="13"/>
      <c r="BS1028" s="13"/>
      <c r="BT1028" s="13"/>
      <c r="BU1028" s="13"/>
      <c r="BV1028" s="13"/>
      <c r="BW1028" s="13"/>
      <c r="BX1028" s="13"/>
      <c r="BY1028" s="13"/>
      <c r="BZ1028" s="13"/>
      <c r="CA1028" s="13"/>
      <c r="CB1028" s="13"/>
      <c r="CC1028" s="13"/>
      <c r="CD1028" s="13"/>
      <c r="CE1028" s="13"/>
      <c r="CF1028" s="13"/>
      <c r="CG1028" s="13"/>
      <c r="CH1028" s="13"/>
      <c r="CI1028" s="13"/>
      <c r="CJ1028" s="13"/>
      <c r="CK1028" s="13"/>
      <c r="CL1028" s="13"/>
      <c r="CM1028" s="13"/>
      <c r="CN1028" s="13"/>
      <c r="CO1028" s="13"/>
      <c r="CP1028" s="13"/>
      <c r="CQ1028" s="13"/>
      <c r="CR1028" s="13"/>
      <c r="CS1028" s="13"/>
      <c r="CT1028" s="13"/>
      <c r="CU1028" s="13"/>
      <c r="CV1028" s="13"/>
      <c r="CW1028" s="13"/>
      <c r="CX1028" s="13"/>
    </row>
    <row r="1029" spans="1:102" ht="11.25">
      <c r="A1029" s="1"/>
      <c r="B1029" s="1"/>
      <c r="C1029" s="1"/>
      <c r="D1029" s="2"/>
      <c r="E1029" s="2"/>
      <c r="F1029" s="2"/>
      <c r="G1029" s="2"/>
      <c r="H1029" s="2"/>
      <c r="I1029" s="2"/>
      <c r="J1029" s="2"/>
      <c r="K1029" s="2"/>
      <c r="L1029" s="2"/>
      <c r="M1029" s="2"/>
      <c r="N1029" s="21"/>
      <c r="O1029" s="21"/>
      <c r="P1029" s="21"/>
      <c r="Q1029" s="13"/>
      <c r="R1029" s="13"/>
      <c r="S1029" s="13"/>
      <c r="T1029" s="13"/>
      <c r="U1029" s="13"/>
      <c r="V1029" s="13"/>
      <c r="W1029" s="13"/>
      <c r="X1029" s="13"/>
      <c r="Y1029" s="13"/>
      <c r="Z1029" s="13"/>
      <c r="AA1029" s="13"/>
      <c r="AB1029" s="13"/>
      <c r="AC1029" s="13"/>
      <c r="AD1029" s="13"/>
      <c r="AE1029" s="13"/>
      <c r="AF1029" s="13"/>
      <c r="AG1029" s="13"/>
      <c r="AH1029" s="13"/>
      <c r="AI1029" s="13"/>
      <c r="AJ1029" s="13"/>
      <c r="AK1029" s="13"/>
      <c r="AL1029" s="13"/>
      <c r="AM1029" s="13"/>
      <c r="AN1029" s="13"/>
      <c r="AO1029" s="13"/>
      <c r="AP1029" s="13"/>
      <c r="AQ1029" s="13"/>
      <c r="AR1029" s="13"/>
      <c r="AS1029" s="13"/>
      <c r="AT1029" s="13"/>
      <c r="AU1029" s="13"/>
      <c r="AV1029" s="13"/>
      <c r="AW1029" s="13"/>
      <c r="AX1029" s="13"/>
      <c r="AY1029" s="13"/>
      <c r="AZ1029" s="13"/>
      <c r="BA1029" s="13"/>
      <c r="BB1029" s="13"/>
      <c r="BC1029" s="13"/>
      <c r="BD1029" s="13"/>
      <c r="BE1029" s="13"/>
      <c r="BF1029" s="13"/>
      <c r="BG1029" s="13"/>
      <c r="BH1029" s="13"/>
      <c r="BI1029" s="13"/>
      <c r="BJ1029" s="13"/>
      <c r="BK1029" s="13"/>
      <c r="BL1029" s="13"/>
      <c r="BM1029" s="13"/>
      <c r="BN1029" s="13"/>
      <c r="BO1029" s="13"/>
      <c r="BP1029" s="13"/>
      <c r="BQ1029" s="13"/>
      <c r="BR1029" s="13"/>
      <c r="BS1029" s="13"/>
      <c r="BT1029" s="13"/>
      <c r="BU1029" s="13"/>
      <c r="BV1029" s="13"/>
      <c r="BW1029" s="13"/>
      <c r="BX1029" s="13"/>
      <c r="BY1029" s="13"/>
      <c r="BZ1029" s="13"/>
      <c r="CA1029" s="13"/>
      <c r="CB1029" s="13"/>
      <c r="CC1029" s="13"/>
      <c r="CD1029" s="13"/>
      <c r="CE1029" s="13"/>
      <c r="CF1029" s="13"/>
      <c r="CG1029" s="13"/>
      <c r="CH1029" s="13"/>
      <c r="CI1029" s="13"/>
      <c r="CJ1029" s="13"/>
      <c r="CK1029" s="13"/>
      <c r="CL1029" s="13"/>
      <c r="CM1029" s="13"/>
      <c r="CN1029" s="13"/>
      <c r="CO1029" s="13"/>
      <c r="CP1029" s="13"/>
      <c r="CQ1029" s="13"/>
      <c r="CR1029" s="13"/>
      <c r="CS1029" s="13"/>
      <c r="CT1029" s="13"/>
      <c r="CU1029" s="13"/>
      <c r="CV1029" s="13"/>
      <c r="CW1029" s="13"/>
      <c r="CX1029" s="13"/>
    </row>
    <row r="1030" spans="1:102" ht="11.25">
      <c r="A1030" s="1"/>
      <c r="B1030" s="1"/>
      <c r="C1030" s="1"/>
      <c r="D1030" s="2"/>
      <c r="E1030" s="2"/>
      <c r="F1030" s="2"/>
      <c r="G1030" s="2"/>
      <c r="H1030" s="2"/>
      <c r="I1030" s="2"/>
      <c r="J1030" s="2"/>
      <c r="K1030" s="2"/>
      <c r="L1030" s="2"/>
      <c r="M1030" s="2"/>
      <c r="N1030" s="21"/>
      <c r="O1030" s="21"/>
      <c r="P1030" s="21"/>
      <c r="Q1030" s="13"/>
      <c r="R1030" s="13"/>
      <c r="S1030" s="13"/>
      <c r="T1030" s="13"/>
      <c r="U1030" s="13"/>
      <c r="V1030" s="13"/>
      <c r="W1030" s="13"/>
      <c r="X1030" s="13"/>
      <c r="Y1030" s="13"/>
      <c r="Z1030" s="13"/>
      <c r="AA1030" s="13"/>
      <c r="AB1030" s="13"/>
      <c r="AC1030" s="13"/>
      <c r="AD1030" s="13"/>
      <c r="AE1030" s="13"/>
      <c r="AF1030" s="13"/>
      <c r="AG1030" s="13"/>
      <c r="AH1030" s="13"/>
      <c r="AI1030" s="13"/>
      <c r="AJ1030" s="13"/>
      <c r="AK1030" s="13"/>
      <c r="AL1030" s="13"/>
      <c r="AM1030" s="13"/>
      <c r="AN1030" s="13"/>
      <c r="AO1030" s="13"/>
      <c r="AP1030" s="13"/>
      <c r="AQ1030" s="13"/>
      <c r="AR1030" s="13"/>
      <c r="AS1030" s="13"/>
      <c r="AT1030" s="13"/>
      <c r="AU1030" s="13"/>
      <c r="AV1030" s="13"/>
      <c r="AW1030" s="13"/>
      <c r="AX1030" s="13"/>
      <c r="AY1030" s="13"/>
      <c r="AZ1030" s="13"/>
      <c r="BA1030" s="13"/>
      <c r="BB1030" s="13"/>
      <c r="BC1030" s="13"/>
      <c r="BD1030" s="13"/>
      <c r="BE1030" s="13"/>
      <c r="BF1030" s="13"/>
      <c r="BG1030" s="13"/>
      <c r="BH1030" s="13"/>
      <c r="BI1030" s="13"/>
      <c r="BJ1030" s="13"/>
      <c r="BK1030" s="13"/>
      <c r="BL1030" s="13"/>
      <c r="BM1030" s="13"/>
      <c r="BN1030" s="13"/>
      <c r="BO1030" s="13"/>
      <c r="BP1030" s="13"/>
      <c r="BQ1030" s="13"/>
      <c r="BR1030" s="13"/>
      <c r="BS1030" s="13"/>
      <c r="BT1030" s="13"/>
      <c r="BU1030" s="13"/>
      <c r="BV1030" s="13"/>
      <c r="BW1030" s="13"/>
      <c r="BX1030" s="13"/>
      <c r="BY1030" s="13"/>
      <c r="BZ1030" s="13"/>
      <c r="CA1030" s="13"/>
      <c r="CB1030" s="13"/>
      <c r="CC1030" s="13"/>
      <c r="CD1030" s="13"/>
      <c r="CE1030" s="13"/>
      <c r="CF1030" s="13"/>
      <c r="CG1030" s="13"/>
      <c r="CH1030" s="13"/>
      <c r="CI1030" s="13"/>
      <c r="CJ1030" s="13"/>
      <c r="CK1030" s="13"/>
      <c r="CL1030" s="13"/>
      <c r="CM1030" s="13"/>
      <c r="CN1030" s="13"/>
      <c r="CO1030" s="13"/>
      <c r="CP1030" s="13"/>
      <c r="CQ1030" s="13"/>
      <c r="CR1030" s="13"/>
      <c r="CS1030" s="13"/>
      <c r="CT1030" s="13"/>
      <c r="CU1030" s="13"/>
      <c r="CV1030" s="13"/>
      <c r="CW1030" s="13"/>
      <c r="CX1030" s="13"/>
    </row>
    <row r="1031" spans="1:102" ht="11.25">
      <c r="A1031" s="1"/>
      <c r="B1031" s="1"/>
      <c r="C1031" s="1"/>
      <c r="D1031" s="2"/>
      <c r="E1031" s="2"/>
      <c r="F1031" s="2"/>
      <c r="G1031" s="2"/>
      <c r="H1031" s="2"/>
      <c r="I1031" s="2"/>
      <c r="J1031" s="2"/>
      <c r="K1031" s="2"/>
      <c r="L1031" s="2"/>
      <c r="M1031" s="2"/>
      <c r="N1031" s="21"/>
      <c r="O1031" s="21"/>
      <c r="P1031" s="21"/>
      <c r="Q1031" s="13"/>
      <c r="R1031" s="13"/>
      <c r="S1031" s="13"/>
      <c r="T1031" s="13"/>
      <c r="U1031" s="13"/>
      <c r="V1031" s="13"/>
      <c r="W1031" s="13"/>
      <c r="X1031" s="13"/>
      <c r="Y1031" s="13"/>
      <c r="Z1031" s="13"/>
      <c r="AA1031" s="13"/>
      <c r="AB1031" s="13"/>
      <c r="AC1031" s="13"/>
      <c r="AD1031" s="13"/>
      <c r="AE1031" s="13"/>
      <c r="AF1031" s="13"/>
      <c r="AG1031" s="13"/>
      <c r="AH1031" s="13"/>
      <c r="AI1031" s="13"/>
      <c r="AJ1031" s="13"/>
      <c r="AK1031" s="13"/>
      <c r="AL1031" s="13"/>
      <c r="AM1031" s="13"/>
      <c r="AN1031" s="13"/>
      <c r="AO1031" s="13"/>
      <c r="AP1031" s="13"/>
      <c r="AQ1031" s="13"/>
      <c r="AR1031" s="13"/>
      <c r="AS1031" s="13"/>
      <c r="AT1031" s="13"/>
      <c r="AU1031" s="13"/>
      <c r="AV1031" s="13"/>
      <c r="AW1031" s="13"/>
      <c r="AX1031" s="13"/>
      <c r="AY1031" s="13"/>
      <c r="AZ1031" s="13"/>
      <c r="BA1031" s="13"/>
      <c r="BB1031" s="13"/>
      <c r="BC1031" s="13"/>
      <c r="BD1031" s="13"/>
      <c r="BE1031" s="13"/>
      <c r="BF1031" s="13"/>
      <c r="BG1031" s="13"/>
      <c r="BH1031" s="13"/>
      <c r="BI1031" s="13"/>
      <c r="BJ1031" s="13"/>
      <c r="BK1031" s="13"/>
      <c r="BL1031" s="13"/>
      <c r="BM1031" s="13"/>
      <c r="BN1031" s="13"/>
      <c r="BO1031" s="13"/>
      <c r="BP1031" s="13"/>
      <c r="BQ1031" s="13"/>
      <c r="BR1031" s="13"/>
      <c r="BS1031" s="13"/>
      <c r="BT1031" s="13"/>
      <c r="BU1031" s="13"/>
      <c r="BV1031" s="13"/>
      <c r="BW1031" s="13"/>
      <c r="BX1031" s="13"/>
      <c r="BY1031" s="13"/>
      <c r="BZ1031" s="13"/>
      <c r="CA1031" s="13"/>
      <c r="CB1031" s="13"/>
      <c r="CC1031" s="13"/>
      <c r="CD1031" s="13"/>
      <c r="CE1031" s="13"/>
      <c r="CF1031" s="13"/>
      <c r="CG1031" s="13"/>
      <c r="CH1031" s="13"/>
      <c r="CI1031" s="13"/>
      <c r="CJ1031" s="13"/>
      <c r="CK1031" s="13"/>
      <c r="CL1031" s="13"/>
      <c r="CM1031" s="13"/>
      <c r="CN1031" s="13"/>
      <c r="CO1031" s="13"/>
      <c r="CP1031" s="13"/>
      <c r="CQ1031" s="13"/>
      <c r="CR1031" s="13"/>
      <c r="CS1031" s="13"/>
      <c r="CT1031" s="13"/>
      <c r="CU1031" s="13"/>
      <c r="CV1031" s="13"/>
      <c r="CW1031" s="13"/>
      <c r="CX1031" s="13"/>
    </row>
    <row r="1032" spans="1:102" ht="11.25">
      <c r="A1032" s="1"/>
      <c r="B1032" s="1"/>
      <c r="C1032" s="1"/>
      <c r="D1032" s="2"/>
      <c r="E1032" s="2"/>
      <c r="F1032" s="2"/>
      <c r="G1032" s="2"/>
      <c r="H1032" s="2"/>
      <c r="I1032" s="2"/>
      <c r="J1032" s="2"/>
      <c r="K1032" s="2"/>
      <c r="L1032" s="2"/>
      <c r="M1032" s="2"/>
      <c r="N1032" s="21"/>
      <c r="O1032" s="21"/>
      <c r="P1032" s="21"/>
      <c r="Q1032" s="13"/>
      <c r="R1032" s="13"/>
      <c r="S1032" s="13"/>
      <c r="T1032" s="13"/>
      <c r="U1032" s="13"/>
      <c r="V1032" s="13"/>
      <c r="W1032" s="13"/>
      <c r="X1032" s="13"/>
      <c r="Y1032" s="13"/>
      <c r="Z1032" s="13"/>
      <c r="AA1032" s="13"/>
      <c r="AB1032" s="13"/>
      <c r="AC1032" s="13"/>
      <c r="AD1032" s="13"/>
      <c r="AE1032" s="13"/>
      <c r="AF1032" s="13"/>
      <c r="AG1032" s="13"/>
      <c r="AH1032" s="13"/>
      <c r="AI1032" s="13"/>
      <c r="AJ1032" s="13"/>
      <c r="AK1032" s="13"/>
      <c r="AL1032" s="13"/>
      <c r="AM1032" s="13"/>
      <c r="AN1032" s="13"/>
      <c r="AO1032" s="13"/>
      <c r="AP1032" s="13"/>
      <c r="AQ1032" s="13"/>
      <c r="AR1032" s="13"/>
      <c r="AS1032" s="13"/>
      <c r="AT1032" s="13"/>
      <c r="AU1032" s="13"/>
      <c r="AV1032" s="13"/>
      <c r="AW1032" s="13"/>
      <c r="AX1032" s="13"/>
      <c r="AY1032" s="13"/>
      <c r="AZ1032" s="13"/>
      <c r="BA1032" s="13"/>
      <c r="BB1032" s="13"/>
      <c r="BC1032" s="13"/>
      <c r="BD1032" s="13"/>
      <c r="BE1032" s="13"/>
      <c r="BF1032" s="13"/>
      <c r="BG1032" s="13"/>
      <c r="BH1032" s="13"/>
      <c r="BI1032" s="13"/>
      <c r="BJ1032" s="13"/>
      <c r="BK1032" s="13"/>
      <c r="BL1032" s="13"/>
      <c r="BM1032" s="13"/>
      <c r="BN1032" s="13"/>
      <c r="BO1032" s="13"/>
      <c r="BP1032" s="13"/>
      <c r="BQ1032" s="13"/>
      <c r="BR1032" s="13"/>
      <c r="BS1032" s="13"/>
      <c r="BT1032" s="13"/>
      <c r="BU1032" s="13"/>
      <c r="BV1032" s="13"/>
      <c r="BW1032" s="13"/>
      <c r="BX1032" s="13"/>
      <c r="BY1032" s="13"/>
      <c r="BZ1032" s="13"/>
      <c r="CA1032" s="13"/>
      <c r="CB1032" s="13"/>
      <c r="CC1032" s="13"/>
      <c r="CD1032" s="13"/>
      <c r="CE1032" s="13"/>
      <c r="CF1032" s="13"/>
      <c r="CG1032" s="13"/>
      <c r="CH1032" s="13"/>
      <c r="CI1032" s="13"/>
      <c r="CJ1032" s="13"/>
      <c r="CK1032" s="13"/>
      <c r="CL1032" s="13"/>
      <c r="CM1032" s="13"/>
      <c r="CN1032" s="13"/>
      <c r="CO1032" s="13"/>
      <c r="CP1032" s="13"/>
      <c r="CQ1032" s="13"/>
      <c r="CR1032" s="13"/>
      <c r="CS1032" s="13"/>
      <c r="CT1032" s="13"/>
      <c r="CU1032" s="13"/>
      <c r="CV1032" s="13"/>
      <c r="CW1032" s="13"/>
      <c r="CX1032" s="13"/>
    </row>
    <row r="1033" spans="1:102" ht="11.25">
      <c r="A1033" s="1"/>
      <c r="B1033" s="1"/>
      <c r="C1033" s="1"/>
      <c r="D1033" s="2"/>
      <c r="E1033" s="2"/>
      <c r="F1033" s="2"/>
      <c r="G1033" s="2"/>
      <c r="H1033" s="2"/>
      <c r="I1033" s="2"/>
      <c r="J1033" s="2"/>
      <c r="K1033" s="2"/>
      <c r="L1033" s="2"/>
      <c r="M1033" s="2"/>
      <c r="N1033" s="21"/>
      <c r="O1033" s="21"/>
      <c r="P1033" s="21"/>
      <c r="Q1033" s="13"/>
      <c r="R1033" s="13"/>
      <c r="S1033" s="13"/>
      <c r="T1033" s="13"/>
      <c r="U1033" s="13"/>
      <c r="V1033" s="13"/>
      <c r="W1033" s="13"/>
      <c r="X1033" s="13"/>
      <c r="Y1033" s="13"/>
      <c r="Z1033" s="13"/>
      <c r="AA1033" s="13"/>
      <c r="AB1033" s="13"/>
      <c r="AC1033" s="13"/>
      <c r="AD1033" s="13"/>
      <c r="AE1033" s="13"/>
      <c r="AF1033" s="13"/>
      <c r="AG1033" s="13"/>
      <c r="AH1033" s="13"/>
      <c r="AI1033" s="13"/>
      <c r="AJ1033" s="13"/>
      <c r="AK1033" s="13"/>
      <c r="AL1033" s="13"/>
      <c r="AM1033" s="13"/>
      <c r="AN1033" s="13"/>
      <c r="AO1033" s="13"/>
      <c r="AP1033" s="13"/>
      <c r="AQ1033" s="13"/>
      <c r="AR1033" s="13"/>
      <c r="AS1033" s="13"/>
      <c r="AT1033" s="13"/>
      <c r="AU1033" s="13"/>
      <c r="AV1033" s="13"/>
      <c r="AW1033" s="13"/>
      <c r="AX1033" s="13"/>
      <c r="AY1033" s="13"/>
      <c r="AZ1033" s="13"/>
      <c r="BA1033" s="13"/>
      <c r="BB1033" s="13"/>
      <c r="BC1033" s="13"/>
      <c r="BD1033" s="13"/>
      <c r="BE1033" s="13"/>
      <c r="BF1033" s="13"/>
      <c r="BG1033" s="13"/>
      <c r="BH1033" s="13"/>
      <c r="BI1033" s="13"/>
      <c r="BJ1033" s="13"/>
      <c r="BK1033" s="13"/>
      <c r="BL1033" s="13"/>
      <c r="BM1033" s="13"/>
      <c r="BN1033" s="13"/>
      <c r="BO1033" s="13"/>
      <c r="BP1033" s="13"/>
      <c r="BQ1033" s="13"/>
      <c r="BR1033" s="13"/>
      <c r="BS1033" s="13"/>
      <c r="BT1033" s="13"/>
      <c r="BU1033" s="13"/>
      <c r="BV1033" s="13"/>
      <c r="BW1033" s="13"/>
      <c r="BX1033" s="13"/>
      <c r="BY1033" s="13"/>
      <c r="BZ1033" s="13"/>
      <c r="CA1033" s="13"/>
      <c r="CB1033" s="13"/>
      <c r="CC1033" s="13"/>
      <c r="CD1033" s="13"/>
      <c r="CE1033" s="13"/>
      <c r="CF1033" s="13"/>
      <c r="CG1033" s="13"/>
      <c r="CH1033" s="13"/>
      <c r="CI1033" s="13"/>
      <c r="CJ1033" s="13"/>
      <c r="CK1033" s="13"/>
      <c r="CL1033" s="13"/>
      <c r="CM1033" s="13"/>
      <c r="CN1033" s="13"/>
      <c r="CO1033" s="13"/>
      <c r="CP1033" s="13"/>
      <c r="CQ1033" s="13"/>
      <c r="CR1033" s="13"/>
      <c r="CS1033" s="13"/>
      <c r="CT1033" s="13"/>
      <c r="CU1033" s="13"/>
      <c r="CV1033" s="13"/>
      <c r="CW1033" s="13"/>
      <c r="CX1033" s="13"/>
    </row>
    <row r="1034" spans="1:102" ht="11.25">
      <c r="A1034" s="1"/>
      <c r="B1034" s="1"/>
      <c r="C1034" s="1"/>
      <c r="D1034" s="2"/>
      <c r="E1034" s="2"/>
      <c r="F1034" s="2"/>
      <c r="G1034" s="2"/>
      <c r="H1034" s="2"/>
      <c r="I1034" s="2"/>
      <c r="J1034" s="2"/>
      <c r="K1034" s="2"/>
      <c r="L1034" s="2"/>
      <c r="M1034" s="2"/>
      <c r="N1034" s="21"/>
      <c r="O1034" s="21"/>
      <c r="P1034" s="21"/>
      <c r="Q1034" s="13"/>
      <c r="R1034" s="13"/>
      <c r="S1034" s="13"/>
      <c r="T1034" s="13"/>
      <c r="U1034" s="13"/>
      <c r="V1034" s="13"/>
      <c r="W1034" s="13"/>
      <c r="X1034" s="13"/>
      <c r="Y1034" s="13"/>
      <c r="Z1034" s="13"/>
      <c r="AA1034" s="13"/>
      <c r="AB1034" s="13"/>
      <c r="AC1034" s="13"/>
      <c r="AD1034" s="13"/>
      <c r="AE1034" s="13"/>
      <c r="AF1034" s="13"/>
      <c r="AG1034" s="13"/>
      <c r="AH1034" s="13"/>
      <c r="AI1034" s="13"/>
      <c r="AJ1034" s="13"/>
      <c r="AK1034" s="13"/>
      <c r="AL1034" s="13"/>
      <c r="AM1034" s="13"/>
      <c r="AN1034" s="13"/>
      <c r="AO1034" s="13"/>
      <c r="AP1034" s="13"/>
      <c r="AQ1034" s="13"/>
      <c r="AR1034" s="13"/>
      <c r="AS1034" s="13"/>
      <c r="AT1034" s="13"/>
      <c r="AU1034" s="13"/>
      <c r="AV1034" s="13"/>
      <c r="AW1034" s="13"/>
      <c r="AX1034" s="13"/>
      <c r="AY1034" s="13"/>
      <c r="AZ1034" s="13"/>
      <c r="BA1034" s="13"/>
      <c r="BB1034" s="13"/>
      <c r="BC1034" s="13"/>
      <c r="BD1034" s="13"/>
      <c r="BE1034" s="13"/>
      <c r="BF1034" s="13"/>
      <c r="BG1034" s="13"/>
      <c r="BH1034" s="13"/>
      <c r="BI1034" s="13"/>
      <c r="BJ1034" s="13"/>
      <c r="BK1034" s="13"/>
      <c r="BL1034" s="13"/>
      <c r="BM1034" s="13"/>
      <c r="BN1034" s="13"/>
      <c r="BO1034" s="13"/>
      <c r="BP1034" s="13"/>
      <c r="BQ1034" s="13"/>
      <c r="BR1034" s="13"/>
      <c r="BS1034" s="13"/>
      <c r="BT1034" s="13"/>
      <c r="BU1034" s="13"/>
      <c r="BV1034" s="13"/>
      <c r="BW1034" s="13"/>
      <c r="BX1034" s="13"/>
      <c r="BY1034" s="13"/>
      <c r="BZ1034" s="13"/>
      <c r="CA1034" s="13"/>
      <c r="CB1034" s="13"/>
      <c r="CC1034" s="13"/>
      <c r="CD1034" s="13"/>
      <c r="CE1034" s="13"/>
      <c r="CF1034" s="13"/>
      <c r="CG1034" s="13"/>
      <c r="CH1034" s="13"/>
      <c r="CI1034" s="13"/>
      <c r="CJ1034" s="13"/>
      <c r="CK1034" s="13"/>
      <c r="CL1034" s="13"/>
      <c r="CM1034" s="13"/>
      <c r="CN1034" s="13"/>
      <c r="CO1034" s="13"/>
      <c r="CP1034" s="13"/>
      <c r="CQ1034" s="13"/>
      <c r="CR1034" s="13"/>
      <c r="CS1034" s="13"/>
      <c r="CT1034" s="13"/>
      <c r="CU1034" s="13"/>
      <c r="CV1034" s="13"/>
      <c r="CW1034" s="13"/>
      <c r="CX1034" s="13"/>
    </row>
    <row r="1035" spans="1:102" ht="11.25">
      <c r="A1035" s="1"/>
      <c r="B1035" s="1"/>
      <c r="C1035" s="1"/>
      <c r="D1035" s="2"/>
      <c r="E1035" s="2"/>
      <c r="F1035" s="2"/>
      <c r="G1035" s="2"/>
      <c r="H1035" s="2"/>
      <c r="I1035" s="2"/>
      <c r="J1035" s="2"/>
      <c r="K1035" s="2"/>
      <c r="L1035" s="2"/>
      <c r="M1035" s="2"/>
      <c r="N1035" s="21"/>
      <c r="O1035" s="21"/>
      <c r="P1035" s="21"/>
      <c r="Q1035" s="13"/>
      <c r="R1035" s="13"/>
      <c r="S1035" s="13"/>
      <c r="T1035" s="13"/>
      <c r="U1035" s="13"/>
      <c r="V1035" s="13"/>
      <c r="W1035" s="13"/>
      <c r="X1035" s="13"/>
      <c r="Y1035" s="13"/>
      <c r="Z1035" s="13"/>
      <c r="AA1035" s="13"/>
      <c r="AB1035" s="13"/>
      <c r="AC1035" s="13"/>
      <c r="AD1035" s="13"/>
      <c r="AE1035" s="13"/>
      <c r="AF1035" s="13"/>
      <c r="AG1035" s="13"/>
      <c r="AH1035" s="13"/>
      <c r="AI1035" s="13"/>
      <c r="AJ1035" s="13"/>
      <c r="AK1035" s="13"/>
      <c r="AL1035" s="13"/>
      <c r="AM1035" s="13"/>
      <c r="AN1035" s="13"/>
      <c r="AO1035" s="13"/>
      <c r="AP1035" s="13"/>
      <c r="AQ1035" s="13"/>
      <c r="AR1035" s="13"/>
      <c r="AS1035" s="13"/>
      <c r="AT1035" s="13"/>
      <c r="AU1035" s="13"/>
      <c r="AV1035" s="13"/>
      <c r="AW1035" s="13"/>
      <c r="AX1035" s="13"/>
      <c r="AY1035" s="13"/>
      <c r="AZ1035" s="13"/>
      <c r="BA1035" s="13"/>
      <c r="BB1035" s="13"/>
      <c r="BC1035" s="13"/>
      <c r="BD1035" s="13"/>
      <c r="BE1035" s="13"/>
      <c r="BF1035" s="13"/>
      <c r="BG1035" s="13"/>
      <c r="BH1035" s="13"/>
      <c r="BI1035" s="13"/>
      <c r="BJ1035" s="13"/>
      <c r="BK1035" s="13"/>
      <c r="BL1035" s="13"/>
      <c r="BM1035" s="13"/>
      <c r="BN1035" s="13"/>
      <c r="BO1035" s="13"/>
      <c r="BP1035" s="13"/>
      <c r="BQ1035" s="13"/>
      <c r="BR1035" s="13"/>
      <c r="BS1035" s="13"/>
      <c r="BT1035" s="13"/>
      <c r="BU1035" s="13"/>
      <c r="BV1035" s="13"/>
      <c r="BW1035" s="13"/>
      <c r="BX1035" s="13"/>
      <c r="BY1035" s="13"/>
      <c r="BZ1035" s="13"/>
      <c r="CA1035" s="13"/>
      <c r="CB1035" s="13"/>
      <c r="CC1035" s="13"/>
      <c r="CD1035" s="13"/>
      <c r="CE1035" s="13"/>
      <c r="CF1035" s="13"/>
      <c r="CG1035" s="13"/>
      <c r="CH1035" s="13"/>
      <c r="CI1035" s="13"/>
      <c r="CJ1035" s="13"/>
      <c r="CK1035" s="13"/>
      <c r="CL1035" s="13"/>
      <c r="CM1035" s="13"/>
      <c r="CN1035" s="13"/>
      <c r="CO1035" s="13"/>
      <c r="CP1035" s="13"/>
      <c r="CQ1035" s="13"/>
      <c r="CR1035" s="13"/>
      <c r="CS1035" s="13"/>
      <c r="CT1035" s="13"/>
      <c r="CU1035" s="13"/>
      <c r="CV1035" s="13"/>
      <c r="CW1035" s="13"/>
      <c r="CX1035" s="13"/>
    </row>
    <row r="1036" spans="1:102" ht="11.25">
      <c r="A1036" s="1"/>
      <c r="B1036" s="1"/>
      <c r="C1036" s="1"/>
      <c r="D1036" s="2"/>
      <c r="E1036" s="2"/>
      <c r="F1036" s="2"/>
      <c r="G1036" s="2"/>
      <c r="H1036" s="2"/>
      <c r="I1036" s="2"/>
      <c r="J1036" s="2"/>
      <c r="K1036" s="2"/>
      <c r="L1036" s="2"/>
      <c r="M1036" s="2"/>
      <c r="N1036" s="21"/>
      <c r="O1036" s="21"/>
      <c r="P1036" s="21"/>
      <c r="Q1036" s="13"/>
      <c r="R1036" s="13"/>
      <c r="S1036" s="13"/>
      <c r="T1036" s="13"/>
      <c r="U1036" s="13"/>
      <c r="V1036" s="13"/>
      <c r="W1036" s="13"/>
      <c r="X1036" s="13"/>
      <c r="Y1036" s="13"/>
      <c r="Z1036" s="13"/>
      <c r="AA1036" s="13"/>
      <c r="AB1036" s="13"/>
      <c r="AC1036" s="13"/>
      <c r="AD1036" s="13"/>
      <c r="AE1036" s="13"/>
      <c r="AF1036" s="13"/>
      <c r="AG1036" s="13"/>
      <c r="AH1036" s="13"/>
      <c r="AI1036" s="13"/>
      <c r="AJ1036" s="13"/>
      <c r="AK1036" s="13"/>
      <c r="AL1036" s="13"/>
      <c r="AM1036" s="13"/>
      <c r="AN1036" s="13"/>
      <c r="AO1036" s="13"/>
      <c r="AP1036" s="13"/>
      <c r="AQ1036" s="13"/>
      <c r="AR1036" s="13"/>
      <c r="AS1036" s="13"/>
      <c r="AT1036" s="13"/>
      <c r="AU1036" s="13"/>
      <c r="AV1036" s="13"/>
      <c r="AW1036" s="13"/>
      <c r="AX1036" s="13"/>
      <c r="AY1036" s="13"/>
      <c r="AZ1036" s="13"/>
      <c r="BA1036" s="13"/>
      <c r="BB1036" s="13"/>
      <c r="BC1036" s="13"/>
      <c r="BD1036" s="13"/>
      <c r="BE1036" s="13"/>
      <c r="BF1036" s="13"/>
      <c r="BG1036" s="13"/>
      <c r="BH1036" s="13"/>
      <c r="BI1036" s="13"/>
      <c r="BJ1036" s="13"/>
      <c r="BK1036" s="13"/>
      <c r="BL1036" s="13"/>
      <c r="BM1036" s="13"/>
      <c r="BN1036" s="13"/>
      <c r="BO1036" s="13"/>
      <c r="BP1036" s="13"/>
      <c r="BQ1036" s="13"/>
      <c r="BR1036" s="13"/>
      <c r="BS1036" s="13"/>
      <c r="BT1036" s="13"/>
      <c r="BU1036" s="13"/>
      <c r="BV1036" s="13"/>
      <c r="BW1036" s="13"/>
      <c r="BX1036" s="13"/>
      <c r="BY1036" s="13"/>
      <c r="BZ1036" s="13"/>
      <c r="CA1036" s="13"/>
      <c r="CB1036" s="13"/>
      <c r="CC1036" s="13"/>
      <c r="CD1036" s="13"/>
      <c r="CE1036" s="13"/>
      <c r="CF1036" s="13"/>
      <c r="CG1036" s="13"/>
      <c r="CH1036" s="13"/>
      <c r="CI1036" s="13"/>
      <c r="CJ1036" s="13"/>
      <c r="CK1036" s="13"/>
      <c r="CL1036" s="13"/>
      <c r="CM1036" s="13"/>
      <c r="CN1036" s="13"/>
      <c r="CO1036" s="13"/>
      <c r="CP1036" s="13"/>
      <c r="CQ1036" s="13"/>
      <c r="CR1036" s="13"/>
      <c r="CS1036" s="13"/>
      <c r="CT1036" s="13"/>
      <c r="CU1036" s="13"/>
      <c r="CV1036" s="13"/>
      <c r="CW1036" s="13"/>
      <c r="CX1036" s="13"/>
    </row>
    <row r="1037" spans="1:102" ht="11.25">
      <c r="A1037" s="1"/>
      <c r="B1037" s="1"/>
      <c r="C1037" s="1"/>
      <c r="D1037" s="2"/>
      <c r="E1037" s="2"/>
      <c r="F1037" s="2"/>
      <c r="G1037" s="2"/>
      <c r="H1037" s="2"/>
      <c r="I1037" s="2"/>
      <c r="J1037" s="2"/>
      <c r="K1037" s="2"/>
      <c r="L1037" s="2"/>
      <c r="M1037" s="2"/>
      <c r="N1037" s="21"/>
      <c r="O1037" s="21"/>
      <c r="P1037" s="21"/>
      <c r="Q1037" s="13"/>
      <c r="R1037" s="13"/>
      <c r="S1037" s="13"/>
      <c r="T1037" s="13"/>
      <c r="U1037" s="13"/>
      <c r="V1037" s="13"/>
      <c r="W1037" s="13"/>
      <c r="X1037" s="13"/>
      <c r="Y1037" s="13"/>
      <c r="Z1037" s="13"/>
      <c r="AA1037" s="13"/>
      <c r="AB1037" s="13"/>
      <c r="AC1037" s="13"/>
      <c r="AD1037" s="13"/>
      <c r="AE1037" s="13"/>
      <c r="AF1037" s="13"/>
      <c r="AG1037" s="13"/>
      <c r="AH1037" s="13"/>
      <c r="AI1037" s="13"/>
      <c r="AJ1037" s="13"/>
      <c r="AK1037" s="13"/>
      <c r="AL1037" s="13"/>
      <c r="AM1037" s="13"/>
      <c r="AN1037" s="13"/>
      <c r="AO1037" s="13"/>
      <c r="AP1037" s="13"/>
      <c r="AQ1037" s="13"/>
      <c r="AR1037" s="13"/>
      <c r="AS1037" s="13"/>
      <c r="AT1037" s="13"/>
      <c r="AU1037" s="13"/>
      <c r="AV1037" s="13"/>
      <c r="AW1037" s="13"/>
      <c r="AX1037" s="13"/>
      <c r="AY1037" s="13"/>
      <c r="AZ1037" s="13"/>
      <c r="BA1037" s="13"/>
      <c r="BB1037" s="13"/>
      <c r="BC1037" s="13"/>
      <c r="BD1037" s="13"/>
      <c r="BE1037" s="13"/>
      <c r="BF1037" s="13"/>
      <c r="BG1037" s="13"/>
      <c r="BH1037" s="13"/>
      <c r="BI1037" s="13"/>
      <c r="BJ1037" s="13"/>
      <c r="BK1037" s="13"/>
      <c r="BL1037" s="13"/>
      <c r="BM1037" s="13"/>
      <c r="BN1037" s="13"/>
      <c r="BO1037" s="13"/>
      <c r="BP1037" s="13"/>
      <c r="BQ1037" s="13"/>
      <c r="BR1037" s="13"/>
      <c r="BS1037" s="13"/>
      <c r="BT1037" s="13"/>
      <c r="BU1037" s="13"/>
      <c r="BV1037" s="13"/>
      <c r="BW1037" s="13"/>
      <c r="BX1037" s="13"/>
      <c r="BY1037" s="13"/>
      <c r="BZ1037" s="13"/>
      <c r="CA1037" s="13"/>
      <c r="CB1037" s="13"/>
      <c r="CC1037" s="13"/>
      <c r="CD1037" s="13"/>
      <c r="CE1037" s="13"/>
      <c r="CF1037" s="13"/>
      <c r="CG1037" s="13"/>
      <c r="CH1037" s="13"/>
      <c r="CI1037" s="13"/>
      <c r="CJ1037" s="13"/>
      <c r="CK1037" s="13"/>
      <c r="CL1037" s="13"/>
      <c r="CM1037" s="13"/>
      <c r="CN1037" s="13"/>
      <c r="CO1037" s="13"/>
      <c r="CP1037" s="13"/>
      <c r="CQ1037" s="13"/>
      <c r="CR1037" s="13"/>
      <c r="CS1037" s="13"/>
      <c r="CT1037" s="13"/>
      <c r="CU1037" s="13"/>
      <c r="CV1037" s="13"/>
      <c r="CW1037" s="13"/>
      <c r="CX1037" s="13"/>
    </row>
    <row r="1038" spans="1:102" ht="11.25">
      <c r="A1038" s="1"/>
      <c r="B1038" s="1"/>
      <c r="C1038" s="1"/>
      <c r="D1038" s="2"/>
      <c r="E1038" s="2"/>
      <c r="F1038" s="2"/>
      <c r="G1038" s="2"/>
      <c r="H1038" s="2"/>
      <c r="I1038" s="2"/>
      <c r="J1038" s="2"/>
      <c r="K1038" s="2"/>
      <c r="L1038" s="2"/>
      <c r="M1038" s="2"/>
      <c r="N1038" s="21"/>
      <c r="O1038" s="21"/>
      <c r="P1038" s="21"/>
      <c r="Q1038" s="13"/>
      <c r="R1038" s="13"/>
      <c r="S1038" s="13"/>
      <c r="T1038" s="13"/>
      <c r="U1038" s="13"/>
      <c r="V1038" s="13"/>
      <c r="W1038" s="13"/>
      <c r="X1038" s="13"/>
      <c r="Y1038" s="13"/>
      <c r="Z1038" s="13"/>
      <c r="AA1038" s="13"/>
      <c r="AB1038" s="13"/>
      <c r="AC1038" s="13"/>
      <c r="AD1038" s="13"/>
      <c r="AE1038" s="13"/>
      <c r="AF1038" s="13"/>
      <c r="AG1038" s="13"/>
      <c r="AH1038" s="13"/>
      <c r="AI1038" s="13"/>
      <c r="AJ1038" s="13"/>
      <c r="AK1038" s="13"/>
      <c r="AL1038" s="13"/>
      <c r="AM1038" s="13"/>
      <c r="AN1038" s="13"/>
      <c r="AO1038" s="13"/>
      <c r="AP1038" s="13"/>
      <c r="AQ1038" s="13"/>
      <c r="AR1038" s="13"/>
      <c r="AS1038" s="13"/>
      <c r="AT1038" s="13"/>
      <c r="AU1038" s="13"/>
      <c r="AV1038" s="13"/>
      <c r="AW1038" s="13"/>
      <c r="AX1038" s="13"/>
      <c r="AY1038" s="13"/>
      <c r="AZ1038" s="13"/>
      <c r="BA1038" s="13"/>
      <c r="BB1038" s="13"/>
      <c r="BC1038" s="13"/>
      <c r="BD1038" s="13"/>
      <c r="BE1038" s="13"/>
      <c r="BF1038" s="13"/>
      <c r="BG1038" s="13"/>
      <c r="BH1038" s="13"/>
      <c r="BI1038" s="13"/>
      <c r="BJ1038" s="13"/>
      <c r="BK1038" s="13"/>
      <c r="BL1038" s="13"/>
      <c r="BM1038" s="13"/>
      <c r="BN1038" s="13"/>
      <c r="BO1038" s="13"/>
      <c r="BP1038" s="13"/>
      <c r="BQ1038" s="13"/>
      <c r="BR1038" s="13"/>
      <c r="BS1038" s="13"/>
      <c r="BT1038" s="13"/>
      <c r="BU1038" s="13"/>
      <c r="BV1038" s="13"/>
      <c r="BW1038" s="13"/>
      <c r="BX1038" s="13"/>
      <c r="BY1038" s="13"/>
      <c r="BZ1038" s="13"/>
      <c r="CA1038" s="13"/>
      <c r="CB1038" s="13"/>
      <c r="CC1038" s="13"/>
      <c r="CD1038" s="13"/>
      <c r="CE1038" s="13"/>
      <c r="CF1038" s="13"/>
      <c r="CG1038" s="13"/>
      <c r="CH1038" s="13"/>
      <c r="CI1038" s="13"/>
      <c r="CJ1038" s="13"/>
      <c r="CK1038" s="13"/>
      <c r="CL1038" s="13"/>
      <c r="CM1038" s="13"/>
      <c r="CN1038" s="13"/>
      <c r="CO1038" s="13"/>
      <c r="CP1038" s="13"/>
      <c r="CQ1038" s="13"/>
      <c r="CR1038" s="13"/>
      <c r="CS1038" s="13"/>
      <c r="CT1038" s="13"/>
      <c r="CU1038" s="13"/>
      <c r="CV1038" s="13"/>
      <c r="CW1038" s="13"/>
      <c r="CX1038" s="13"/>
    </row>
    <row r="1039" spans="1:102" ht="11.25">
      <c r="A1039" s="1"/>
      <c r="B1039" s="1"/>
      <c r="C1039" s="1"/>
      <c r="D1039" s="2"/>
      <c r="E1039" s="2"/>
      <c r="F1039" s="2"/>
      <c r="G1039" s="2"/>
      <c r="H1039" s="2"/>
      <c r="I1039" s="2"/>
      <c r="J1039" s="2"/>
      <c r="K1039" s="2"/>
      <c r="L1039" s="2"/>
      <c r="M1039" s="2"/>
      <c r="N1039" s="21"/>
      <c r="O1039" s="21"/>
      <c r="P1039" s="21"/>
      <c r="Q1039" s="13"/>
      <c r="R1039" s="13"/>
      <c r="S1039" s="13"/>
      <c r="T1039" s="13"/>
      <c r="U1039" s="13"/>
      <c r="V1039" s="13"/>
      <c r="W1039" s="13"/>
      <c r="X1039" s="13"/>
      <c r="Y1039" s="13"/>
      <c r="Z1039" s="13"/>
      <c r="AA1039" s="13"/>
      <c r="AB1039" s="13"/>
      <c r="AC1039" s="13"/>
      <c r="AD1039" s="13"/>
      <c r="AE1039" s="13"/>
      <c r="AF1039" s="13"/>
      <c r="AG1039" s="13"/>
      <c r="AH1039" s="13"/>
      <c r="AI1039" s="13"/>
      <c r="AJ1039" s="13"/>
      <c r="AK1039" s="13"/>
      <c r="AL1039" s="13"/>
      <c r="AM1039" s="13"/>
      <c r="AN1039" s="13"/>
      <c r="AO1039" s="13"/>
      <c r="AP1039" s="13"/>
      <c r="AQ1039" s="13"/>
      <c r="AR1039" s="13"/>
      <c r="AS1039" s="13"/>
      <c r="AT1039" s="13"/>
      <c r="AU1039" s="13"/>
      <c r="AV1039" s="13"/>
      <c r="AW1039" s="13"/>
      <c r="AX1039" s="13"/>
      <c r="AY1039" s="13"/>
      <c r="AZ1039" s="13"/>
      <c r="BA1039" s="13"/>
      <c r="BB1039" s="13"/>
      <c r="BC1039" s="13"/>
      <c r="BD1039" s="13"/>
      <c r="BE1039" s="13"/>
      <c r="BF1039" s="13"/>
      <c r="BG1039" s="13"/>
      <c r="BH1039" s="13"/>
      <c r="BI1039" s="13"/>
      <c r="BJ1039" s="13"/>
      <c r="BK1039" s="13"/>
      <c r="BL1039" s="13"/>
      <c r="BM1039" s="13"/>
      <c r="BN1039" s="13"/>
      <c r="BO1039" s="13"/>
      <c r="BP1039" s="13"/>
      <c r="BQ1039" s="13"/>
      <c r="BR1039" s="13"/>
      <c r="BS1039" s="13"/>
      <c r="BT1039" s="13"/>
      <c r="BU1039" s="13"/>
      <c r="BV1039" s="13"/>
      <c r="BW1039" s="13"/>
      <c r="BX1039" s="13"/>
      <c r="BY1039" s="13"/>
      <c r="BZ1039" s="13"/>
      <c r="CA1039" s="13"/>
      <c r="CB1039" s="13"/>
      <c r="CC1039" s="13"/>
      <c r="CD1039" s="13"/>
      <c r="CE1039" s="13"/>
      <c r="CF1039" s="13"/>
      <c r="CG1039" s="13"/>
      <c r="CH1039" s="13"/>
      <c r="CI1039" s="13"/>
      <c r="CJ1039" s="13"/>
      <c r="CK1039" s="13"/>
      <c r="CL1039" s="13"/>
      <c r="CM1039" s="13"/>
      <c r="CN1039" s="13"/>
      <c r="CO1039" s="13"/>
      <c r="CP1039" s="13"/>
      <c r="CQ1039" s="13"/>
      <c r="CR1039" s="13"/>
      <c r="CS1039" s="13"/>
      <c r="CT1039" s="13"/>
      <c r="CU1039" s="13"/>
      <c r="CV1039" s="13"/>
      <c r="CW1039" s="13"/>
      <c r="CX1039" s="13"/>
    </row>
    <row r="1040" spans="1:102" ht="11.25">
      <c r="A1040" s="1"/>
      <c r="B1040" s="1"/>
      <c r="C1040" s="1"/>
      <c r="D1040" s="2"/>
      <c r="E1040" s="2"/>
      <c r="F1040" s="2"/>
      <c r="G1040" s="2"/>
      <c r="H1040" s="2"/>
      <c r="I1040" s="2"/>
      <c r="J1040" s="2"/>
      <c r="K1040" s="2"/>
      <c r="L1040" s="2"/>
      <c r="M1040" s="2"/>
      <c r="N1040" s="21"/>
      <c r="O1040" s="21"/>
      <c r="P1040" s="21"/>
      <c r="Q1040" s="13"/>
      <c r="R1040" s="13"/>
      <c r="S1040" s="13"/>
      <c r="T1040" s="13"/>
      <c r="U1040" s="13"/>
      <c r="V1040" s="13"/>
      <c r="W1040" s="13"/>
      <c r="X1040" s="13"/>
      <c r="Y1040" s="13"/>
      <c r="Z1040" s="13"/>
      <c r="AA1040" s="13"/>
      <c r="AB1040" s="13"/>
      <c r="AC1040" s="13"/>
      <c r="AD1040" s="13"/>
      <c r="AE1040" s="13"/>
      <c r="AF1040" s="13"/>
      <c r="AG1040" s="13"/>
      <c r="AH1040" s="13"/>
      <c r="AI1040" s="13"/>
      <c r="AJ1040" s="13"/>
      <c r="AK1040" s="13"/>
      <c r="AL1040" s="13"/>
      <c r="AM1040" s="13"/>
      <c r="AN1040" s="13"/>
      <c r="AO1040" s="13"/>
      <c r="AP1040" s="13"/>
      <c r="AQ1040" s="13"/>
      <c r="AR1040" s="13"/>
      <c r="AS1040" s="13"/>
      <c r="AT1040" s="13"/>
      <c r="AU1040" s="13"/>
      <c r="AV1040" s="13"/>
      <c r="AW1040" s="13"/>
      <c r="AX1040" s="13"/>
      <c r="AY1040" s="13"/>
      <c r="AZ1040" s="13"/>
      <c r="BA1040" s="13"/>
      <c r="BB1040" s="13"/>
      <c r="BC1040" s="13"/>
      <c r="BD1040" s="13"/>
      <c r="BE1040" s="13"/>
      <c r="BF1040" s="13"/>
      <c r="BG1040" s="13"/>
      <c r="BH1040" s="13"/>
      <c r="BI1040" s="13"/>
      <c r="BJ1040" s="13"/>
      <c r="BK1040" s="13"/>
      <c r="BL1040" s="13"/>
      <c r="BM1040" s="13"/>
      <c r="BN1040" s="13"/>
      <c r="BO1040" s="13"/>
      <c r="BP1040" s="13"/>
      <c r="BQ1040" s="13"/>
      <c r="BR1040" s="13"/>
      <c r="BS1040" s="13"/>
      <c r="BT1040" s="13"/>
      <c r="BU1040" s="13"/>
      <c r="BV1040" s="13"/>
      <c r="BW1040" s="13"/>
      <c r="BX1040" s="13"/>
      <c r="BY1040" s="13"/>
      <c r="BZ1040" s="13"/>
      <c r="CA1040" s="13"/>
      <c r="CB1040" s="13"/>
      <c r="CC1040" s="13"/>
      <c r="CD1040" s="13"/>
      <c r="CE1040" s="13"/>
      <c r="CF1040" s="13"/>
      <c r="CG1040" s="13"/>
      <c r="CH1040" s="13"/>
      <c r="CI1040" s="13"/>
      <c r="CJ1040" s="13"/>
      <c r="CK1040" s="13"/>
      <c r="CL1040" s="13"/>
      <c r="CM1040" s="13"/>
      <c r="CN1040" s="13"/>
      <c r="CO1040" s="13"/>
      <c r="CP1040" s="13"/>
      <c r="CQ1040" s="13"/>
      <c r="CR1040" s="13"/>
      <c r="CS1040" s="13"/>
      <c r="CT1040" s="13"/>
      <c r="CU1040" s="13"/>
      <c r="CV1040" s="13"/>
      <c r="CW1040" s="13"/>
      <c r="CX1040" s="13"/>
    </row>
    <row r="1041" spans="1:102" ht="11.25">
      <c r="A1041" s="1"/>
      <c r="B1041" s="1"/>
      <c r="C1041" s="1"/>
      <c r="D1041" s="2"/>
      <c r="E1041" s="2"/>
      <c r="F1041" s="2"/>
      <c r="G1041" s="2"/>
      <c r="H1041" s="2"/>
      <c r="I1041" s="2"/>
      <c r="J1041" s="2"/>
      <c r="K1041" s="2"/>
      <c r="L1041" s="2"/>
      <c r="M1041" s="2"/>
      <c r="N1041" s="21"/>
      <c r="O1041" s="21"/>
      <c r="P1041" s="21"/>
      <c r="Q1041" s="13"/>
      <c r="R1041" s="13"/>
      <c r="S1041" s="13"/>
      <c r="T1041" s="13"/>
      <c r="U1041" s="13"/>
      <c r="V1041" s="13"/>
      <c r="W1041" s="13"/>
      <c r="X1041" s="13"/>
      <c r="Y1041" s="13"/>
      <c r="Z1041" s="13"/>
      <c r="AA1041" s="13"/>
      <c r="AB1041" s="13"/>
      <c r="AC1041" s="13"/>
      <c r="AD1041" s="13"/>
      <c r="AE1041" s="13"/>
      <c r="AF1041" s="13"/>
      <c r="AG1041" s="13"/>
      <c r="AH1041" s="13"/>
      <c r="AI1041" s="13"/>
      <c r="AJ1041" s="13"/>
      <c r="AK1041" s="13"/>
      <c r="AL1041" s="13"/>
      <c r="AM1041" s="13"/>
      <c r="AN1041" s="13"/>
      <c r="AO1041" s="13"/>
      <c r="AP1041" s="13"/>
      <c r="AQ1041" s="13"/>
      <c r="AR1041" s="13"/>
      <c r="AS1041" s="13"/>
      <c r="AT1041" s="13"/>
      <c r="AU1041" s="13"/>
      <c r="AV1041" s="13"/>
      <c r="AW1041" s="13"/>
      <c r="AX1041" s="13"/>
      <c r="AY1041" s="13"/>
      <c r="AZ1041" s="13"/>
      <c r="BA1041" s="13"/>
      <c r="BB1041" s="13"/>
      <c r="BC1041" s="13"/>
      <c r="BD1041" s="13"/>
      <c r="BE1041" s="13"/>
      <c r="BF1041" s="13"/>
      <c r="BG1041" s="13"/>
      <c r="BH1041" s="13"/>
      <c r="BI1041" s="13"/>
      <c r="BJ1041" s="13"/>
      <c r="BK1041" s="13"/>
      <c r="BL1041" s="13"/>
      <c r="BM1041" s="13"/>
      <c r="BN1041" s="13"/>
      <c r="BO1041" s="13"/>
      <c r="BP1041" s="13"/>
      <c r="BQ1041" s="13"/>
      <c r="BR1041" s="13"/>
      <c r="BS1041" s="13"/>
      <c r="BT1041" s="13"/>
      <c r="BU1041" s="13"/>
      <c r="BV1041" s="13"/>
      <c r="BW1041" s="13"/>
      <c r="BX1041" s="13"/>
      <c r="BY1041" s="13"/>
      <c r="BZ1041" s="13"/>
      <c r="CA1041" s="13"/>
      <c r="CB1041" s="13"/>
      <c r="CC1041" s="13"/>
      <c r="CD1041" s="13"/>
      <c r="CE1041" s="13"/>
      <c r="CF1041" s="13"/>
      <c r="CG1041" s="13"/>
      <c r="CH1041" s="13"/>
      <c r="CI1041" s="13"/>
      <c r="CJ1041" s="13"/>
      <c r="CK1041" s="13"/>
      <c r="CL1041" s="13"/>
      <c r="CM1041" s="13"/>
      <c r="CN1041" s="13"/>
      <c r="CO1041" s="13"/>
      <c r="CP1041" s="13"/>
      <c r="CQ1041" s="13"/>
      <c r="CR1041" s="13"/>
      <c r="CS1041" s="13"/>
      <c r="CT1041" s="13"/>
      <c r="CU1041" s="13"/>
      <c r="CV1041" s="13"/>
      <c r="CW1041" s="13"/>
      <c r="CX1041" s="13"/>
    </row>
    <row r="1042" spans="1:102" ht="11.25">
      <c r="A1042" s="1"/>
      <c r="B1042" s="1"/>
      <c r="C1042" s="1"/>
      <c r="D1042" s="2"/>
      <c r="E1042" s="2"/>
      <c r="F1042" s="2"/>
      <c r="G1042" s="2"/>
      <c r="H1042" s="2"/>
      <c r="I1042" s="2"/>
      <c r="J1042" s="2"/>
      <c r="K1042" s="2"/>
      <c r="L1042" s="2"/>
      <c r="M1042" s="2"/>
      <c r="N1042" s="21"/>
      <c r="O1042" s="21"/>
      <c r="P1042" s="21"/>
      <c r="Q1042" s="13"/>
      <c r="R1042" s="13"/>
      <c r="S1042" s="13"/>
      <c r="T1042" s="13"/>
      <c r="U1042" s="13"/>
      <c r="V1042" s="13"/>
      <c r="W1042" s="13"/>
      <c r="X1042" s="13"/>
      <c r="Y1042" s="13"/>
      <c r="Z1042" s="13"/>
      <c r="AA1042" s="13"/>
      <c r="AB1042" s="13"/>
      <c r="AC1042" s="13"/>
      <c r="AD1042" s="13"/>
      <c r="AE1042" s="13"/>
      <c r="AF1042" s="13"/>
      <c r="AG1042" s="13"/>
      <c r="AH1042" s="13"/>
      <c r="AI1042" s="13"/>
      <c r="AJ1042" s="13"/>
      <c r="AK1042" s="13"/>
      <c r="AL1042" s="13"/>
      <c r="AM1042" s="13"/>
      <c r="AN1042" s="13"/>
      <c r="AO1042" s="13"/>
      <c r="AP1042" s="13"/>
      <c r="AQ1042" s="13"/>
      <c r="AR1042" s="13"/>
      <c r="AS1042" s="13"/>
      <c r="AT1042" s="13"/>
      <c r="AU1042" s="13"/>
      <c r="AV1042" s="13"/>
      <c r="AW1042" s="13"/>
      <c r="AX1042" s="13"/>
      <c r="AY1042" s="13"/>
      <c r="AZ1042" s="13"/>
      <c r="BA1042" s="13"/>
      <c r="BB1042" s="13"/>
      <c r="BC1042" s="13"/>
      <c r="BD1042" s="13"/>
      <c r="BE1042" s="13"/>
      <c r="BF1042" s="13"/>
      <c r="BG1042" s="13"/>
      <c r="BH1042" s="13"/>
      <c r="BI1042" s="13"/>
      <c r="BJ1042" s="13"/>
      <c r="BK1042" s="13"/>
      <c r="BL1042" s="13"/>
      <c r="BM1042" s="13"/>
      <c r="BN1042" s="13"/>
      <c r="BO1042" s="13"/>
      <c r="BP1042" s="13"/>
      <c r="BQ1042" s="13"/>
      <c r="BR1042" s="13"/>
      <c r="BS1042" s="13"/>
      <c r="BT1042" s="13"/>
      <c r="BU1042" s="13"/>
      <c r="BV1042" s="13"/>
      <c r="BW1042" s="13"/>
      <c r="BX1042" s="13"/>
      <c r="BY1042" s="13"/>
      <c r="BZ1042" s="13"/>
      <c r="CA1042" s="13"/>
      <c r="CB1042" s="13"/>
      <c r="CC1042" s="13"/>
      <c r="CD1042" s="13"/>
      <c r="CE1042" s="13"/>
      <c r="CF1042" s="13"/>
      <c r="CG1042" s="13"/>
      <c r="CH1042" s="13"/>
      <c r="CI1042" s="13"/>
      <c r="CJ1042" s="13"/>
      <c r="CK1042" s="13"/>
      <c r="CL1042" s="13"/>
      <c r="CM1042" s="13"/>
      <c r="CN1042" s="13"/>
      <c r="CO1042" s="13"/>
      <c r="CP1042" s="13"/>
      <c r="CQ1042" s="13"/>
      <c r="CR1042" s="13"/>
      <c r="CS1042" s="13"/>
      <c r="CT1042" s="13"/>
      <c r="CU1042" s="13"/>
      <c r="CV1042" s="13"/>
      <c r="CW1042" s="13"/>
      <c r="CX1042" s="13"/>
    </row>
    <row r="1043" spans="1:102" ht="11.25">
      <c r="A1043" s="1"/>
      <c r="B1043" s="1"/>
      <c r="C1043" s="1"/>
      <c r="D1043" s="2"/>
      <c r="E1043" s="2"/>
      <c r="F1043" s="2"/>
      <c r="G1043" s="2"/>
      <c r="H1043" s="2"/>
      <c r="I1043" s="2"/>
      <c r="J1043" s="2"/>
      <c r="K1043" s="2"/>
      <c r="L1043" s="2"/>
      <c r="M1043" s="2"/>
      <c r="N1043" s="21"/>
      <c r="O1043" s="21"/>
      <c r="P1043" s="21"/>
      <c r="Q1043" s="13"/>
      <c r="R1043" s="13"/>
      <c r="S1043" s="13"/>
      <c r="T1043" s="13"/>
      <c r="U1043" s="13"/>
      <c r="V1043" s="13"/>
      <c r="W1043" s="13"/>
      <c r="X1043" s="13"/>
      <c r="Y1043" s="13"/>
      <c r="Z1043" s="13"/>
      <c r="AA1043" s="13"/>
      <c r="AB1043" s="13"/>
      <c r="AC1043" s="13"/>
      <c r="AD1043" s="13"/>
      <c r="AE1043" s="13"/>
      <c r="AF1043" s="13"/>
      <c r="AG1043" s="13"/>
      <c r="AH1043" s="13"/>
      <c r="AI1043" s="13"/>
      <c r="AJ1043" s="13"/>
      <c r="AK1043" s="13"/>
      <c r="AL1043" s="13"/>
      <c r="AM1043" s="13"/>
      <c r="AN1043" s="13"/>
      <c r="AO1043" s="13"/>
      <c r="AP1043" s="13"/>
      <c r="AQ1043" s="13"/>
      <c r="AR1043" s="13"/>
      <c r="AS1043" s="13"/>
      <c r="AT1043" s="13"/>
      <c r="AU1043" s="13"/>
      <c r="AV1043" s="13"/>
      <c r="AW1043" s="13"/>
      <c r="AX1043" s="13"/>
      <c r="AY1043" s="13"/>
      <c r="AZ1043" s="13"/>
      <c r="BA1043" s="13"/>
      <c r="BB1043" s="13"/>
      <c r="BC1043" s="13"/>
      <c r="BD1043" s="13"/>
      <c r="BE1043" s="13"/>
      <c r="BF1043" s="13"/>
      <c r="BG1043" s="13"/>
      <c r="BH1043" s="13"/>
      <c r="BI1043" s="13"/>
      <c r="BJ1043" s="13"/>
      <c r="BK1043" s="13"/>
      <c r="BL1043" s="13"/>
      <c r="BM1043" s="13"/>
      <c r="BN1043" s="13"/>
      <c r="BO1043" s="13"/>
      <c r="BP1043" s="13"/>
      <c r="BQ1043" s="13"/>
      <c r="BR1043" s="13"/>
      <c r="BS1043" s="13"/>
      <c r="BT1043" s="13"/>
      <c r="BU1043" s="13"/>
      <c r="BV1043" s="13"/>
      <c r="BW1043" s="13"/>
      <c r="BX1043" s="13"/>
      <c r="BY1043" s="13"/>
      <c r="BZ1043" s="13"/>
      <c r="CA1043" s="13"/>
      <c r="CB1043" s="13"/>
      <c r="CC1043" s="13"/>
      <c r="CD1043" s="13"/>
      <c r="CE1043" s="13"/>
      <c r="CF1043" s="13"/>
      <c r="CG1043" s="13"/>
      <c r="CH1043" s="13"/>
      <c r="CI1043" s="13"/>
      <c r="CJ1043" s="13"/>
      <c r="CK1043" s="13"/>
      <c r="CL1043" s="13"/>
      <c r="CM1043" s="13"/>
      <c r="CN1043" s="13"/>
      <c r="CO1043" s="13"/>
      <c r="CP1043" s="13"/>
      <c r="CQ1043" s="13"/>
      <c r="CR1043" s="13"/>
      <c r="CS1043" s="13"/>
      <c r="CT1043" s="13"/>
      <c r="CU1043" s="13"/>
      <c r="CV1043" s="13"/>
      <c r="CW1043" s="13"/>
      <c r="CX1043" s="13"/>
    </row>
    <row r="1044" spans="1:102" ht="11.25">
      <c r="A1044" s="1"/>
      <c r="B1044" s="1"/>
      <c r="C1044" s="1"/>
      <c r="D1044" s="2"/>
      <c r="E1044" s="2"/>
      <c r="F1044" s="2"/>
      <c r="G1044" s="2"/>
      <c r="H1044" s="2"/>
      <c r="I1044" s="2"/>
      <c r="J1044" s="2"/>
      <c r="K1044" s="2"/>
      <c r="L1044" s="2"/>
      <c r="M1044" s="2"/>
      <c r="N1044" s="21"/>
      <c r="O1044" s="21"/>
      <c r="P1044" s="21"/>
      <c r="Q1044" s="13"/>
      <c r="R1044" s="13"/>
      <c r="S1044" s="13"/>
      <c r="T1044" s="13"/>
      <c r="U1044" s="13"/>
      <c r="V1044" s="13"/>
      <c r="W1044" s="13"/>
      <c r="X1044" s="13"/>
      <c r="Y1044" s="13"/>
      <c r="Z1044" s="13"/>
      <c r="AA1044" s="13"/>
      <c r="AB1044" s="13"/>
      <c r="AC1044" s="13"/>
      <c r="AD1044" s="13"/>
      <c r="AE1044" s="13"/>
      <c r="AF1044" s="13"/>
      <c r="AG1044" s="13"/>
      <c r="AH1044" s="13"/>
      <c r="AI1044" s="13"/>
      <c r="AJ1044" s="13"/>
      <c r="AK1044" s="13"/>
      <c r="AL1044" s="13"/>
      <c r="AM1044" s="13"/>
      <c r="AN1044" s="13"/>
      <c r="AO1044" s="13"/>
      <c r="AP1044" s="13"/>
      <c r="AQ1044" s="13"/>
      <c r="AR1044" s="13"/>
      <c r="AS1044" s="13"/>
      <c r="AT1044" s="13"/>
      <c r="AU1044" s="13"/>
      <c r="AV1044" s="13"/>
      <c r="AW1044" s="13"/>
      <c r="AX1044" s="13"/>
      <c r="AY1044" s="13"/>
      <c r="AZ1044" s="13"/>
      <c r="BA1044" s="13"/>
      <c r="BB1044" s="13"/>
      <c r="BC1044" s="13"/>
      <c r="BD1044" s="13"/>
      <c r="BE1044" s="13"/>
      <c r="BF1044" s="13"/>
      <c r="BG1044" s="13"/>
      <c r="BH1044" s="13"/>
      <c r="BI1044" s="13"/>
      <c r="BJ1044" s="13"/>
      <c r="BK1044" s="13"/>
      <c r="BL1044" s="13"/>
      <c r="BM1044" s="13"/>
      <c r="BN1044" s="13"/>
      <c r="BO1044" s="13"/>
      <c r="BP1044" s="13"/>
      <c r="BQ1044" s="13"/>
      <c r="BR1044" s="13"/>
      <c r="BS1044" s="13"/>
      <c r="BT1044" s="13"/>
      <c r="BU1044" s="13"/>
      <c r="BV1044" s="13"/>
      <c r="BW1044" s="13"/>
      <c r="BX1044" s="13"/>
      <c r="BY1044" s="13"/>
      <c r="BZ1044" s="13"/>
      <c r="CA1044" s="13"/>
      <c r="CB1044" s="13"/>
      <c r="CC1044" s="13"/>
      <c r="CD1044" s="13"/>
      <c r="CE1044" s="13"/>
      <c r="CF1044" s="13"/>
      <c r="CG1044" s="13"/>
      <c r="CH1044" s="13"/>
      <c r="CI1044" s="13"/>
      <c r="CJ1044" s="13"/>
      <c r="CK1044" s="13"/>
      <c r="CL1044" s="13"/>
      <c r="CM1044" s="13"/>
      <c r="CN1044" s="13"/>
      <c r="CO1044" s="13"/>
      <c r="CP1044" s="13"/>
      <c r="CQ1044" s="13"/>
      <c r="CR1044" s="13"/>
      <c r="CS1044" s="13"/>
      <c r="CT1044" s="13"/>
      <c r="CU1044" s="13"/>
      <c r="CV1044" s="13"/>
      <c r="CW1044" s="13"/>
      <c r="CX1044" s="13"/>
    </row>
    <row r="1045" spans="1:102" ht="11.25">
      <c r="A1045" s="1"/>
      <c r="B1045" s="1"/>
      <c r="C1045" s="1"/>
      <c r="D1045" s="2"/>
      <c r="E1045" s="2"/>
      <c r="F1045" s="2"/>
      <c r="G1045" s="2"/>
      <c r="H1045" s="2"/>
      <c r="I1045" s="2"/>
      <c r="J1045" s="2"/>
      <c r="K1045" s="2"/>
      <c r="L1045" s="2"/>
      <c r="M1045" s="2"/>
      <c r="N1045" s="21"/>
      <c r="O1045" s="21"/>
      <c r="P1045" s="21"/>
      <c r="Q1045" s="13"/>
      <c r="R1045" s="13"/>
      <c r="S1045" s="13"/>
      <c r="T1045" s="13"/>
      <c r="U1045" s="13"/>
      <c r="V1045" s="13"/>
      <c r="W1045" s="13"/>
      <c r="X1045" s="13"/>
      <c r="Y1045" s="13"/>
      <c r="Z1045" s="13"/>
      <c r="AA1045" s="13"/>
      <c r="AB1045" s="13"/>
      <c r="AC1045" s="13"/>
      <c r="AD1045" s="13"/>
      <c r="AE1045" s="13"/>
      <c r="AF1045" s="13"/>
      <c r="AG1045" s="13"/>
      <c r="AH1045" s="13"/>
      <c r="AI1045" s="13"/>
      <c r="AJ1045" s="13"/>
      <c r="AK1045" s="13"/>
      <c r="AL1045" s="13"/>
      <c r="AM1045" s="13"/>
      <c r="AN1045" s="13"/>
      <c r="AO1045" s="13"/>
      <c r="AP1045" s="13"/>
      <c r="AQ1045" s="13"/>
      <c r="AR1045" s="13"/>
      <c r="AS1045" s="13"/>
      <c r="AT1045" s="13"/>
      <c r="AU1045" s="13"/>
      <c r="AV1045" s="13"/>
      <c r="AW1045" s="13"/>
      <c r="AX1045" s="13"/>
      <c r="AY1045" s="13"/>
      <c r="AZ1045" s="13"/>
      <c r="BA1045" s="13"/>
      <c r="BB1045" s="13"/>
      <c r="BC1045" s="13"/>
      <c r="BD1045" s="13"/>
      <c r="BE1045" s="13"/>
      <c r="BF1045" s="13"/>
      <c r="BG1045" s="13"/>
      <c r="BH1045" s="13"/>
      <c r="BI1045" s="13"/>
      <c r="BJ1045" s="13"/>
      <c r="BK1045" s="13"/>
      <c r="BL1045" s="13"/>
      <c r="BM1045" s="13"/>
      <c r="BN1045" s="13"/>
      <c r="BO1045" s="13"/>
      <c r="BP1045" s="13"/>
      <c r="BQ1045" s="13"/>
      <c r="BR1045" s="13"/>
      <c r="BS1045" s="13"/>
      <c r="BT1045" s="13"/>
      <c r="BU1045" s="13"/>
      <c r="BV1045" s="13"/>
      <c r="BW1045" s="13"/>
      <c r="BX1045" s="13"/>
      <c r="BY1045" s="13"/>
      <c r="BZ1045" s="13"/>
      <c r="CA1045" s="13"/>
      <c r="CB1045" s="13"/>
      <c r="CC1045" s="13"/>
      <c r="CD1045" s="13"/>
      <c r="CE1045" s="13"/>
      <c r="CF1045" s="13"/>
      <c r="CG1045" s="13"/>
      <c r="CH1045" s="13"/>
      <c r="CI1045" s="13"/>
      <c r="CJ1045" s="13"/>
      <c r="CK1045" s="13"/>
      <c r="CL1045" s="13"/>
      <c r="CM1045" s="13"/>
      <c r="CN1045" s="13"/>
      <c r="CO1045" s="13"/>
      <c r="CP1045" s="13"/>
      <c r="CQ1045" s="13"/>
      <c r="CR1045" s="13"/>
      <c r="CS1045" s="13"/>
      <c r="CT1045" s="13"/>
      <c r="CU1045" s="13"/>
      <c r="CV1045" s="13"/>
      <c r="CW1045" s="13"/>
      <c r="CX1045" s="13"/>
    </row>
    <row r="1046" spans="1:102" ht="11.25">
      <c r="A1046" s="1"/>
      <c r="B1046" s="1"/>
      <c r="C1046" s="1"/>
      <c r="D1046" s="2"/>
      <c r="E1046" s="2"/>
      <c r="F1046" s="2"/>
      <c r="G1046" s="2"/>
      <c r="H1046" s="2"/>
      <c r="I1046" s="2"/>
      <c r="J1046" s="2"/>
      <c r="K1046" s="2"/>
      <c r="L1046" s="2"/>
      <c r="M1046" s="2"/>
      <c r="N1046" s="21"/>
      <c r="O1046" s="21"/>
      <c r="P1046" s="21"/>
      <c r="Q1046" s="13"/>
      <c r="R1046" s="13"/>
      <c r="S1046" s="13"/>
      <c r="T1046" s="13"/>
      <c r="U1046" s="13"/>
      <c r="V1046" s="13"/>
      <c r="W1046" s="13"/>
      <c r="X1046" s="13"/>
      <c r="Y1046" s="13"/>
      <c r="Z1046" s="13"/>
      <c r="AA1046" s="13"/>
      <c r="AB1046" s="13"/>
      <c r="AC1046" s="13"/>
      <c r="AD1046" s="13"/>
      <c r="AE1046" s="13"/>
      <c r="AF1046" s="13"/>
      <c r="AG1046" s="13"/>
      <c r="AH1046" s="13"/>
      <c r="AI1046" s="13"/>
      <c r="AJ1046" s="13"/>
      <c r="AK1046" s="13"/>
      <c r="AL1046" s="13"/>
      <c r="AM1046" s="13"/>
      <c r="AN1046" s="13"/>
      <c r="AO1046" s="13"/>
      <c r="AP1046" s="13"/>
      <c r="AQ1046" s="13"/>
      <c r="AR1046" s="13"/>
      <c r="AS1046" s="13"/>
      <c r="AT1046" s="13"/>
      <c r="AU1046" s="13"/>
      <c r="AV1046" s="13"/>
      <c r="AW1046" s="13"/>
      <c r="AX1046" s="13"/>
      <c r="AY1046" s="13"/>
      <c r="AZ1046" s="13"/>
      <c r="BA1046" s="13"/>
      <c r="BB1046" s="13"/>
      <c r="BC1046" s="13"/>
      <c r="BD1046" s="13"/>
      <c r="BE1046" s="13"/>
      <c r="BF1046" s="13"/>
      <c r="BG1046" s="13"/>
      <c r="BH1046" s="13"/>
      <c r="BI1046" s="13"/>
      <c r="BJ1046" s="13"/>
      <c r="BK1046" s="13"/>
      <c r="BL1046" s="13"/>
      <c r="BM1046" s="13"/>
      <c r="BN1046" s="13"/>
      <c r="BO1046" s="13"/>
      <c r="BP1046" s="13"/>
      <c r="BQ1046" s="13"/>
      <c r="BR1046" s="13"/>
      <c r="BS1046" s="13"/>
      <c r="BT1046" s="13"/>
      <c r="BU1046" s="13"/>
      <c r="BV1046" s="13"/>
      <c r="BW1046" s="13"/>
      <c r="BX1046" s="13"/>
      <c r="BY1046" s="13"/>
      <c r="BZ1046" s="13"/>
      <c r="CA1046" s="13"/>
      <c r="CB1046" s="13"/>
      <c r="CC1046" s="13"/>
      <c r="CD1046" s="13"/>
      <c r="CE1046" s="13"/>
      <c r="CF1046" s="13"/>
      <c r="CG1046" s="13"/>
      <c r="CH1046" s="13"/>
      <c r="CI1046" s="13"/>
      <c r="CJ1046" s="13"/>
      <c r="CK1046" s="13"/>
      <c r="CL1046" s="13"/>
      <c r="CM1046" s="13"/>
      <c r="CN1046" s="13"/>
      <c r="CO1046" s="13"/>
      <c r="CP1046" s="13"/>
      <c r="CQ1046" s="13"/>
      <c r="CR1046" s="13"/>
      <c r="CS1046" s="13"/>
      <c r="CT1046" s="13"/>
      <c r="CU1046" s="13"/>
      <c r="CV1046" s="13"/>
      <c r="CW1046" s="13"/>
      <c r="CX1046" s="13"/>
    </row>
    <row r="1047" spans="1:102" ht="11.25">
      <c r="A1047" s="1"/>
      <c r="B1047" s="1"/>
      <c r="C1047" s="1"/>
      <c r="D1047" s="2"/>
      <c r="E1047" s="2"/>
      <c r="F1047" s="2"/>
      <c r="G1047" s="2"/>
      <c r="H1047" s="2"/>
      <c r="I1047" s="2"/>
      <c r="J1047" s="2"/>
      <c r="K1047" s="2"/>
      <c r="L1047" s="2"/>
      <c r="M1047" s="2"/>
      <c r="N1047" s="21"/>
      <c r="O1047" s="21"/>
      <c r="P1047" s="21"/>
      <c r="Q1047" s="13"/>
      <c r="R1047" s="13"/>
      <c r="S1047" s="13"/>
      <c r="T1047" s="13"/>
      <c r="U1047" s="13"/>
      <c r="V1047" s="13"/>
      <c r="W1047" s="13"/>
      <c r="X1047" s="13"/>
      <c r="Y1047" s="13"/>
      <c r="Z1047" s="13"/>
      <c r="AA1047" s="13"/>
      <c r="AB1047" s="13"/>
      <c r="AC1047" s="13"/>
      <c r="AD1047" s="13"/>
      <c r="AE1047" s="13"/>
      <c r="AF1047" s="13"/>
      <c r="AG1047" s="13"/>
      <c r="AH1047" s="13"/>
      <c r="AI1047" s="13"/>
      <c r="AJ1047" s="13"/>
      <c r="AK1047" s="13"/>
      <c r="AL1047" s="13"/>
      <c r="AM1047" s="13"/>
      <c r="AN1047" s="13"/>
      <c r="AO1047" s="13"/>
      <c r="AP1047" s="13"/>
      <c r="AQ1047" s="13"/>
      <c r="AR1047" s="13"/>
      <c r="AS1047" s="13"/>
      <c r="AT1047" s="13"/>
      <c r="AU1047" s="13"/>
      <c r="AV1047" s="13"/>
      <c r="AW1047" s="13"/>
      <c r="AX1047" s="13"/>
      <c r="AY1047" s="13"/>
      <c r="AZ1047" s="13"/>
      <c r="BA1047" s="13"/>
      <c r="BB1047" s="13"/>
      <c r="BC1047" s="13"/>
      <c r="BD1047" s="13"/>
      <c r="BE1047" s="13"/>
      <c r="BF1047" s="13"/>
      <c r="BG1047" s="13"/>
      <c r="BH1047" s="13"/>
      <c r="BI1047" s="13"/>
      <c r="BJ1047" s="13"/>
      <c r="BK1047" s="13"/>
      <c r="BL1047" s="13"/>
      <c r="BM1047" s="13"/>
      <c r="BN1047" s="13"/>
      <c r="BO1047" s="13"/>
      <c r="BP1047" s="13"/>
      <c r="BQ1047" s="13"/>
      <c r="BR1047" s="13"/>
      <c r="BS1047" s="13"/>
      <c r="BT1047" s="13"/>
      <c r="BU1047" s="13"/>
      <c r="BV1047" s="13"/>
      <c r="BW1047" s="13"/>
      <c r="BX1047" s="13"/>
      <c r="BY1047" s="13"/>
      <c r="BZ1047" s="13"/>
      <c r="CA1047" s="13"/>
      <c r="CB1047" s="13"/>
      <c r="CC1047" s="13"/>
      <c r="CD1047" s="13"/>
      <c r="CE1047" s="13"/>
      <c r="CF1047" s="13"/>
      <c r="CG1047" s="13"/>
      <c r="CH1047" s="13"/>
      <c r="CI1047" s="13"/>
      <c r="CJ1047" s="13"/>
      <c r="CK1047" s="13"/>
      <c r="CL1047" s="13"/>
      <c r="CM1047" s="13"/>
      <c r="CN1047" s="13"/>
      <c r="CO1047" s="13"/>
      <c r="CP1047" s="13"/>
      <c r="CQ1047" s="13"/>
      <c r="CR1047" s="13"/>
      <c r="CS1047" s="13"/>
      <c r="CT1047" s="13"/>
      <c r="CU1047" s="13"/>
      <c r="CV1047" s="13"/>
      <c r="CW1047" s="13"/>
      <c r="CX1047" s="13"/>
    </row>
    <row r="1048" spans="1:102" ht="11.25">
      <c r="A1048" s="1"/>
      <c r="B1048" s="1"/>
      <c r="C1048" s="1"/>
      <c r="D1048" s="2"/>
      <c r="E1048" s="2"/>
      <c r="F1048" s="2"/>
      <c r="G1048" s="2"/>
      <c r="H1048" s="2"/>
      <c r="I1048" s="2"/>
      <c r="J1048" s="2"/>
      <c r="K1048" s="2"/>
      <c r="L1048" s="2"/>
      <c r="M1048" s="2"/>
      <c r="N1048" s="21"/>
      <c r="O1048" s="21"/>
      <c r="P1048" s="21"/>
      <c r="Q1048" s="13"/>
      <c r="R1048" s="13"/>
      <c r="S1048" s="13"/>
      <c r="T1048" s="13"/>
      <c r="U1048" s="13"/>
      <c r="V1048" s="13"/>
      <c r="W1048" s="13"/>
      <c r="X1048" s="13"/>
      <c r="Y1048" s="13"/>
      <c r="Z1048" s="13"/>
      <c r="AA1048" s="13"/>
      <c r="AB1048" s="13"/>
      <c r="AC1048" s="13"/>
      <c r="AD1048" s="13"/>
      <c r="AE1048" s="13"/>
      <c r="AF1048" s="13"/>
      <c r="AG1048" s="13"/>
      <c r="AH1048" s="13"/>
      <c r="AI1048" s="13"/>
      <c r="AJ1048" s="13"/>
      <c r="AK1048" s="13"/>
      <c r="AL1048" s="13"/>
      <c r="AM1048" s="13"/>
      <c r="AN1048" s="13"/>
      <c r="AO1048" s="13"/>
      <c r="AP1048" s="13"/>
      <c r="AQ1048" s="13"/>
      <c r="AR1048" s="13"/>
      <c r="AS1048" s="13"/>
      <c r="AT1048" s="13"/>
      <c r="AU1048" s="13"/>
      <c r="AV1048" s="13"/>
      <c r="AW1048" s="13"/>
      <c r="AX1048" s="13"/>
      <c r="AY1048" s="13"/>
      <c r="AZ1048" s="13"/>
      <c r="BA1048" s="13"/>
      <c r="BB1048" s="13"/>
      <c r="BC1048" s="13"/>
      <c r="BD1048" s="13"/>
      <c r="BE1048" s="13"/>
      <c r="BF1048" s="13"/>
      <c r="BG1048" s="13"/>
      <c r="BH1048" s="13"/>
      <c r="BI1048" s="13"/>
      <c r="BJ1048" s="13"/>
      <c r="BK1048" s="13"/>
      <c r="BL1048" s="13"/>
      <c r="BM1048" s="13"/>
      <c r="BN1048" s="13"/>
      <c r="BO1048" s="13"/>
      <c r="BP1048" s="13"/>
      <c r="BQ1048" s="13"/>
      <c r="BR1048" s="13"/>
      <c r="BS1048" s="13"/>
      <c r="BT1048" s="13"/>
      <c r="BU1048" s="13"/>
      <c r="BV1048" s="13"/>
      <c r="BW1048" s="13"/>
      <c r="BX1048" s="13"/>
      <c r="BY1048" s="13"/>
      <c r="BZ1048" s="13"/>
      <c r="CA1048" s="13"/>
      <c r="CB1048" s="13"/>
      <c r="CC1048" s="13"/>
      <c r="CD1048" s="13"/>
      <c r="CE1048" s="13"/>
      <c r="CF1048" s="13"/>
      <c r="CG1048" s="13"/>
      <c r="CH1048" s="13"/>
      <c r="CI1048" s="13"/>
      <c r="CJ1048" s="13"/>
      <c r="CK1048" s="13"/>
      <c r="CL1048" s="13"/>
      <c r="CM1048" s="13"/>
      <c r="CN1048" s="13"/>
      <c r="CO1048" s="13"/>
      <c r="CP1048" s="13"/>
      <c r="CQ1048" s="13"/>
      <c r="CR1048" s="13"/>
      <c r="CS1048" s="13"/>
      <c r="CT1048" s="13"/>
      <c r="CU1048" s="13"/>
      <c r="CV1048" s="13"/>
      <c r="CW1048" s="13"/>
      <c r="CX1048" s="13"/>
    </row>
    <row r="1049" spans="1:102" ht="11.25">
      <c r="A1049" s="1"/>
      <c r="B1049" s="1"/>
      <c r="C1049" s="1"/>
      <c r="D1049" s="2"/>
      <c r="E1049" s="2"/>
      <c r="F1049" s="2"/>
      <c r="G1049" s="2"/>
      <c r="H1049" s="2"/>
      <c r="I1049" s="2"/>
      <c r="J1049" s="2"/>
      <c r="K1049" s="2"/>
      <c r="L1049" s="2"/>
      <c r="M1049" s="2"/>
      <c r="N1049" s="21"/>
      <c r="O1049" s="21"/>
      <c r="P1049" s="21"/>
      <c r="Q1049" s="13"/>
      <c r="R1049" s="13"/>
      <c r="S1049" s="13"/>
      <c r="T1049" s="13"/>
      <c r="U1049" s="13"/>
      <c r="V1049" s="13"/>
      <c r="W1049" s="13"/>
      <c r="X1049" s="13"/>
      <c r="Y1049" s="13"/>
      <c r="Z1049" s="13"/>
      <c r="AA1049" s="13"/>
      <c r="AB1049" s="13"/>
      <c r="AC1049" s="13"/>
      <c r="AD1049" s="13"/>
      <c r="AE1049" s="13"/>
      <c r="AF1049" s="13"/>
      <c r="AG1049" s="13"/>
      <c r="AH1049" s="13"/>
      <c r="AI1049" s="13"/>
      <c r="AJ1049" s="13"/>
      <c r="AK1049" s="13"/>
      <c r="AL1049" s="13"/>
      <c r="AM1049" s="13"/>
      <c r="AN1049" s="13"/>
      <c r="AO1049" s="13"/>
      <c r="AP1049" s="13"/>
      <c r="AQ1049" s="13"/>
      <c r="AR1049" s="13"/>
      <c r="AS1049" s="13"/>
      <c r="AT1049" s="13"/>
      <c r="AU1049" s="13"/>
      <c r="AV1049" s="13"/>
      <c r="AW1049" s="13"/>
      <c r="AX1049" s="13"/>
      <c r="AY1049" s="13"/>
      <c r="AZ1049" s="13"/>
      <c r="BA1049" s="13"/>
      <c r="BB1049" s="13"/>
      <c r="BC1049" s="13"/>
      <c r="BD1049" s="13"/>
      <c r="BE1049" s="13"/>
      <c r="BF1049" s="13"/>
      <c r="BG1049" s="13"/>
      <c r="BH1049" s="13"/>
      <c r="BI1049" s="13"/>
      <c r="BJ1049" s="13"/>
      <c r="BK1049" s="13"/>
      <c r="BL1049" s="13"/>
      <c r="BM1049" s="13"/>
      <c r="BN1049" s="13"/>
      <c r="BO1049" s="13"/>
      <c r="BP1049" s="13"/>
      <c r="BQ1049" s="13"/>
      <c r="BR1049" s="13"/>
      <c r="BS1049" s="13"/>
      <c r="BT1049" s="13"/>
      <c r="BU1049" s="13"/>
      <c r="BV1049" s="13"/>
      <c r="BW1049" s="13"/>
      <c r="BX1049" s="13"/>
      <c r="BY1049" s="13"/>
      <c r="BZ1049" s="13"/>
      <c r="CA1049" s="13"/>
      <c r="CB1049" s="13"/>
      <c r="CC1049" s="13"/>
      <c r="CD1049" s="13"/>
      <c r="CE1049" s="13"/>
      <c r="CF1049" s="13"/>
      <c r="CG1049" s="13"/>
      <c r="CH1049" s="13"/>
      <c r="CI1049" s="13"/>
      <c r="CJ1049" s="13"/>
      <c r="CK1049" s="13"/>
      <c r="CL1049" s="13"/>
      <c r="CM1049" s="13"/>
      <c r="CN1049" s="13"/>
      <c r="CO1049" s="13"/>
      <c r="CP1049" s="13"/>
      <c r="CQ1049" s="13"/>
      <c r="CR1049" s="13"/>
      <c r="CS1049" s="13"/>
      <c r="CT1049" s="13"/>
      <c r="CU1049" s="13"/>
      <c r="CV1049" s="13"/>
      <c r="CW1049" s="13"/>
      <c r="CX1049" s="13"/>
    </row>
    <row r="1050" spans="1:102" ht="11.25">
      <c r="A1050" s="1"/>
      <c r="B1050" s="1"/>
      <c r="C1050" s="1"/>
      <c r="D1050" s="2"/>
      <c r="E1050" s="2"/>
      <c r="F1050" s="2"/>
      <c r="G1050" s="2"/>
      <c r="H1050" s="2"/>
      <c r="I1050" s="2"/>
      <c r="J1050" s="2"/>
      <c r="K1050" s="2"/>
      <c r="L1050" s="2"/>
      <c r="M1050" s="2"/>
      <c r="N1050" s="21"/>
      <c r="O1050" s="21"/>
      <c r="P1050" s="21"/>
      <c r="Q1050" s="13"/>
      <c r="R1050" s="13"/>
      <c r="S1050" s="13"/>
      <c r="T1050" s="13"/>
      <c r="U1050" s="13"/>
      <c r="V1050" s="13"/>
      <c r="W1050" s="13"/>
      <c r="X1050" s="13"/>
      <c r="Y1050" s="13"/>
      <c r="Z1050" s="13"/>
      <c r="AA1050" s="13"/>
      <c r="AB1050" s="13"/>
      <c r="AC1050" s="13"/>
      <c r="AD1050" s="13"/>
      <c r="AE1050" s="13"/>
      <c r="AF1050" s="13"/>
      <c r="AG1050" s="13"/>
      <c r="AH1050" s="13"/>
      <c r="AI1050" s="13"/>
      <c r="AJ1050" s="13"/>
      <c r="AK1050" s="13"/>
      <c r="AL1050" s="13"/>
      <c r="AM1050" s="13"/>
      <c r="AN1050" s="13"/>
      <c r="AO1050" s="13"/>
      <c r="AP1050" s="13"/>
      <c r="AQ1050" s="13"/>
      <c r="AR1050" s="13"/>
      <c r="AS1050" s="13"/>
      <c r="AT1050" s="13"/>
      <c r="AU1050" s="13"/>
      <c r="AV1050" s="13"/>
      <c r="AW1050" s="13"/>
      <c r="AX1050" s="13"/>
      <c r="AY1050" s="13"/>
      <c r="AZ1050" s="13"/>
      <c r="BA1050" s="13"/>
      <c r="BB1050" s="13"/>
      <c r="BC1050" s="13"/>
      <c r="BD1050" s="13"/>
      <c r="BE1050" s="13"/>
      <c r="BF1050" s="13"/>
      <c r="BG1050" s="13"/>
      <c r="BH1050" s="13"/>
      <c r="BI1050" s="13"/>
      <c r="BJ1050" s="13"/>
      <c r="BK1050" s="13"/>
      <c r="BL1050" s="13"/>
      <c r="BM1050" s="13"/>
      <c r="BN1050" s="13"/>
      <c r="BO1050" s="13"/>
      <c r="BP1050" s="13"/>
      <c r="BQ1050" s="13"/>
      <c r="BR1050" s="13"/>
      <c r="BS1050" s="13"/>
      <c r="BT1050" s="13"/>
      <c r="BU1050" s="13"/>
      <c r="BV1050" s="13"/>
      <c r="BW1050" s="13"/>
      <c r="BX1050" s="13"/>
      <c r="BY1050" s="13"/>
      <c r="BZ1050" s="13"/>
      <c r="CA1050" s="13"/>
      <c r="CB1050" s="13"/>
      <c r="CC1050" s="13"/>
      <c r="CD1050" s="13"/>
      <c r="CE1050" s="13"/>
      <c r="CF1050" s="13"/>
      <c r="CG1050" s="13"/>
      <c r="CH1050" s="13"/>
      <c r="CI1050" s="13"/>
      <c r="CJ1050" s="13"/>
      <c r="CK1050" s="13"/>
      <c r="CL1050" s="13"/>
      <c r="CM1050" s="13"/>
      <c r="CN1050" s="13"/>
      <c r="CO1050" s="13"/>
      <c r="CP1050" s="13"/>
      <c r="CQ1050" s="13"/>
      <c r="CR1050" s="13"/>
      <c r="CS1050" s="13"/>
      <c r="CT1050" s="13"/>
      <c r="CU1050" s="13"/>
      <c r="CV1050" s="13"/>
      <c r="CW1050" s="13"/>
      <c r="CX1050" s="13"/>
    </row>
    <row r="1051" spans="1:102" ht="11.25">
      <c r="A1051" s="1"/>
      <c r="B1051" s="1"/>
      <c r="C1051" s="1"/>
      <c r="D1051" s="2"/>
      <c r="E1051" s="2"/>
      <c r="F1051" s="2"/>
      <c r="G1051" s="2"/>
      <c r="H1051" s="2"/>
      <c r="I1051" s="2"/>
      <c r="J1051" s="2"/>
      <c r="K1051" s="2"/>
      <c r="L1051" s="2"/>
      <c r="M1051" s="2"/>
      <c r="N1051" s="21"/>
      <c r="O1051" s="21"/>
      <c r="P1051" s="21"/>
      <c r="Q1051" s="13"/>
      <c r="R1051" s="13"/>
      <c r="S1051" s="13"/>
      <c r="T1051" s="13"/>
      <c r="U1051" s="13"/>
      <c r="V1051" s="13"/>
      <c r="W1051" s="13"/>
      <c r="X1051" s="13"/>
      <c r="Y1051" s="13"/>
      <c r="Z1051" s="13"/>
      <c r="AA1051" s="13"/>
      <c r="AB1051" s="13"/>
      <c r="AC1051" s="13"/>
      <c r="AD1051" s="13"/>
      <c r="AE1051" s="13"/>
      <c r="AF1051" s="13"/>
      <c r="AG1051" s="13"/>
      <c r="AH1051" s="13"/>
      <c r="AI1051" s="13"/>
      <c r="AJ1051" s="13"/>
      <c r="AK1051" s="13"/>
      <c r="AL1051" s="13"/>
      <c r="AM1051" s="13"/>
      <c r="AN1051" s="13"/>
      <c r="AO1051" s="13"/>
      <c r="AP1051" s="13"/>
      <c r="AQ1051" s="13"/>
      <c r="AR1051" s="13"/>
      <c r="AS1051" s="13"/>
      <c r="AT1051" s="13"/>
      <c r="AU1051" s="13"/>
      <c r="AV1051" s="13"/>
      <c r="AW1051" s="13"/>
      <c r="AX1051" s="13"/>
      <c r="AY1051" s="13"/>
      <c r="AZ1051" s="13"/>
      <c r="BA1051" s="13"/>
      <c r="BB1051" s="13"/>
      <c r="BC1051" s="13"/>
      <c r="BD1051" s="13"/>
      <c r="BE1051" s="13"/>
      <c r="BF1051" s="13"/>
      <c r="BG1051" s="13"/>
      <c r="BH1051" s="13"/>
      <c r="BI1051" s="13"/>
      <c r="BJ1051" s="13"/>
      <c r="BK1051" s="13"/>
      <c r="BL1051" s="13"/>
      <c r="BM1051" s="13"/>
      <c r="BN1051" s="13"/>
      <c r="BO1051" s="13"/>
      <c r="BP1051" s="13"/>
      <c r="BQ1051" s="13"/>
      <c r="BR1051" s="13"/>
      <c r="BS1051" s="13"/>
      <c r="BT1051" s="13"/>
      <c r="BU1051" s="13"/>
      <c r="BV1051" s="13"/>
      <c r="BW1051" s="13"/>
      <c r="BX1051" s="13"/>
      <c r="BY1051" s="13"/>
      <c r="BZ1051" s="13"/>
      <c r="CA1051" s="13"/>
      <c r="CB1051" s="13"/>
      <c r="CC1051" s="13"/>
      <c r="CD1051" s="13"/>
      <c r="CE1051" s="13"/>
      <c r="CF1051" s="13"/>
      <c r="CG1051" s="13"/>
      <c r="CH1051" s="13"/>
      <c r="CI1051" s="13"/>
      <c r="CJ1051" s="13"/>
      <c r="CK1051" s="13"/>
      <c r="CL1051" s="13"/>
      <c r="CM1051" s="13"/>
      <c r="CN1051" s="13"/>
      <c r="CO1051" s="13"/>
      <c r="CP1051" s="13"/>
      <c r="CQ1051" s="13"/>
      <c r="CR1051" s="13"/>
      <c r="CS1051" s="13"/>
      <c r="CT1051" s="13"/>
      <c r="CU1051" s="13"/>
      <c r="CV1051" s="13"/>
      <c r="CW1051" s="13"/>
      <c r="CX1051" s="13"/>
    </row>
    <row r="1052" spans="1:102" ht="11.25">
      <c r="A1052" s="1"/>
      <c r="B1052" s="1"/>
      <c r="C1052" s="1"/>
      <c r="D1052" s="2"/>
      <c r="E1052" s="2"/>
      <c r="F1052" s="2"/>
      <c r="G1052" s="2"/>
      <c r="H1052" s="2"/>
      <c r="I1052" s="2"/>
      <c r="J1052" s="2"/>
      <c r="K1052" s="2"/>
      <c r="L1052" s="2"/>
      <c r="M1052" s="2"/>
      <c r="N1052" s="21"/>
      <c r="O1052" s="21"/>
      <c r="P1052" s="21"/>
      <c r="Q1052" s="13"/>
      <c r="R1052" s="13"/>
      <c r="S1052" s="13"/>
      <c r="T1052" s="13"/>
      <c r="U1052" s="13"/>
      <c r="V1052" s="13"/>
      <c r="W1052" s="13"/>
      <c r="X1052" s="13"/>
      <c r="Y1052" s="13"/>
      <c r="Z1052" s="13"/>
      <c r="AA1052" s="13"/>
      <c r="AB1052" s="13"/>
      <c r="AC1052" s="13"/>
      <c r="AD1052" s="13"/>
      <c r="AE1052" s="13"/>
      <c r="AF1052" s="13"/>
      <c r="AG1052" s="13"/>
      <c r="AH1052" s="13"/>
      <c r="AI1052" s="13"/>
      <c r="AJ1052" s="13"/>
      <c r="AK1052" s="13"/>
      <c r="AL1052" s="13"/>
      <c r="AM1052" s="13"/>
      <c r="AN1052" s="13"/>
      <c r="AO1052" s="13"/>
      <c r="AP1052" s="13"/>
      <c r="AQ1052" s="13"/>
      <c r="AR1052" s="13"/>
      <c r="AS1052" s="13"/>
      <c r="AT1052" s="13"/>
      <c r="AU1052" s="13"/>
      <c r="AV1052" s="13"/>
      <c r="AW1052" s="13"/>
      <c r="AX1052" s="13"/>
      <c r="AY1052" s="13"/>
      <c r="AZ1052" s="13"/>
      <c r="BA1052" s="13"/>
      <c r="BB1052" s="13"/>
      <c r="BC1052" s="13"/>
      <c r="BD1052" s="13"/>
      <c r="BE1052" s="13"/>
      <c r="BF1052" s="13"/>
      <c r="BG1052" s="13"/>
      <c r="BH1052" s="13"/>
      <c r="BI1052" s="13"/>
      <c r="BJ1052" s="13"/>
      <c r="BK1052" s="13"/>
      <c r="BL1052" s="13"/>
      <c r="BM1052" s="13"/>
      <c r="BN1052" s="13"/>
      <c r="BO1052" s="13"/>
      <c r="BP1052" s="13"/>
      <c r="BQ1052" s="13"/>
      <c r="BR1052" s="13"/>
      <c r="BS1052" s="13"/>
      <c r="BT1052" s="13"/>
      <c r="BU1052" s="13"/>
      <c r="BV1052" s="13"/>
      <c r="BW1052" s="13"/>
      <c r="BX1052" s="13"/>
      <c r="BY1052" s="13"/>
      <c r="BZ1052" s="13"/>
      <c r="CA1052" s="13"/>
      <c r="CB1052" s="13"/>
      <c r="CC1052" s="13"/>
      <c r="CD1052" s="13"/>
      <c r="CE1052" s="13"/>
      <c r="CF1052" s="13"/>
      <c r="CG1052" s="13"/>
      <c r="CH1052" s="13"/>
      <c r="CI1052" s="13"/>
      <c r="CJ1052" s="13"/>
      <c r="CK1052" s="13"/>
      <c r="CL1052" s="13"/>
      <c r="CM1052" s="13"/>
      <c r="CN1052" s="13"/>
      <c r="CO1052" s="13"/>
      <c r="CP1052" s="13"/>
      <c r="CQ1052" s="13"/>
      <c r="CR1052" s="13"/>
      <c r="CS1052" s="13"/>
      <c r="CT1052" s="13"/>
      <c r="CU1052" s="13"/>
      <c r="CV1052" s="13"/>
      <c r="CW1052" s="13"/>
      <c r="CX1052" s="13"/>
    </row>
    <row r="1053" spans="1:102" ht="11.25">
      <c r="A1053" s="1"/>
      <c r="B1053" s="1"/>
      <c r="C1053" s="1"/>
      <c r="D1053" s="2"/>
      <c r="E1053" s="2"/>
      <c r="F1053" s="2"/>
      <c r="G1053" s="2"/>
      <c r="H1053" s="2"/>
      <c r="I1053" s="2"/>
      <c r="J1053" s="2"/>
      <c r="K1053" s="2"/>
      <c r="L1053" s="2"/>
      <c r="M1053" s="2"/>
      <c r="N1053" s="21"/>
      <c r="O1053" s="21"/>
      <c r="P1053" s="21"/>
      <c r="Q1053" s="13"/>
      <c r="R1053" s="13"/>
      <c r="S1053" s="13"/>
      <c r="T1053" s="13"/>
      <c r="U1053" s="13"/>
      <c r="V1053" s="13"/>
      <c r="W1053" s="13"/>
      <c r="X1053" s="13"/>
      <c r="Y1053" s="13"/>
      <c r="Z1053" s="13"/>
      <c r="AA1053" s="13"/>
      <c r="AB1053" s="13"/>
      <c r="AC1053" s="13"/>
      <c r="AD1053" s="13"/>
      <c r="AE1053" s="13"/>
      <c r="AF1053" s="13"/>
      <c r="AG1053" s="13"/>
      <c r="AH1053" s="13"/>
      <c r="AI1053" s="13"/>
      <c r="AJ1053" s="13"/>
      <c r="AK1053" s="13"/>
      <c r="AL1053" s="13"/>
      <c r="AM1053" s="13"/>
      <c r="AN1053" s="13"/>
      <c r="AO1053" s="13"/>
      <c r="AP1053" s="13"/>
      <c r="AQ1053" s="13"/>
      <c r="AR1053" s="13"/>
      <c r="AS1053" s="13"/>
      <c r="AT1053" s="13"/>
      <c r="AU1053" s="13"/>
      <c r="AV1053" s="13"/>
      <c r="AW1053" s="13"/>
      <c r="AX1053" s="13"/>
      <c r="AY1053" s="13"/>
      <c r="AZ1053" s="13"/>
      <c r="BA1053" s="13"/>
      <c r="BB1053" s="13"/>
      <c r="BC1053" s="13"/>
      <c r="BD1053" s="13"/>
      <c r="BE1053" s="13"/>
      <c r="BF1053" s="13"/>
      <c r="BG1053" s="13"/>
      <c r="BH1053" s="13"/>
      <c r="BI1053" s="13"/>
      <c r="BJ1053" s="13"/>
      <c r="BK1053" s="13"/>
      <c r="BL1053" s="13"/>
      <c r="BM1053" s="13"/>
      <c r="BN1053" s="13"/>
      <c r="BO1053" s="13"/>
      <c r="BP1053" s="13"/>
      <c r="BQ1053" s="13"/>
      <c r="BR1053" s="13"/>
      <c r="BS1053" s="13"/>
      <c r="BT1053" s="13"/>
      <c r="BU1053" s="13"/>
      <c r="BV1053" s="13"/>
      <c r="BW1053" s="13"/>
      <c r="BX1053" s="13"/>
      <c r="BY1053" s="13"/>
      <c r="BZ1053" s="13"/>
      <c r="CA1053" s="13"/>
      <c r="CB1053" s="13"/>
      <c r="CC1053" s="13"/>
      <c r="CD1053" s="13"/>
      <c r="CE1053" s="13"/>
      <c r="CF1053" s="13"/>
      <c r="CG1053" s="13"/>
      <c r="CH1053" s="13"/>
      <c r="CI1053" s="13"/>
      <c r="CJ1053" s="13"/>
      <c r="CK1053" s="13"/>
      <c r="CL1053" s="13"/>
      <c r="CM1053" s="13"/>
      <c r="CN1053" s="13"/>
      <c r="CO1053" s="13"/>
      <c r="CP1053" s="13"/>
      <c r="CQ1053" s="13"/>
      <c r="CR1053" s="13"/>
      <c r="CS1053" s="13"/>
      <c r="CT1053" s="13"/>
      <c r="CU1053" s="13"/>
      <c r="CV1053" s="13"/>
      <c r="CW1053" s="13"/>
      <c r="CX1053" s="13"/>
    </row>
    <row r="1054" spans="1:102" ht="11.25">
      <c r="A1054" s="1"/>
      <c r="B1054" s="1"/>
      <c r="C1054" s="1"/>
      <c r="D1054" s="2"/>
      <c r="E1054" s="2"/>
      <c r="F1054" s="2"/>
      <c r="G1054" s="2"/>
      <c r="H1054" s="2"/>
      <c r="I1054" s="2"/>
      <c r="J1054" s="2"/>
      <c r="K1054" s="2"/>
      <c r="L1054" s="2"/>
      <c r="M1054" s="2"/>
      <c r="N1054" s="21"/>
      <c r="O1054" s="21"/>
      <c r="P1054" s="21"/>
      <c r="Q1054" s="13"/>
      <c r="R1054" s="13"/>
      <c r="S1054" s="13"/>
      <c r="T1054" s="13"/>
      <c r="U1054" s="13"/>
      <c r="V1054" s="13"/>
      <c r="W1054" s="13"/>
      <c r="X1054" s="13"/>
      <c r="Y1054" s="13"/>
      <c r="Z1054" s="13"/>
      <c r="AA1054" s="13"/>
      <c r="AB1054" s="13"/>
      <c r="AC1054" s="13"/>
      <c r="AD1054" s="13"/>
      <c r="AE1054" s="13"/>
      <c r="AF1054" s="13"/>
      <c r="AG1054" s="13"/>
      <c r="AH1054" s="13"/>
      <c r="AI1054" s="13"/>
      <c r="AJ1054" s="13"/>
      <c r="AK1054" s="13"/>
      <c r="AL1054" s="13"/>
      <c r="AM1054" s="13"/>
      <c r="AN1054" s="13"/>
      <c r="AO1054" s="13"/>
      <c r="AP1054" s="13"/>
      <c r="AQ1054" s="13"/>
      <c r="AR1054" s="13"/>
      <c r="AS1054" s="13"/>
      <c r="AT1054" s="13"/>
      <c r="AU1054" s="13"/>
      <c r="AV1054" s="13"/>
      <c r="AW1054" s="13"/>
      <c r="AX1054" s="13"/>
      <c r="AY1054" s="13"/>
      <c r="AZ1054" s="13"/>
      <c r="BA1054" s="13"/>
      <c r="BB1054" s="13"/>
      <c r="BC1054" s="13"/>
      <c r="BD1054" s="13"/>
      <c r="BE1054" s="13"/>
      <c r="BF1054" s="13"/>
      <c r="BG1054" s="13"/>
      <c r="BH1054" s="13"/>
      <c r="BI1054" s="13"/>
      <c r="BJ1054" s="13"/>
      <c r="BK1054" s="13"/>
      <c r="BL1054" s="13"/>
      <c r="BM1054" s="13"/>
      <c r="BN1054" s="13"/>
      <c r="BO1054" s="13"/>
      <c r="BP1054" s="13"/>
      <c r="BQ1054" s="13"/>
      <c r="BR1054" s="13"/>
      <c r="BS1054" s="13"/>
      <c r="BT1054" s="13"/>
      <c r="BU1054" s="13"/>
      <c r="BV1054" s="13"/>
      <c r="BW1054" s="13"/>
      <c r="BX1054" s="13"/>
      <c r="BY1054" s="13"/>
      <c r="BZ1054" s="13"/>
      <c r="CA1054" s="13"/>
      <c r="CB1054" s="13"/>
      <c r="CC1054" s="13"/>
      <c r="CD1054" s="13"/>
      <c r="CE1054" s="13"/>
      <c r="CF1054" s="13"/>
      <c r="CG1054" s="13"/>
      <c r="CH1054" s="13"/>
      <c r="CI1054" s="13"/>
      <c r="CJ1054" s="13"/>
      <c r="CK1054" s="13"/>
      <c r="CL1054" s="13"/>
      <c r="CM1054" s="13"/>
      <c r="CN1054" s="13"/>
      <c r="CO1054" s="13"/>
      <c r="CP1054" s="13"/>
      <c r="CQ1054" s="13"/>
      <c r="CR1054" s="13"/>
      <c r="CS1054" s="13"/>
      <c r="CT1054" s="13"/>
      <c r="CU1054" s="13"/>
      <c r="CV1054" s="13"/>
      <c r="CW1054" s="13"/>
      <c r="CX1054" s="13"/>
    </row>
    <row r="1055" spans="1:102" ht="11.25">
      <c r="A1055" s="1"/>
      <c r="B1055" s="1"/>
      <c r="C1055" s="1"/>
      <c r="D1055" s="2"/>
      <c r="E1055" s="2"/>
      <c r="F1055" s="2"/>
      <c r="G1055" s="2"/>
      <c r="H1055" s="2"/>
      <c r="I1055" s="2"/>
      <c r="J1055" s="2"/>
      <c r="K1055" s="2"/>
      <c r="L1055" s="2"/>
      <c r="M1055" s="2"/>
      <c r="N1055" s="21"/>
      <c r="O1055" s="21"/>
      <c r="P1055" s="21"/>
      <c r="Q1055" s="13"/>
      <c r="R1055" s="13"/>
      <c r="S1055" s="13"/>
      <c r="T1055" s="13"/>
      <c r="U1055" s="13"/>
      <c r="V1055" s="13"/>
      <c r="W1055" s="13"/>
      <c r="X1055" s="13"/>
      <c r="Y1055" s="13"/>
      <c r="Z1055" s="13"/>
      <c r="AA1055" s="13"/>
      <c r="AB1055" s="13"/>
      <c r="AC1055" s="13"/>
      <c r="AD1055" s="13"/>
      <c r="AE1055" s="13"/>
      <c r="AF1055" s="13"/>
      <c r="AG1055" s="13"/>
      <c r="AH1055" s="13"/>
      <c r="AI1055" s="13"/>
      <c r="AJ1055" s="13"/>
      <c r="AK1055" s="13"/>
      <c r="AL1055" s="13"/>
      <c r="AM1055" s="13"/>
      <c r="AN1055" s="13"/>
      <c r="AO1055" s="13"/>
      <c r="AP1055" s="13"/>
      <c r="AQ1055" s="13"/>
      <c r="AR1055" s="13"/>
      <c r="AS1055" s="13"/>
      <c r="AT1055" s="13"/>
      <c r="AU1055" s="13"/>
      <c r="AV1055" s="13"/>
      <c r="AW1055" s="13"/>
      <c r="AX1055" s="13"/>
      <c r="AY1055" s="13"/>
      <c r="AZ1055" s="13"/>
      <c r="BA1055" s="13"/>
      <c r="BB1055" s="13"/>
      <c r="BC1055" s="13"/>
      <c r="BD1055" s="13"/>
      <c r="BE1055" s="13"/>
      <c r="BF1055" s="13"/>
      <c r="BG1055" s="13"/>
      <c r="BH1055" s="13"/>
      <c r="BI1055" s="13"/>
      <c r="BJ1055" s="13"/>
      <c r="BK1055" s="13"/>
      <c r="BL1055" s="13"/>
      <c r="BM1055" s="13"/>
      <c r="BN1055" s="13"/>
      <c r="BO1055" s="13"/>
      <c r="BP1055" s="13"/>
      <c r="BQ1055" s="13"/>
      <c r="BR1055" s="13"/>
      <c r="BS1055" s="13"/>
      <c r="BT1055" s="13"/>
      <c r="BU1055" s="13"/>
      <c r="BV1055" s="13"/>
      <c r="BW1055" s="13"/>
      <c r="BX1055" s="13"/>
      <c r="BY1055" s="13"/>
      <c r="BZ1055" s="13"/>
      <c r="CA1055" s="13"/>
      <c r="CB1055" s="13"/>
      <c r="CC1055" s="13"/>
      <c r="CD1055" s="13"/>
      <c r="CE1055" s="13"/>
      <c r="CF1055" s="13"/>
      <c r="CG1055" s="13"/>
      <c r="CH1055" s="13"/>
      <c r="CI1055" s="13"/>
      <c r="CJ1055" s="13"/>
      <c r="CK1055" s="13"/>
      <c r="CL1055" s="13"/>
      <c r="CM1055" s="13"/>
      <c r="CN1055" s="13"/>
      <c r="CO1055" s="13"/>
      <c r="CP1055" s="13"/>
      <c r="CQ1055" s="13"/>
      <c r="CR1055" s="13"/>
      <c r="CS1055" s="13"/>
      <c r="CT1055" s="13"/>
      <c r="CU1055" s="13"/>
      <c r="CV1055" s="13"/>
      <c r="CW1055" s="13"/>
      <c r="CX1055" s="13"/>
    </row>
    <row r="1056" spans="1:102" ht="11.25">
      <c r="A1056" s="1"/>
      <c r="B1056" s="1"/>
      <c r="C1056" s="1"/>
      <c r="D1056" s="2"/>
      <c r="E1056" s="2"/>
      <c r="F1056" s="2"/>
      <c r="G1056" s="2"/>
      <c r="H1056" s="2"/>
      <c r="I1056" s="2"/>
      <c r="J1056" s="2"/>
      <c r="K1056" s="2"/>
      <c r="L1056" s="2"/>
      <c r="M1056" s="2"/>
      <c r="N1056" s="21"/>
      <c r="O1056" s="21"/>
      <c r="P1056" s="21"/>
      <c r="Q1056" s="13"/>
      <c r="R1056" s="13"/>
      <c r="S1056" s="13"/>
      <c r="T1056" s="13"/>
      <c r="U1056" s="13"/>
      <c r="V1056" s="13"/>
      <c r="W1056" s="13"/>
      <c r="X1056" s="13"/>
      <c r="Y1056" s="13"/>
      <c r="Z1056" s="13"/>
      <c r="AA1056" s="13"/>
      <c r="AB1056" s="13"/>
      <c r="AC1056" s="13"/>
      <c r="AD1056" s="13"/>
      <c r="AE1056" s="13"/>
      <c r="AF1056" s="13"/>
      <c r="AG1056" s="13"/>
      <c r="AH1056" s="13"/>
      <c r="AI1056" s="13"/>
      <c r="AJ1056" s="13"/>
      <c r="AK1056" s="13"/>
      <c r="AL1056" s="13"/>
      <c r="AM1056" s="13"/>
      <c r="AN1056" s="13"/>
      <c r="AO1056" s="13"/>
      <c r="AP1056" s="13"/>
      <c r="AQ1056" s="13"/>
      <c r="AR1056" s="13"/>
      <c r="AS1056" s="13"/>
      <c r="AT1056" s="13"/>
      <c r="AU1056" s="13"/>
      <c r="AV1056" s="13"/>
      <c r="AW1056" s="13"/>
      <c r="AX1056" s="13"/>
      <c r="AY1056" s="13"/>
      <c r="AZ1056" s="13"/>
      <c r="BA1056" s="13"/>
      <c r="BB1056" s="13"/>
      <c r="BC1056" s="13"/>
      <c r="BD1056" s="13"/>
      <c r="BE1056" s="13"/>
      <c r="BF1056" s="13"/>
      <c r="BG1056" s="13"/>
      <c r="BH1056" s="13"/>
      <c r="BI1056" s="13"/>
      <c r="BJ1056" s="13"/>
      <c r="BK1056" s="13"/>
      <c r="BL1056" s="13"/>
      <c r="BM1056" s="13"/>
      <c r="BN1056" s="13"/>
      <c r="BO1056" s="13"/>
      <c r="BP1056" s="13"/>
      <c r="BQ1056" s="13"/>
      <c r="BR1056" s="13"/>
      <c r="BS1056" s="13"/>
      <c r="BT1056" s="13"/>
      <c r="BU1056" s="13"/>
      <c r="BV1056" s="13"/>
      <c r="BW1056" s="13"/>
      <c r="BX1056" s="13"/>
      <c r="BY1056" s="13"/>
      <c r="BZ1056" s="13"/>
      <c r="CA1056" s="13"/>
      <c r="CB1056" s="13"/>
      <c r="CC1056" s="13"/>
      <c r="CD1056" s="13"/>
      <c r="CE1056" s="13"/>
      <c r="CF1056" s="13"/>
      <c r="CG1056" s="13"/>
      <c r="CH1056" s="13"/>
      <c r="CI1056" s="13"/>
      <c r="CJ1056" s="13"/>
      <c r="CK1056" s="13"/>
      <c r="CL1056" s="13"/>
      <c r="CM1056" s="13"/>
      <c r="CN1056" s="13"/>
      <c r="CO1056" s="13"/>
      <c r="CP1056" s="13"/>
      <c r="CQ1056" s="13"/>
      <c r="CR1056" s="13"/>
      <c r="CS1056" s="13"/>
      <c r="CT1056" s="13"/>
      <c r="CU1056" s="13"/>
      <c r="CV1056" s="13"/>
      <c r="CW1056" s="13"/>
      <c r="CX1056" s="13"/>
    </row>
    <row r="1057" spans="1:102" ht="11.25">
      <c r="A1057" s="1"/>
      <c r="B1057" s="1"/>
      <c r="C1057" s="1"/>
      <c r="D1057" s="2"/>
      <c r="E1057" s="2"/>
      <c r="F1057" s="2"/>
      <c r="G1057" s="2"/>
      <c r="H1057" s="2"/>
      <c r="I1057" s="2"/>
      <c r="J1057" s="2"/>
      <c r="K1057" s="2"/>
      <c r="L1057" s="2"/>
      <c r="M1057" s="2"/>
      <c r="N1057" s="21"/>
      <c r="O1057" s="21"/>
      <c r="P1057" s="21"/>
      <c r="Q1057" s="13"/>
      <c r="R1057" s="13"/>
      <c r="S1057" s="13"/>
      <c r="T1057" s="13"/>
      <c r="U1057" s="13"/>
      <c r="V1057" s="13"/>
      <c r="W1057" s="13"/>
      <c r="X1057" s="13"/>
      <c r="Y1057" s="13"/>
      <c r="Z1057" s="13"/>
      <c r="AA1057" s="13"/>
      <c r="AB1057" s="13"/>
      <c r="AC1057" s="13"/>
      <c r="AD1057" s="13"/>
      <c r="AE1057" s="13"/>
      <c r="AF1057" s="13"/>
      <c r="AG1057" s="13"/>
      <c r="AH1057" s="13"/>
      <c r="AI1057" s="13"/>
      <c r="AJ1057" s="13"/>
      <c r="AK1057" s="13"/>
      <c r="AL1057" s="13"/>
      <c r="AM1057" s="13"/>
      <c r="AN1057" s="13"/>
      <c r="AO1057" s="13"/>
      <c r="AP1057" s="13"/>
      <c r="AQ1057" s="13"/>
      <c r="AR1057" s="13"/>
      <c r="AS1057" s="13"/>
      <c r="AT1057" s="13"/>
      <c r="AU1057" s="13"/>
      <c r="AV1057" s="13"/>
      <c r="AW1057" s="13"/>
      <c r="AX1057" s="13"/>
      <c r="AY1057" s="13"/>
      <c r="AZ1057" s="13"/>
      <c r="BA1057" s="13"/>
      <c r="BB1057" s="13"/>
      <c r="BC1057" s="13"/>
      <c r="BD1057" s="13"/>
      <c r="BE1057" s="13"/>
      <c r="BF1057" s="13"/>
      <c r="BG1057" s="13"/>
      <c r="BH1057" s="13"/>
      <c r="BI1057" s="13"/>
      <c r="BJ1057" s="13"/>
      <c r="BK1057" s="13"/>
      <c r="BL1057" s="13"/>
      <c r="BM1057" s="13"/>
      <c r="BN1057" s="13"/>
      <c r="BO1057" s="13"/>
      <c r="BP1057" s="13"/>
      <c r="BQ1057" s="13"/>
      <c r="BR1057" s="13"/>
      <c r="BS1057" s="13"/>
      <c r="BT1057" s="13"/>
      <c r="BU1057" s="13"/>
      <c r="BV1057" s="13"/>
      <c r="BW1057" s="13"/>
      <c r="BX1057" s="13"/>
      <c r="BY1057" s="13"/>
      <c r="BZ1057" s="13"/>
      <c r="CA1057" s="13"/>
      <c r="CB1057" s="13"/>
      <c r="CC1057" s="13"/>
      <c r="CD1057" s="13"/>
      <c r="CE1057" s="13"/>
      <c r="CF1057" s="13"/>
      <c r="CG1057" s="13"/>
      <c r="CH1057" s="13"/>
      <c r="CI1057" s="13"/>
      <c r="CJ1057" s="13"/>
      <c r="CK1057" s="13"/>
      <c r="CL1057" s="13"/>
      <c r="CM1057" s="13"/>
      <c r="CN1057" s="13"/>
      <c r="CO1057" s="13"/>
      <c r="CP1057" s="13"/>
      <c r="CQ1057" s="13"/>
      <c r="CR1057" s="13"/>
      <c r="CS1057" s="13"/>
      <c r="CT1057" s="13"/>
      <c r="CU1057" s="13"/>
      <c r="CV1057" s="13"/>
      <c r="CW1057" s="13"/>
      <c r="CX1057" s="13"/>
    </row>
    <row r="1058" spans="1:102" ht="11.25">
      <c r="A1058" s="1"/>
      <c r="B1058" s="1"/>
      <c r="C1058" s="1"/>
      <c r="D1058" s="2"/>
      <c r="E1058" s="2"/>
      <c r="F1058" s="2"/>
      <c r="G1058" s="2"/>
      <c r="H1058" s="2"/>
      <c r="I1058" s="2"/>
      <c r="J1058" s="2"/>
      <c r="K1058" s="2"/>
      <c r="L1058" s="2"/>
      <c r="M1058" s="2"/>
      <c r="N1058" s="21"/>
      <c r="O1058" s="21"/>
      <c r="P1058" s="21"/>
      <c r="Q1058" s="13"/>
      <c r="R1058" s="13"/>
      <c r="S1058" s="13"/>
      <c r="T1058" s="13"/>
      <c r="U1058" s="13"/>
      <c r="V1058" s="13"/>
      <c r="W1058" s="13"/>
      <c r="X1058" s="13"/>
      <c r="Y1058" s="13"/>
      <c r="Z1058" s="13"/>
      <c r="AA1058" s="13"/>
      <c r="AB1058" s="13"/>
      <c r="AC1058" s="13"/>
      <c r="AD1058" s="13"/>
      <c r="AE1058" s="13"/>
      <c r="AF1058" s="13"/>
      <c r="AG1058" s="13"/>
      <c r="AH1058" s="13"/>
      <c r="AI1058" s="13"/>
      <c r="AJ1058" s="13"/>
      <c r="AK1058" s="13"/>
      <c r="AL1058" s="13"/>
      <c r="AM1058" s="13"/>
      <c r="AN1058" s="13"/>
      <c r="AO1058" s="13"/>
      <c r="AP1058" s="13"/>
      <c r="AQ1058" s="13"/>
      <c r="AR1058" s="13"/>
      <c r="AS1058" s="13"/>
      <c r="AT1058" s="13"/>
      <c r="AU1058" s="13"/>
      <c r="AV1058" s="13"/>
      <c r="AW1058" s="13"/>
      <c r="AX1058" s="13"/>
      <c r="AY1058" s="13"/>
      <c r="AZ1058" s="13"/>
      <c r="BA1058" s="13"/>
      <c r="BB1058" s="13"/>
      <c r="BC1058" s="13"/>
      <c r="BD1058" s="13"/>
      <c r="BE1058" s="13"/>
      <c r="BF1058" s="13"/>
      <c r="BG1058" s="13"/>
      <c r="BH1058" s="13"/>
      <c r="BI1058" s="13"/>
      <c r="BJ1058" s="13"/>
      <c r="BK1058" s="13"/>
      <c r="BL1058" s="13"/>
      <c r="BM1058" s="13"/>
      <c r="BN1058" s="13"/>
      <c r="BO1058" s="13"/>
      <c r="BP1058" s="13"/>
      <c r="BQ1058" s="13"/>
      <c r="BR1058" s="13"/>
      <c r="BS1058" s="13"/>
      <c r="BT1058" s="13"/>
      <c r="BU1058" s="13"/>
      <c r="BV1058" s="13"/>
      <c r="BW1058" s="13"/>
      <c r="BX1058" s="13"/>
      <c r="BY1058" s="13"/>
      <c r="BZ1058" s="13"/>
      <c r="CA1058" s="13"/>
      <c r="CB1058" s="13"/>
      <c r="CC1058" s="13"/>
      <c r="CD1058" s="13"/>
      <c r="CE1058" s="13"/>
      <c r="CF1058" s="13"/>
      <c r="CG1058" s="13"/>
      <c r="CH1058" s="13"/>
      <c r="CI1058" s="13"/>
      <c r="CJ1058" s="13"/>
      <c r="CK1058" s="13"/>
      <c r="CL1058" s="13"/>
      <c r="CM1058" s="13"/>
      <c r="CN1058" s="13"/>
      <c r="CO1058" s="13"/>
      <c r="CP1058" s="13"/>
      <c r="CQ1058" s="13"/>
      <c r="CR1058" s="13"/>
      <c r="CS1058" s="13"/>
      <c r="CT1058" s="13"/>
      <c r="CU1058" s="13"/>
      <c r="CV1058" s="13"/>
      <c r="CW1058" s="13"/>
      <c r="CX1058" s="13"/>
    </row>
    <row r="1059" spans="1:102" ht="11.25">
      <c r="A1059" s="1"/>
      <c r="B1059" s="1"/>
      <c r="C1059" s="1"/>
      <c r="D1059" s="2"/>
      <c r="E1059" s="2"/>
      <c r="F1059" s="2"/>
      <c r="G1059" s="2"/>
      <c r="H1059" s="2"/>
      <c r="I1059" s="2"/>
      <c r="J1059" s="2"/>
      <c r="K1059" s="2"/>
      <c r="L1059" s="2"/>
      <c r="M1059" s="2"/>
      <c r="N1059" s="21"/>
      <c r="O1059" s="21"/>
      <c r="P1059" s="21"/>
      <c r="Q1059" s="13"/>
      <c r="R1059" s="13"/>
      <c r="S1059" s="13"/>
      <c r="T1059" s="13"/>
      <c r="U1059" s="13"/>
      <c r="V1059" s="13"/>
      <c r="W1059" s="13"/>
      <c r="X1059" s="13"/>
      <c r="Y1059" s="13"/>
      <c r="Z1059" s="13"/>
      <c r="AA1059" s="13"/>
      <c r="AB1059" s="13"/>
      <c r="AC1059" s="13"/>
      <c r="AD1059" s="13"/>
      <c r="AE1059" s="13"/>
      <c r="AF1059" s="13"/>
      <c r="AG1059" s="13"/>
      <c r="AH1059" s="13"/>
      <c r="AI1059" s="13"/>
      <c r="AJ1059" s="13"/>
      <c r="AK1059" s="13"/>
      <c r="AL1059" s="13"/>
      <c r="AM1059" s="13"/>
      <c r="AN1059" s="13"/>
      <c r="AO1059" s="13"/>
      <c r="AP1059" s="13"/>
      <c r="AQ1059" s="13"/>
      <c r="AR1059" s="13"/>
      <c r="AS1059" s="13"/>
      <c r="AT1059" s="13"/>
      <c r="AU1059" s="13"/>
      <c r="AV1059" s="13"/>
      <c r="AW1059" s="13"/>
      <c r="AX1059" s="13"/>
      <c r="AY1059" s="13"/>
      <c r="AZ1059" s="13"/>
      <c r="BA1059" s="13"/>
      <c r="BB1059" s="13"/>
      <c r="BC1059" s="13"/>
      <c r="BD1059" s="13"/>
      <c r="BE1059" s="13"/>
      <c r="BF1059" s="13"/>
      <c r="BG1059" s="13"/>
      <c r="BH1059" s="13"/>
      <c r="BI1059" s="13"/>
      <c r="BJ1059" s="13"/>
      <c r="BK1059" s="13"/>
      <c r="BL1059" s="13"/>
      <c r="BM1059" s="13"/>
      <c r="BN1059" s="13"/>
      <c r="BO1059" s="13"/>
      <c r="BP1059" s="13"/>
      <c r="BQ1059" s="13"/>
      <c r="BR1059" s="13"/>
      <c r="BS1059" s="13"/>
      <c r="BT1059" s="13"/>
      <c r="BU1059" s="13"/>
      <c r="BV1059" s="13"/>
      <c r="BW1059" s="13"/>
      <c r="BX1059" s="13"/>
      <c r="BY1059" s="13"/>
      <c r="BZ1059" s="13"/>
      <c r="CA1059" s="13"/>
      <c r="CB1059" s="13"/>
      <c r="CC1059" s="13"/>
      <c r="CD1059" s="13"/>
      <c r="CE1059" s="13"/>
      <c r="CF1059" s="13"/>
      <c r="CG1059" s="13"/>
      <c r="CH1059" s="13"/>
      <c r="CI1059" s="13"/>
      <c r="CJ1059" s="13"/>
      <c r="CK1059" s="13"/>
      <c r="CL1059" s="13"/>
      <c r="CM1059" s="13"/>
      <c r="CN1059" s="13"/>
      <c r="CO1059" s="13"/>
      <c r="CP1059" s="13"/>
      <c r="CQ1059" s="13"/>
      <c r="CR1059" s="13"/>
      <c r="CS1059" s="13"/>
      <c r="CT1059" s="13"/>
      <c r="CU1059" s="13"/>
      <c r="CV1059" s="13"/>
      <c r="CW1059" s="13"/>
      <c r="CX1059" s="13"/>
    </row>
    <row r="1060" spans="1:102" ht="11.25">
      <c r="A1060" s="1"/>
      <c r="B1060" s="1"/>
      <c r="C1060" s="1"/>
      <c r="D1060" s="2"/>
      <c r="E1060" s="2"/>
      <c r="F1060" s="2"/>
      <c r="G1060" s="2"/>
      <c r="H1060" s="2"/>
      <c r="I1060" s="2"/>
      <c r="J1060" s="2"/>
      <c r="K1060" s="2"/>
      <c r="L1060" s="2"/>
      <c r="M1060" s="2"/>
      <c r="N1060" s="21"/>
      <c r="O1060" s="21"/>
      <c r="P1060" s="21"/>
      <c r="Q1060" s="13"/>
      <c r="R1060" s="13"/>
      <c r="S1060" s="13"/>
      <c r="T1060" s="13"/>
      <c r="U1060" s="13"/>
      <c r="V1060" s="13"/>
      <c r="W1060" s="13"/>
      <c r="X1060" s="13"/>
      <c r="Y1060" s="13"/>
      <c r="Z1060" s="13"/>
      <c r="AA1060" s="13"/>
      <c r="AB1060" s="13"/>
      <c r="AC1060" s="13"/>
      <c r="AD1060" s="13"/>
      <c r="AE1060" s="13"/>
      <c r="AF1060" s="13"/>
      <c r="AG1060" s="13"/>
      <c r="AH1060" s="13"/>
      <c r="AI1060" s="13"/>
      <c r="AJ1060" s="13"/>
      <c r="AK1060" s="13"/>
      <c r="AL1060" s="13"/>
      <c r="AM1060" s="13"/>
      <c r="AN1060" s="13"/>
      <c r="AO1060" s="13"/>
      <c r="AP1060" s="13"/>
      <c r="AQ1060" s="13"/>
      <c r="AR1060" s="13"/>
      <c r="AS1060" s="13"/>
      <c r="AT1060" s="13"/>
      <c r="AU1060" s="13"/>
      <c r="AV1060" s="13"/>
      <c r="AW1060" s="13"/>
      <c r="AX1060" s="13"/>
      <c r="AY1060" s="13"/>
      <c r="AZ1060" s="13"/>
      <c r="BA1060" s="13"/>
      <c r="BB1060" s="13"/>
      <c r="BC1060" s="13"/>
      <c r="BD1060" s="13"/>
      <c r="BE1060" s="13"/>
      <c r="BF1060" s="13"/>
      <c r="BG1060" s="13"/>
      <c r="BH1060" s="13"/>
      <c r="BI1060" s="13"/>
      <c r="BJ1060" s="13"/>
      <c r="BK1060" s="13"/>
      <c r="BL1060" s="13"/>
      <c r="BM1060" s="13"/>
      <c r="BN1060" s="13"/>
      <c r="BO1060" s="13"/>
      <c r="BP1060" s="13"/>
      <c r="BQ1060" s="13"/>
      <c r="BR1060" s="13"/>
      <c r="BS1060" s="13"/>
      <c r="BT1060" s="13"/>
      <c r="BU1060" s="13"/>
      <c r="BV1060" s="13"/>
      <c r="BW1060" s="13"/>
      <c r="BX1060" s="13"/>
      <c r="BY1060" s="13"/>
      <c r="BZ1060" s="13"/>
      <c r="CA1060" s="13"/>
      <c r="CB1060" s="13"/>
      <c r="CC1060" s="13"/>
      <c r="CD1060" s="13"/>
      <c r="CE1060" s="13"/>
      <c r="CF1060" s="13"/>
      <c r="CG1060" s="13"/>
      <c r="CH1060" s="13"/>
      <c r="CI1060" s="13"/>
      <c r="CJ1060" s="13"/>
      <c r="CK1060" s="13"/>
      <c r="CL1060" s="13"/>
      <c r="CM1060" s="13"/>
      <c r="CN1060" s="13"/>
      <c r="CO1060" s="13"/>
      <c r="CP1060" s="13"/>
      <c r="CQ1060" s="13"/>
      <c r="CR1060" s="13"/>
      <c r="CS1060" s="13"/>
      <c r="CT1060" s="13"/>
      <c r="CU1060" s="13"/>
      <c r="CV1060" s="13"/>
      <c r="CW1060" s="13"/>
      <c r="CX1060" s="13"/>
    </row>
    <row r="1061" spans="1:102" ht="11.25">
      <c r="A1061" s="1"/>
      <c r="B1061" s="1"/>
      <c r="C1061" s="1"/>
      <c r="D1061" s="2"/>
      <c r="E1061" s="2"/>
      <c r="F1061" s="2"/>
      <c r="G1061" s="2"/>
      <c r="H1061" s="2"/>
      <c r="I1061" s="2"/>
      <c r="J1061" s="2"/>
      <c r="K1061" s="2"/>
      <c r="L1061" s="2"/>
      <c r="M1061" s="2"/>
      <c r="N1061" s="21"/>
      <c r="O1061" s="21"/>
      <c r="P1061" s="21"/>
      <c r="Q1061" s="13"/>
      <c r="R1061" s="13"/>
      <c r="S1061" s="13"/>
      <c r="T1061" s="13"/>
      <c r="U1061" s="13"/>
      <c r="V1061" s="13"/>
      <c r="W1061" s="13"/>
      <c r="X1061" s="13"/>
      <c r="Y1061" s="13"/>
      <c r="Z1061" s="13"/>
      <c r="AA1061" s="13"/>
      <c r="AB1061" s="13"/>
      <c r="AC1061" s="13"/>
      <c r="AD1061" s="13"/>
      <c r="AE1061" s="13"/>
      <c r="AF1061" s="13"/>
      <c r="AG1061" s="13"/>
      <c r="AH1061" s="13"/>
      <c r="AI1061" s="13"/>
      <c r="AJ1061" s="13"/>
      <c r="AK1061" s="13"/>
      <c r="AL1061" s="13"/>
      <c r="AM1061" s="13"/>
      <c r="AN1061" s="13"/>
      <c r="AO1061" s="13"/>
      <c r="AP1061" s="13"/>
      <c r="AQ1061" s="13"/>
      <c r="AR1061" s="13"/>
      <c r="AS1061" s="13"/>
      <c r="AT1061" s="13"/>
      <c r="AU1061" s="13"/>
      <c r="AV1061" s="13"/>
      <c r="AW1061" s="13"/>
      <c r="AX1061" s="13"/>
      <c r="AY1061" s="13"/>
      <c r="AZ1061" s="13"/>
      <c r="BA1061" s="13"/>
      <c r="BB1061" s="13"/>
      <c r="BC1061" s="13"/>
      <c r="BD1061" s="13"/>
      <c r="BE1061" s="13"/>
      <c r="BF1061" s="13"/>
      <c r="BG1061" s="13"/>
      <c r="BH1061" s="13"/>
      <c r="BI1061" s="13"/>
      <c r="BJ1061" s="13"/>
      <c r="BK1061" s="13"/>
      <c r="BL1061" s="13"/>
      <c r="BM1061" s="13"/>
      <c r="BN1061" s="13"/>
      <c r="BO1061" s="13"/>
      <c r="BP1061" s="13"/>
      <c r="BQ1061" s="13"/>
      <c r="BR1061" s="13"/>
      <c r="BS1061" s="13"/>
      <c r="BT1061" s="13"/>
      <c r="BU1061" s="13"/>
      <c r="BV1061" s="13"/>
      <c r="BW1061" s="13"/>
      <c r="BX1061" s="13"/>
      <c r="BY1061" s="13"/>
      <c r="BZ1061" s="13"/>
      <c r="CA1061" s="13"/>
      <c r="CB1061" s="13"/>
      <c r="CC1061" s="13"/>
      <c r="CD1061" s="13"/>
      <c r="CE1061" s="13"/>
      <c r="CF1061" s="13"/>
      <c r="CG1061" s="13"/>
      <c r="CH1061" s="13"/>
      <c r="CI1061" s="13"/>
      <c r="CJ1061" s="13"/>
      <c r="CK1061" s="13"/>
      <c r="CL1061" s="13"/>
      <c r="CM1061" s="13"/>
      <c r="CN1061" s="13"/>
      <c r="CO1061" s="13"/>
      <c r="CP1061" s="13"/>
      <c r="CQ1061" s="13"/>
      <c r="CR1061" s="13"/>
      <c r="CS1061" s="13"/>
      <c r="CT1061" s="13"/>
      <c r="CU1061" s="13"/>
      <c r="CV1061" s="13"/>
      <c r="CW1061" s="13"/>
      <c r="CX1061" s="13"/>
    </row>
    <row r="1062" spans="1:102" ht="11.25">
      <c r="A1062" s="1"/>
      <c r="B1062" s="1"/>
      <c r="C1062" s="1"/>
      <c r="D1062" s="2"/>
      <c r="E1062" s="2"/>
      <c r="F1062" s="2"/>
      <c r="G1062" s="2"/>
      <c r="H1062" s="2"/>
      <c r="I1062" s="2"/>
      <c r="J1062" s="2"/>
      <c r="K1062" s="2"/>
      <c r="L1062" s="2"/>
      <c r="M1062" s="2"/>
      <c r="N1062" s="21"/>
      <c r="O1062" s="21"/>
      <c r="P1062" s="21"/>
      <c r="Q1062" s="13"/>
      <c r="R1062" s="13"/>
      <c r="S1062" s="13"/>
      <c r="T1062" s="13"/>
      <c r="U1062" s="13"/>
      <c r="V1062" s="13"/>
      <c r="W1062" s="13"/>
      <c r="X1062" s="13"/>
      <c r="Y1062" s="13"/>
      <c r="Z1062" s="13"/>
      <c r="AA1062" s="13"/>
      <c r="AB1062" s="13"/>
      <c r="AC1062" s="13"/>
      <c r="AD1062" s="13"/>
      <c r="AE1062" s="13"/>
      <c r="AF1062" s="13"/>
      <c r="AG1062" s="13"/>
      <c r="AH1062" s="13"/>
      <c r="AI1062" s="13"/>
      <c r="AJ1062" s="13"/>
      <c r="AK1062" s="13"/>
      <c r="AL1062" s="13"/>
      <c r="AM1062" s="13"/>
      <c r="AN1062" s="13"/>
      <c r="AO1062" s="13"/>
      <c r="AP1062" s="13"/>
      <c r="AQ1062" s="13"/>
      <c r="AR1062" s="13"/>
      <c r="AS1062" s="13"/>
      <c r="AT1062" s="13"/>
      <c r="AU1062" s="13"/>
      <c r="AV1062" s="13"/>
      <c r="AW1062" s="13"/>
      <c r="AX1062" s="13"/>
      <c r="AY1062" s="13"/>
      <c r="AZ1062" s="13"/>
      <c r="BA1062" s="13"/>
      <c r="BB1062" s="13"/>
      <c r="BC1062" s="13"/>
      <c r="BD1062" s="13"/>
      <c r="BE1062" s="13"/>
      <c r="BF1062" s="13"/>
      <c r="BG1062" s="13"/>
      <c r="BH1062" s="13"/>
      <c r="BI1062" s="13"/>
      <c r="BJ1062" s="13"/>
      <c r="BK1062" s="13"/>
      <c r="BL1062" s="13"/>
      <c r="BM1062" s="13"/>
      <c r="BN1062" s="13"/>
      <c r="BO1062" s="13"/>
      <c r="BP1062" s="13"/>
      <c r="BQ1062" s="13"/>
      <c r="BR1062" s="13"/>
      <c r="BS1062" s="13"/>
      <c r="BT1062" s="13"/>
      <c r="BU1062" s="13"/>
      <c r="BV1062" s="13"/>
      <c r="BW1062" s="13"/>
      <c r="BX1062" s="13"/>
      <c r="BY1062" s="13"/>
      <c r="BZ1062" s="13"/>
      <c r="CA1062" s="13"/>
      <c r="CB1062" s="13"/>
      <c r="CC1062" s="13"/>
      <c r="CD1062" s="13"/>
      <c r="CE1062" s="13"/>
      <c r="CF1062" s="13"/>
      <c r="CG1062" s="13"/>
      <c r="CH1062" s="13"/>
      <c r="CI1062" s="13"/>
      <c r="CJ1062" s="13"/>
      <c r="CK1062" s="13"/>
      <c r="CL1062" s="13"/>
      <c r="CM1062" s="13"/>
      <c r="CN1062" s="13"/>
      <c r="CO1062" s="13"/>
      <c r="CP1062" s="13"/>
      <c r="CQ1062" s="13"/>
      <c r="CR1062" s="13"/>
      <c r="CS1062" s="13"/>
      <c r="CT1062" s="13"/>
      <c r="CU1062" s="13"/>
      <c r="CV1062" s="13"/>
      <c r="CW1062" s="13"/>
      <c r="CX1062" s="13"/>
    </row>
    <row r="1063" spans="1:102" ht="11.25">
      <c r="A1063" s="1"/>
      <c r="B1063" s="1"/>
      <c r="C1063" s="1"/>
      <c r="D1063" s="2"/>
      <c r="E1063" s="2"/>
      <c r="F1063" s="2"/>
      <c r="G1063" s="2"/>
      <c r="H1063" s="2"/>
      <c r="I1063" s="2"/>
      <c r="J1063" s="2"/>
      <c r="K1063" s="2"/>
      <c r="L1063" s="2"/>
      <c r="M1063" s="2"/>
      <c r="N1063" s="21"/>
      <c r="O1063" s="21"/>
      <c r="P1063" s="21"/>
      <c r="Q1063" s="13"/>
      <c r="R1063" s="13"/>
      <c r="S1063" s="13"/>
      <c r="T1063" s="13"/>
      <c r="U1063" s="13"/>
      <c r="V1063" s="13"/>
      <c r="W1063" s="13"/>
      <c r="X1063" s="13"/>
      <c r="Y1063" s="13"/>
      <c r="Z1063" s="13"/>
      <c r="AA1063" s="13"/>
      <c r="AB1063" s="13"/>
      <c r="AC1063" s="13"/>
      <c r="AD1063" s="13"/>
      <c r="AE1063" s="13"/>
      <c r="AF1063" s="13"/>
      <c r="AG1063" s="13"/>
      <c r="AH1063" s="13"/>
      <c r="AI1063" s="13"/>
      <c r="AJ1063" s="13"/>
      <c r="AK1063" s="13"/>
      <c r="AL1063" s="13"/>
      <c r="AM1063" s="13"/>
      <c r="AN1063" s="13"/>
      <c r="AO1063" s="13"/>
      <c r="AP1063" s="13"/>
      <c r="AQ1063" s="13"/>
      <c r="AR1063" s="13"/>
      <c r="AS1063" s="13"/>
      <c r="AT1063" s="13"/>
      <c r="AU1063" s="13"/>
      <c r="AV1063" s="13"/>
      <c r="AW1063" s="13"/>
      <c r="AX1063" s="13"/>
      <c r="AY1063" s="13"/>
      <c r="AZ1063" s="13"/>
      <c r="BA1063" s="13"/>
      <c r="BB1063" s="13"/>
      <c r="BC1063" s="13"/>
      <c r="BD1063" s="13"/>
      <c r="BE1063" s="13"/>
      <c r="BF1063" s="13"/>
      <c r="BG1063" s="13"/>
      <c r="BH1063" s="13"/>
      <c r="BI1063" s="13"/>
      <c r="BJ1063" s="13"/>
      <c r="BK1063" s="13"/>
      <c r="BL1063" s="13"/>
      <c r="BM1063" s="13"/>
      <c r="BN1063" s="13"/>
      <c r="BO1063" s="13"/>
      <c r="BP1063" s="13"/>
      <c r="BQ1063" s="13"/>
      <c r="BR1063" s="13"/>
      <c r="BS1063" s="13"/>
      <c r="BT1063" s="13"/>
      <c r="BU1063" s="13"/>
      <c r="BV1063" s="13"/>
      <c r="BW1063" s="13"/>
      <c r="BX1063" s="13"/>
      <c r="BY1063" s="13"/>
      <c r="BZ1063" s="13"/>
      <c r="CA1063" s="13"/>
      <c r="CB1063" s="13"/>
      <c r="CC1063" s="13"/>
      <c r="CD1063" s="13"/>
      <c r="CE1063" s="13"/>
      <c r="CF1063" s="13"/>
      <c r="CG1063" s="13"/>
      <c r="CH1063" s="13"/>
      <c r="CI1063" s="13"/>
      <c r="CJ1063" s="13"/>
      <c r="CK1063" s="13"/>
      <c r="CL1063" s="13"/>
      <c r="CM1063" s="13"/>
      <c r="CN1063" s="13"/>
      <c r="CO1063" s="13"/>
      <c r="CP1063" s="13"/>
      <c r="CQ1063" s="13"/>
      <c r="CR1063" s="13"/>
      <c r="CS1063" s="13"/>
      <c r="CT1063" s="13"/>
      <c r="CU1063" s="13"/>
      <c r="CV1063" s="13"/>
      <c r="CW1063" s="13"/>
      <c r="CX1063" s="13"/>
    </row>
    <row r="1064" spans="1:102" ht="11.25">
      <c r="A1064" s="1"/>
      <c r="B1064" s="1"/>
      <c r="C1064" s="1"/>
      <c r="D1064" s="2"/>
      <c r="E1064" s="2"/>
      <c r="F1064" s="2"/>
      <c r="G1064" s="2"/>
      <c r="H1064" s="2"/>
      <c r="I1064" s="2"/>
      <c r="J1064" s="2"/>
      <c r="K1064" s="2"/>
      <c r="L1064" s="2"/>
      <c r="M1064" s="2"/>
      <c r="N1064" s="21"/>
      <c r="O1064" s="21"/>
      <c r="P1064" s="21"/>
      <c r="Q1064" s="13"/>
      <c r="R1064" s="13"/>
      <c r="S1064" s="13"/>
      <c r="T1064" s="13"/>
      <c r="U1064" s="13"/>
      <c r="V1064" s="13"/>
      <c r="W1064" s="13"/>
      <c r="X1064" s="13"/>
      <c r="Y1064" s="13"/>
      <c r="Z1064" s="13"/>
      <c r="AA1064" s="13"/>
      <c r="AB1064" s="13"/>
      <c r="AC1064" s="13"/>
      <c r="AD1064" s="13"/>
      <c r="AE1064" s="13"/>
      <c r="AF1064" s="13"/>
      <c r="AG1064" s="13"/>
      <c r="AH1064" s="13"/>
      <c r="AI1064" s="13"/>
      <c r="AJ1064" s="13"/>
      <c r="AK1064" s="13"/>
      <c r="AL1064" s="13"/>
      <c r="AM1064" s="13"/>
      <c r="AN1064" s="13"/>
      <c r="AO1064" s="13"/>
      <c r="AP1064" s="13"/>
      <c r="AQ1064" s="13"/>
      <c r="AR1064" s="13"/>
      <c r="AS1064" s="13"/>
      <c r="AT1064" s="13"/>
      <c r="AU1064" s="13"/>
      <c r="AV1064" s="13"/>
      <c r="AW1064" s="13"/>
      <c r="AX1064" s="13"/>
      <c r="AY1064" s="13"/>
      <c r="AZ1064" s="13"/>
      <c r="BA1064" s="13"/>
      <c r="BB1064" s="13"/>
      <c r="BC1064" s="13"/>
      <c r="BD1064" s="13"/>
      <c r="BE1064" s="13"/>
      <c r="BF1064" s="13"/>
      <c r="BG1064" s="13"/>
      <c r="BH1064" s="13"/>
      <c r="BI1064" s="13"/>
      <c r="BJ1064" s="13"/>
      <c r="BK1064" s="13"/>
      <c r="BL1064" s="13"/>
      <c r="BM1064" s="13"/>
      <c r="BN1064" s="13"/>
      <c r="BO1064" s="13"/>
      <c r="BP1064" s="13"/>
      <c r="BQ1064" s="13"/>
      <c r="BR1064" s="13"/>
      <c r="BS1064" s="13"/>
      <c r="BT1064" s="13"/>
      <c r="BU1064" s="13"/>
      <c r="BV1064" s="13"/>
      <c r="BW1064" s="13"/>
      <c r="BX1064" s="13"/>
      <c r="BY1064" s="13"/>
      <c r="BZ1064" s="13"/>
      <c r="CA1064" s="13"/>
      <c r="CB1064" s="13"/>
      <c r="CC1064" s="13"/>
      <c r="CD1064" s="13"/>
      <c r="CE1064" s="13"/>
      <c r="CF1064" s="13"/>
      <c r="CG1064" s="13"/>
      <c r="CH1064" s="13"/>
      <c r="CI1064" s="13"/>
      <c r="CJ1064" s="13"/>
      <c r="CK1064" s="13"/>
      <c r="CL1064" s="13"/>
      <c r="CM1064" s="13"/>
      <c r="CN1064" s="13"/>
      <c r="CO1064" s="13"/>
      <c r="CP1064" s="13"/>
      <c r="CQ1064" s="13"/>
      <c r="CR1064" s="13"/>
      <c r="CS1064" s="13"/>
      <c r="CT1064" s="13"/>
      <c r="CU1064" s="13"/>
      <c r="CV1064" s="13"/>
      <c r="CW1064" s="13"/>
      <c r="CX1064" s="13"/>
    </row>
    <row r="1065" spans="1:102" ht="11.25">
      <c r="A1065" s="1"/>
      <c r="B1065" s="1"/>
      <c r="C1065" s="1"/>
      <c r="D1065" s="2"/>
      <c r="E1065" s="2"/>
      <c r="F1065" s="2"/>
      <c r="G1065" s="2"/>
      <c r="H1065" s="2"/>
      <c r="I1065" s="2"/>
      <c r="J1065" s="2"/>
      <c r="K1065" s="2"/>
      <c r="L1065" s="2"/>
      <c r="M1065" s="2"/>
      <c r="N1065" s="21"/>
      <c r="O1065" s="21"/>
      <c r="P1065" s="21"/>
      <c r="Q1065" s="13"/>
      <c r="R1065" s="13"/>
      <c r="S1065" s="13"/>
      <c r="T1065" s="13"/>
      <c r="U1065" s="13"/>
      <c r="V1065" s="13"/>
      <c r="W1065" s="13"/>
      <c r="X1065" s="13"/>
      <c r="Y1065" s="13"/>
      <c r="Z1065" s="13"/>
      <c r="AA1065" s="13"/>
      <c r="AB1065" s="13"/>
      <c r="AC1065" s="13"/>
      <c r="AD1065" s="13"/>
      <c r="AE1065" s="13"/>
      <c r="AF1065" s="13"/>
      <c r="AG1065" s="13"/>
      <c r="AH1065" s="13"/>
      <c r="AI1065" s="13"/>
      <c r="AJ1065" s="13"/>
      <c r="AK1065" s="13"/>
      <c r="AL1065" s="13"/>
      <c r="AM1065" s="13"/>
      <c r="AN1065" s="13"/>
      <c r="AO1065" s="13"/>
      <c r="AP1065" s="13"/>
      <c r="AQ1065" s="13"/>
      <c r="AR1065" s="13"/>
      <c r="AS1065" s="13"/>
      <c r="AT1065" s="13"/>
      <c r="AU1065" s="13"/>
      <c r="AV1065" s="13"/>
      <c r="AW1065" s="13"/>
      <c r="AX1065" s="13"/>
      <c r="AY1065" s="13"/>
      <c r="AZ1065" s="13"/>
      <c r="BA1065" s="13"/>
      <c r="BB1065" s="13"/>
      <c r="BC1065" s="13"/>
      <c r="BD1065" s="13"/>
      <c r="BE1065" s="13"/>
      <c r="BF1065" s="13"/>
      <c r="BG1065" s="13"/>
      <c r="BH1065" s="13"/>
      <c r="BI1065" s="13"/>
      <c r="BJ1065" s="13"/>
      <c r="BK1065" s="13"/>
      <c r="BL1065" s="13"/>
      <c r="BM1065" s="13"/>
      <c r="BN1065" s="13"/>
      <c r="BO1065" s="13"/>
      <c r="BP1065" s="13"/>
      <c r="BQ1065" s="13"/>
      <c r="BR1065" s="13"/>
      <c r="BS1065" s="13"/>
      <c r="BT1065" s="13"/>
      <c r="BU1065" s="13"/>
      <c r="BV1065" s="13"/>
      <c r="BW1065" s="13"/>
      <c r="BX1065" s="13"/>
      <c r="BY1065" s="13"/>
      <c r="BZ1065" s="13"/>
      <c r="CA1065" s="13"/>
      <c r="CB1065" s="13"/>
      <c r="CC1065" s="13"/>
      <c r="CD1065" s="13"/>
      <c r="CE1065" s="13"/>
      <c r="CF1065" s="13"/>
      <c r="CG1065" s="13"/>
      <c r="CH1065" s="13"/>
      <c r="CI1065" s="13"/>
      <c r="CJ1065" s="13"/>
      <c r="CK1065" s="13"/>
      <c r="CL1065" s="13"/>
      <c r="CM1065" s="13"/>
      <c r="CN1065" s="13"/>
      <c r="CO1065" s="13"/>
      <c r="CP1065" s="13"/>
      <c r="CQ1065" s="13"/>
      <c r="CR1065" s="13"/>
      <c r="CS1065" s="13"/>
      <c r="CT1065" s="13"/>
      <c r="CU1065" s="13"/>
      <c r="CV1065" s="13"/>
      <c r="CW1065" s="13"/>
      <c r="CX1065" s="13"/>
    </row>
    <row r="1066" spans="1:102" ht="11.25">
      <c r="A1066" s="1"/>
      <c r="B1066" s="1"/>
      <c r="C1066" s="1"/>
      <c r="D1066" s="2"/>
      <c r="E1066" s="2"/>
      <c r="F1066" s="2"/>
      <c r="G1066" s="2"/>
      <c r="H1066" s="2"/>
      <c r="I1066" s="2"/>
      <c r="J1066" s="2"/>
      <c r="K1066" s="2"/>
      <c r="L1066" s="2"/>
      <c r="M1066" s="2"/>
      <c r="N1066" s="21"/>
      <c r="O1066" s="21"/>
      <c r="P1066" s="21"/>
      <c r="Q1066" s="13"/>
      <c r="R1066" s="13"/>
      <c r="S1066" s="13"/>
      <c r="T1066" s="13"/>
      <c r="U1066" s="13"/>
      <c r="V1066" s="13"/>
      <c r="W1066" s="13"/>
      <c r="X1066" s="13"/>
      <c r="Y1066" s="13"/>
      <c r="Z1066" s="13"/>
      <c r="AA1066" s="13"/>
      <c r="AB1066" s="13"/>
      <c r="AC1066" s="13"/>
      <c r="AD1066" s="13"/>
      <c r="AE1066" s="13"/>
      <c r="AF1066" s="13"/>
      <c r="AG1066" s="13"/>
      <c r="AH1066" s="13"/>
      <c r="AI1066" s="13"/>
      <c r="AJ1066" s="13"/>
      <c r="AK1066" s="13"/>
      <c r="AL1066" s="13"/>
      <c r="AM1066" s="13"/>
      <c r="AN1066" s="13"/>
      <c r="AO1066" s="13"/>
      <c r="AP1066" s="13"/>
      <c r="AQ1066" s="13"/>
      <c r="AR1066" s="13"/>
      <c r="AS1066" s="13"/>
      <c r="AT1066" s="13"/>
      <c r="AU1066" s="13"/>
      <c r="AV1066" s="13"/>
      <c r="AW1066" s="13"/>
      <c r="AX1066" s="13"/>
      <c r="AY1066" s="13"/>
      <c r="AZ1066" s="13"/>
      <c r="BA1066" s="13"/>
      <c r="BB1066" s="13"/>
      <c r="BC1066" s="13"/>
      <c r="BD1066" s="13"/>
      <c r="BE1066" s="13"/>
      <c r="BF1066" s="13"/>
      <c r="BG1066" s="13"/>
      <c r="BH1066" s="13"/>
      <c r="BI1066" s="13"/>
      <c r="BJ1066" s="13"/>
      <c r="BK1066" s="13"/>
      <c r="BL1066" s="13"/>
      <c r="BM1066" s="13"/>
      <c r="BN1066" s="13"/>
      <c r="BO1066" s="13"/>
      <c r="BP1066" s="13"/>
      <c r="BQ1066" s="13"/>
      <c r="BR1066" s="13"/>
      <c r="BS1066" s="13"/>
      <c r="BT1066" s="13"/>
      <c r="BU1066" s="13"/>
      <c r="BV1066" s="13"/>
      <c r="BW1066" s="13"/>
      <c r="BX1066" s="13"/>
      <c r="BY1066" s="13"/>
      <c r="BZ1066" s="13"/>
      <c r="CA1066" s="13"/>
      <c r="CB1066" s="13"/>
      <c r="CC1066" s="13"/>
      <c r="CD1066" s="13"/>
      <c r="CE1066" s="13"/>
      <c r="CF1066" s="13"/>
      <c r="CG1066" s="13"/>
      <c r="CH1066" s="13"/>
      <c r="CI1066" s="13"/>
      <c r="CJ1066" s="13"/>
      <c r="CK1066" s="13"/>
      <c r="CL1066" s="13"/>
      <c r="CM1066" s="13"/>
      <c r="CN1066" s="13"/>
      <c r="CO1066" s="13"/>
      <c r="CP1066" s="13"/>
      <c r="CQ1066" s="13"/>
      <c r="CR1066" s="13"/>
      <c r="CS1066" s="13"/>
      <c r="CT1066" s="13"/>
      <c r="CU1066" s="13"/>
      <c r="CV1066" s="13"/>
      <c r="CW1066" s="13"/>
      <c r="CX1066" s="13"/>
    </row>
    <row r="1067" spans="1:102" ht="11.25">
      <c r="A1067" s="1"/>
      <c r="B1067" s="1"/>
      <c r="C1067" s="1"/>
      <c r="D1067" s="2"/>
      <c r="E1067" s="2"/>
      <c r="F1067" s="2"/>
      <c r="G1067" s="2"/>
      <c r="H1067" s="2"/>
      <c r="I1067" s="2"/>
      <c r="J1067" s="2"/>
      <c r="K1067" s="2"/>
      <c r="L1067" s="2"/>
      <c r="M1067" s="2"/>
      <c r="N1067" s="21"/>
      <c r="O1067" s="21"/>
      <c r="P1067" s="21"/>
      <c r="Q1067" s="13"/>
      <c r="R1067" s="13"/>
      <c r="S1067" s="13"/>
      <c r="T1067" s="13"/>
      <c r="U1067" s="13"/>
      <c r="V1067" s="13"/>
      <c r="W1067" s="13"/>
      <c r="X1067" s="13"/>
      <c r="Y1067" s="13"/>
      <c r="Z1067" s="13"/>
      <c r="AA1067" s="13"/>
      <c r="AB1067" s="13"/>
      <c r="AC1067" s="13"/>
      <c r="AD1067" s="13"/>
      <c r="AE1067" s="13"/>
      <c r="AF1067" s="13"/>
      <c r="AG1067" s="13"/>
      <c r="AH1067" s="13"/>
      <c r="AI1067" s="13"/>
      <c r="AJ1067" s="13"/>
      <c r="AK1067" s="13"/>
      <c r="AL1067" s="13"/>
      <c r="AM1067" s="13"/>
      <c r="AN1067" s="13"/>
      <c r="AO1067" s="13"/>
      <c r="AP1067" s="13"/>
      <c r="AQ1067" s="13"/>
      <c r="AR1067" s="13"/>
      <c r="AS1067" s="13"/>
      <c r="AT1067" s="13"/>
      <c r="AU1067" s="13"/>
      <c r="AV1067" s="13"/>
      <c r="AW1067" s="13"/>
      <c r="AX1067" s="13"/>
      <c r="AY1067" s="13"/>
      <c r="AZ1067" s="13"/>
      <c r="BA1067" s="13"/>
      <c r="BB1067" s="13"/>
      <c r="BC1067" s="13"/>
      <c r="BD1067" s="13"/>
      <c r="BE1067" s="13"/>
      <c r="BF1067" s="13"/>
      <c r="BG1067" s="13"/>
      <c r="BH1067" s="13"/>
      <c r="BI1067" s="13"/>
      <c r="BJ1067" s="13"/>
      <c r="BK1067" s="13"/>
      <c r="BL1067" s="13"/>
      <c r="BM1067" s="13"/>
      <c r="BN1067" s="13"/>
      <c r="BO1067" s="13"/>
      <c r="BP1067" s="13"/>
      <c r="BQ1067" s="13"/>
      <c r="BR1067" s="13"/>
      <c r="BS1067" s="13"/>
      <c r="BT1067" s="13"/>
      <c r="BU1067" s="13"/>
      <c r="BV1067" s="13"/>
      <c r="BW1067" s="13"/>
      <c r="BX1067" s="13"/>
      <c r="BY1067" s="13"/>
      <c r="BZ1067" s="13"/>
      <c r="CA1067" s="13"/>
      <c r="CB1067" s="13"/>
      <c r="CC1067" s="13"/>
      <c r="CD1067" s="13"/>
      <c r="CE1067" s="13"/>
      <c r="CF1067" s="13"/>
      <c r="CG1067" s="13"/>
      <c r="CH1067" s="13"/>
      <c r="CI1067" s="13"/>
      <c r="CJ1067" s="13"/>
      <c r="CK1067" s="13"/>
      <c r="CL1067" s="13"/>
      <c r="CM1067" s="13"/>
      <c r="CN1067" s="13"/>
      <c r="CO1067" s="13"/>
      <c r="CP1067" s="13"/>
      <c r="CQ1067" s="13"/>
      <c r="CR1067" s="13"/>
      <c r="CS1067" s="13"/>
      <c r="CT1067" s="13"/>
      <c r="CU1067" s="13"/>
      <c r="CV1067" s="13"/>
      <c r="CW1067" s="13"/>
      <c r="CX1067" s="13"/>
    </row>
    <row r="1068" spans="1:102" ht="11.25">
      <c r="A1068" s="1"/>
      <c r="B1068" s="1"/>
      <c r="C1068" s="1"/>
      <c r="D1068" s="2"/>
      <c r="E1068" s="2"/>
      <c r="F1068" s="2"/>
      <c r="G1068" s="2"/>
      <c r="H1068" s="2"/>
      <c r="I1068" s="2"/>
      <c r="J1068" s="2"/>
      <c r="K1068" s="2"/>
      <c r="L1068" s="2"/>
      <c r="M1068" s="2"/>
      <c r="N1068" s="21"/>
      <c r="O1068" s="21"/>
      <c r="P1068" s="21"/>
      <c r="Q1068" s="13"/>
      <c r="R1068" s="13"/>
      <c r="S1068" s="13"/>
      <c r="T1068" s="13"/>
      <c r="U1068" s="13"/>
      <c r="V1068" s="13"/>
      <c r="W1068" s="13"/>
      <c r="X1068" s="13"/>
      <c r="Y1068" s="13"/>
      <c r="Z1068" s="13"/>
      <c r="AA1068" s="13"/>
      <c r="AB1068" s="13"/>
      <c r="AC1068" s="13"/>
      <c r="AD1068" s="13"/>
      <c r="AE1068" s="13"/>
      <c r="AF1068" s="13"/>
      <c r="AG1068" s="13"/>
      <c r="AH1068" s="13"/>
      <c r="AI1068" s="13"/>
      <c r="AJ1068" s="13"/>
      <c r="AK1068" s="13"/>
      <c r="AL1068" s="13"/>
      <c r="AM1068" s="13"/>
      <c r="AN1068" s="13"/>
      <c r="AO1068" s="13"/>
      <c r="AP1068" s="13"/>
      <c r="AQ1068" s="13"/>
      <c r="AR1068" s="13"/>
      <c r="AS1068" s="13"/>
      <c r="AT1068" s="13"/>
      <c r="AU1068" s="13"/>
      <c r="AV1068" s="13"/>
      <c r="AW1068" s="13"/>
      <c r="AX1068" s="13"/>
      <c r="AY1068" s="13"/>
      <c r="AZ1068" s="13"/>
      <c r="BA1068" s="13"/>
      <c r="BB1068" s="13"/>
      <c r="BC1068" s="13"/>
      <c r="BD1068" s="13"/>
      <c r="BE1068" s="13"/>
      <c r="BF1068" s="13"/>
      <c r="BG1068" s="13"/>
      <c r="BH1068" s="13"/>
      <c r="BI1068" s="13"/>
      <c r="BJ1068" s="13"/>
      <c r="BK1068" s="13"/>
      <c r="BL1068" s="13"/>
      <c r="BM1068" s="13"/>
      <c r="BN1068" s="13"/>
      <c r="BO1068" s="13"/>
      <c r="BP1068" s="13"/>
      <c r="BQ1068" s="13"/>
      <c r="BR1068" s="13"/>
      <c r="BS1068" s="13"/>
      <c r="BT1068" s="13"/>
      <c r="BU1068" s="13"/>
      <c r="BV1068" s="13"/>
      <c r="BW1068" s="13"/>
      <c r="BX1068" s="13"/>
      <c r="BY1068" s="13"/>
      <c r="BZ1068" s="13"/>
      <c r="CA1068" s="13"/>
      <c r="CB1068" s="13"/>
      <c r="CC1068" s="13"/>
      <c r="CD1068" s="13"/>
      <c r="CE1068" s="13"/>
      <c r="CF1068" s="13"/>
      <c r="CG1068" s="13"/>
      <c r="CH1068" s="13"/>
      <c r="CI1068" s="13"/>
      <c r="CJ1068" s="13"/>
      <c r="CK1068" s="13"/>
      <c r="CL1068" s="13"/>
      <c r="CM1068" s="13"/>
      <c r="CN1068" s="13"/>
      <c r="CO1068" s="13"/>
      <c r="CP1068" s="13"/>
      <c r="CQ1068" s="13"/>
      <c r="CR1068" s="13"/>
      <c r="CS1068" s="13"/>
      <c r="CT1068" s="13"/>
      <c r="CU1068" s="13"/>
      <c r="CV1068" s="13"/>
      <c r="CW1068" s="13"/>
      <c r="CX1068" s="13"/>
    </row>
    <row r="1069" spans="1:102" ht="11.25">
      <c r="A1069" s="1"/>
      <c r="B1069" s="1"/>
      <c r="C1069" s="1"/>
      <c r="D1069" s="2"/>
      <c r="E1069" s="2"/>
      <c r="F1069" s="2"/>
      <c r="G1069" s="2"/>
      <c r="H1069" s="2"/>
      <c r="I1069" s="2"/>
      <c r="J1069" s="2"/>
      <c r="K1069" s="2"/>
      <c r="L1069" s="2"/>
      <c r="M1069" s="2"/>
      <c r="N1069" s="21"/>
      <c r="O1069" s="21"/>
      <c r="P1069" s="21"/>
      <c r="Q1069" s="13"/>
      <c r="R1069" s="13"/>
      <c r="S1069" s="13"/>
      <c r="T1069" s="13"/>
      <c r="U1069" s="13"/>
      <c r="V1069" s="13"/>
      <c r="W1069" s="13"/>
      <c r="X1069" s="13"/>
      <c r="Y1069" s="13"/>
      <c r="Z1069" s="13"/>
      <c r="AA1069" s="13"/>
      <c r="AB1069" s="13"/>
      <c r="AC1069" s="13"/>
      <c r="AD1069" s="13"/>
      <c r="AE1069" s="13"/>
      <c r="AF1069" s="13"/>
      <c r="AG1069" s="13"/>
      <c r="AH1069" s="13"/>
      <c r="AI1069" s="13"/>
      <c r="AJ1069" s="13"/>
      <c r="AK1069" s="13"/>
      <c r="AL1069" s="13"/>
      <c r="AM1069" s="13"/>
      <c r="AN1069" s="13"/>
      <c r="AO1069" s="13"/>
      <c r="AP1069" s="13"/>
      <c r="AQ1069" s="13"/>
      <c r="AR1069" s="13"/>
      <c r="AS1069" s="13"/>
      <c r="AT1069" s="13"/>
      <c r="AU1069" s="13"/>
      <c r="AV1069" s="13"/>
      <c r="AW1069" s="13"/>
      <c r="AX1069" s="13"/>
      <c r="AY1069" s="13"/>
      <c r="AZ1069" s="13"/>
      <c r="BA1069" s="13"/>
      <c r="BB1069" s="13"/>
      <c r="BC1069" s="13"/>
      <c r="BD1069" s="13"/>
      <c r="BE1069" s="13"/>
      <c r="BF1069" s="13"/>
      <c r="BG1069" s="13"/>
      <c r="BH1069" s="13"/>
      <c r="BI1069" s="13"/>
      <c r="BJ1069" s="13"/>
      <c r="BK1069" s="13"/>
      <c r="BL1069" s="13"/>
      <c r="BM1069" s="13"/>
      <c r="BN1069" s="13"/>
      <c r="BO1069" s="13"/>
      <c r="BP1069" s="13"/>
      <c r="BQ1069" s="13"/>
      <c r="BR1069" s="13"/>
      <c r="BS1069" s="13"/>
      <c r="BT1069" s="13"/>
      <c r="BU1069" s="13"/>
      <c r="BV1069" s="13"/>
      <c r="BW1069" s="13"/>
      <c r="BX1069" s="13"/>
      <c r="BY1069" s="13"/>
      <c r="BZ1069" s="13"/>
      <c r="CA1069" s="13"/>
      <c r="CB1069" s="13"/>
      <c r="CC1069" s="13"/>
      <c r="CD1069" s="13"/>
      <c r="CE1069" s="13"/>
      <c r="CF1069" s="13"/>
      <c r="CG1069" s="13"/>
      <c r="CH1069" s="13"/>
      <c r="CI1069" s="13"/>
      <c r="CJ1069" s="13"/>
      <c r="CK1069" s="13"/>
      <c r="CL1069" s="13"/>
      <c r="CM1069" s="13"/>
      <c r="CN1069" s="13"/>
      <c r="CO1069" s="13"/>
      <c r="CP1069" s="13"/>
      <c r="CQ1069" s="13"/>
      <c r="CR1069" s="13"/>
      <c r="CS1069" s="13"/>
      <c r="CT1069" s="13"/>
      <c r="CU1069" s="13"/>
      <c r="CV1069" s="13"/>
      <c r="CW1069" s="13"/>
      <c r="CX1069" s="13"/>
    </row>
    <row r="1070" spans="1:102" ht="11.25">
      <c r="A1070" s="1"/>
      <c r="B1070" s="1"/>
      <c r="C1070" s="1"/>
      <c r="D1070" s="2"/>
      <c r="E1070" s="2"/>
      <c r="F1070" s="2"/>
      <c r="G1070" s="2"/>
      <c r="H1070" s="2"/>
      <c r="I1070" s="2"/>
      <c r="J1070" s="2"/>
      <c r="K1070" s="2"/>
      <c r="L1070" s="2"/>
      <c r="M1070" s="2"/>
      <c r="N1070" s="21"/>
      <c r="O1070" s="21"/>
      <c r="P1070" s="21"/>
      <c r="Q1070" s="13"/>
      <c r="R1070" s="13"/>
      <c r="S1070" s="13"/>
      <c r="T1070" s="13"/>
      <c r="U1070" s="13"/>
      <c r="V1070" s="13"/>
      <c r="W1070" s="13"/>
      <c r="X1070" s="13"/>
      <c r="Y1070" s="13"/>
      <c r="Z1070" s="13"/>
      <c r="AA1070" s="13"/>
      <c r="AB1070" s="13"/>
      <c r="AC1070" s="13"/>
      <c r="AD1070" s="13"/>
      <c r="AE1070" s="13"/>
      <c r="AF1070" s="13"/>
      <c r="AG1070" s="13"/>
      <c r="AH1070" s="13"/>
      <c r="AI1070" s="13"/>
      <c r="AJ1070" s="13"/>
      <c r="AK1070" s="13"/>
      <c r="AL1070" s="13"/>
      <c r="AM1070" s="13"/>
      <c r="AN1070" s="13"/>
      <c r="AO1070" s="13"/>
      <c r="AP1070" s="13"/>
      <c r="AQ1070" s="13"/>
      <c r="AR1070" s="13"/>
      <c r="AS1070" s="13"/>
      <c r="AT1070" s="13"/>
      <c r="AU1070" s="13"/>
      <c r="AV1070" s="13"/>
      <c r="AW1070" s="13"/>
      <c r="AX1070" s="13"/>
      <c r="AY1070" s="13"/>
      <c r="AZ1070" s="13"/>
      <c r="BA1070" s="13"/>
      <c r="BB1070" s="13"/>
      <c r="BC1070" s="13"/>
      <c r="BD1070" s="13"/>
      <c r="BE1070" s="13"/>
      <c r="BF1070" s="13"/>
      <c r="BG1070" s="13"/>
      <c r="BH1070" s="13"/>
      <c r="BI1070" s="13"/>
      <c r="BJ1070" s="13"/>
      <c r="BK1070" s="13"/>
      <c r="BL1070" s="13"/>
      <c r="BM1070" s="13"/>
      <c r="BN1070" s="13"/>
      <c r="BO1070" s="13"/>
      <c r="BP1070" s="13"/>
      <c r="BQ1070" s="13"/>
      <c r="BR1070" s="13"/>
      <c r="BS1070" s="13"/>
      <c r="BT1070" s="13"/>
      <c r="BU1070" s="13"/>
      <c r="BV1070" s="13"/>
      <c r="BW1070" s="13"/>
      <c r="BX1070" s="13"/>
      <c r="BY1070" s="13"/>
      <c r="BZ1070" s="13"/>
      <c r="CA1070" s="13"/>
      <c r="CB1070" s="13"/>
      <c r="CC1070" s="13"/>
      <c r="CD1070" s="13"/>
      <c r="CE1070" s="13"/>
      <c r="CF1070" s="13"/>
      <c r="CG1070" s="13"/>
      <c r="CH1070" s="13"/>
      <c r="CI1070" s="13"/>
      <c r="CJ1070" s="13"/>
      <c r="CK1070" s="13"/>
      <c r="CL1070" s="13"/>
      <c r="CM1070" s="13"/>
      <c r="CN1070" s="13"/>
      <c r="CO1070" s="13"/>
      <c r="CP1070" s="13"/>
      <c r="CQ1070" s="13"/>
      <c r="CR1070" s="13"/>
      <c r="CS1070" s="13"/>
      <c r="CT1070" s="13"/>
      <c r="CU1070" s="13"/>
      <c r="CV1070" s="13"/>
      <c r="CW1070" s="13"/>
      <c r="CX1070" s="13"/>
    </row>
    <row r="1071" spans="1:102" ht="11.25">
      <c r="A1071" s="1"/>
      <c r="B1071" s="1"/>
      <c r="C1071" s="1"/>
      <c r="D1071" s="2"/>
      <c r="E1071" s="2"/>
      <c r="F1071" s="2"/>
      <c r="G1071" s="2"/>
      <c r="H1071" s="2"/>
      <c r="I1071" s="2"/>
      <c r="J1071" s="2"/>
      <c r="K1071" s="2"/>
      <c r="L1071" s="2"/>
      <c r="M1071" s="2"/>
      <c r="N1071" s="21"/>
      <c r="O1071" s="21"/>
      <c r="P1071" s="21"/>
      <c r="Q1071" s="13"/>
      <c r="R1071" s="13"/>
      <c r="S1071" s="13"/>
      <c r="T1071" s="13"/>
      <c r="U1071" s="13"/>
      <c r="V1071" s="13"/>
      <c r="W1071" s="13"/>
      <c r="X1071" s="13"/>
      <c r="Y1071" s="13"/>
      <c r="Z1071" s="13"/>
      <c r="AA1071" s="13"/>
      <c r="AB1071" s="13"/>
      <c r="AC1071" s="13"/>
      <c r="AD1071" s="13"/>
      <c r="AE1071" s="13"/>
      <c r="AF1071" s="13"/>
      <c r="AG1071" s="13"/>
      <c r="AH1071" s="13"/>
      <c r="AI1071" s="13"/>
      <c r="AJ1071" s="13"/>
      <c r="AK1071" s="13"/>
      <c r="AL1071" s="13"/>
      <c r="AM1071" s="13"/>
      <c r="AN1071" s="13"/>
      <c r="AO1071" s="13"/>
      <c r="AP1071" s="13"/>
      <c r="AQ1071" s="13"/>
      <c r="AR1071" s="13"/>
      <c r="AS1071" s="13"/>
      <c r="AT1071" s="13"/>
      <c r="AU1071" s="13"/>
      <c r="AV1071" s="13"/>
      <c r="AW1071" s="13"/>
      <c r="AX1071" s="13"/>
      <c r="AY1071" s="13"/>
      <c r="AZ1071" s="13"/>
      <c r="BA1071" s="13"/>
      <c r="BB1071" s="13"/>
      <c r="BC1071" s="13"/>
      <c r="BD1071" s="13"/>
      <c r="BE1071" s="13"/>
      <c r="BF1071" s="13"/>
      <c r="BG1071" s="13"/>
      <c r="BH1071" s="13"/>
      <c r="BI1071" s="13"/>
      <c r="BJ1071" s="13"/>
      <c r="BK1071" s="13"/>
      <c r="BL1071" s="13"/>
      <c r="BM1071" s="13"/>
      <c r="BN1071" s="13"/>
      <c r="BO1071" s="13"/>
      <c r="BP1071" s="13"/>
      <c r="BQ1071" s="13"/>
      <c r="BR1071" s="13"/>
      <c r="BS1071" s="13"/>
      <c r="BT1071" s="13"/>
      <c r="BU1071" s="13"/>
      <c r="BV1071" s="13"/>
      <c r="BW1071" s="13"/>
      <c r="BX1071" s="13"/>
      <c r="BY1071" s="13"/>
      <c r="BZ1071" s="13"/>
      <c r="CA1071" s="13"/>
      <c r="CB1071" s="13"/>
      <c r="CC1071" s="13"/>
      <c r="CD1071" s="13"/>
      <c r="CE1071" s="13"/>
      <c r="CF1071" s="13"/>
      <c r="CG1071" s="13"/>
      <c r="CH1071" s="13"/>
      <c r="CI1071" s="13"/>
      <c r="CJ1071" s="13"/>
      <c r="CK1071" s="13"/>
      <c r="CL1071" s="13"/>
      <c r="CM1071" s="13"/>
      <c r="CN1071" s="13"/>
      <c r="CO1071" s="13"/>
      <c r="CP1071" s="13"/>
      <c r="CQ1071" s="13"/>
      <c r="CR1071" s="13"/>
      <c r="CS1071" s="13"/>
      <c r="CT1071" s="13"/>
      <c r="CU1071" s="13"/>
      <c r="CV1071" s="13"/>
      <c r="CW1071" s="13"/>
      <c r="CX1071" s="13"/>
    </row>
    <row r="1072" spans="1:102" ht="11.25">
      <c r="A1072" s="1"/>
      <c r="B1072" s="1"/>
      <c r="C1072" s="1"/>
      <c r="D1072" s="2"/>
      <c r="E1072" s="2"/>
      <c r="F1072" s="2"/>
      <c r="G1072" s="2"/>
      <c r="H1072" s="2"/>
      <c r="I1072" s="2"/>
      <c r="J1072" s="2"/>
      <c r="K1072" s="2"/>
      <c r="L1072" s="2"/>
      <c r="M1072" s="2"/>
      <c r="N1072" s="21"/>
      <c r="O1072" s="21"/>
      <c r="P1072" s="21"/>
      <c r="Q1072" s="13"/>
      <c r="R1072" s="13"/>
      <c r="S1072" s="13"/>
      <c r="T1072" s="13"/>
      <c r="U1072" s="13"/>
      <c r="V1072" s="13"/>
      <c r="W1072" s="13"/>
      <c r="X1072" s="13"/>
      <c r="Y1072" s="13"/>
      <c r="Z1072" s="13"/>
      <c r="AA1072" s="13"/>
      <c r="AB1072" s="13"/>
      <c r="AC1072" s="13"/>
      <c r="AD1072" s="13"/>
      <c r="AE1072" s="13"/>
      <c r="AF1072" s="13"/>
      <c r="AG1072" s="13"/>
      <c r="AH1072" s="13"/>
      <c r="AI1072" s="13"/>
      <c r="AJ1072" s="13"/>
      <c r="AK1072" s="13"/>
      <c r="AL1072" s="13"/>
      <c r="AM1072" s="13"/>
      <c r="AN1072" s="13"/>
      <c r="AO1072" s="13"/>
      <c r="AP1072" s="13"/>
      <c r="AQ1072" s="13"/>
      <c r="AR1072" s="13"/>
      <c r="AS1072" s="13"/>
      <c r="AT1072" s="13"/>
      <c r="AU1072" s="13"/>
      <c r="AV1072" s="13"/>
      <c r="AW1072" s="13"/>
      <c r="AX1072" s="13"/>
      <c r="AY1072" s="13"/>
      <c r="AZ1072" s="13"/>
      <c r="BA1072" s="13"/>
      <c r="BB1072" s="13"/>
      <c r="BC1072" s="13"/>
      <c r="BD1072" s="13"/>
      <c r="BE1072" s="13"/>
      <c r="BF1072" s="13"/>
      <c r="BG1072" s="13"/>
      <c r="BH1072" s="13"/>
      <c r="BI1072" s="13"/>
      <c r="BJ1072" s="13"/>
      <c r="BK1072" s="13"/>
      <c r="BL1072" s="13"/>
      <c r="BM1072" s="13"/>
      <c r="BN1072" s="13"/>
      <c r="BO1072" s="13"/>
      <c r="BP1072" s="13"/>
      <c r="BQ1072" s="13"/>
      <c r="BR1072" s="13"/>
      <c r="BS1072" s="13"/>
      <c r="BT1072" s="13"/>
      <c r="BU1072" s="13"/>
      <c r="BV1072" s="13"/>
      <c r="BW1072" s="13"/>
      <c r="BX1072" s="13"/>
      <c r="BY1072" s="13"/>
      <c r="BZ1072" s="13"/>
      <c r="CA1072" s="13"/>
      <c r="CB1072" s="13"/>
      <c r="CC1072" s="13"/>
      <c r="CD1072" s="13"/>
      <c r="CE1072" s="13"/>
      <c r="CF1072" s="13"/>
      <c r="CG1072" s="13"/>
      <c r="CH1072" s="13"/>
      <c r="CI1072" s="13"/>
      <c r="CJ1072" s="13"/>
      <c r="CK1072" s="13"/>
      <c r="CL1072" s="13"/>
      <c r="CM1072" s="13"/>
      <c r="CN1072" s="13"/>
      <c r="CO1072" s="13"/>
      <c r="CP1072" s="13"/>
      <c r="CQ1072" s="13"/>
      <c r="CR1072" s="13"/>
      <c r="CS1072" s="13"/>
      <c r="CT1072" s="13"/>
      <c r="CU1072" s="13"/>
      <c r="CV1072" s="13"/>
      <c r="CW1072" s="13"/>
      <c r="CX1072" s="13"/>
    </row>
    <row r="1073" spans="1:102" ht="11.25">
      <c r="A1073" s="1"/>
      <c r="B1073" s="1"/>
      <c r="C1073" s="1"/>
      <c r="D1073" s="2"/>
      <c r="E1073" s="2"/>
      <c r="F1073" s="2"/>
      <c r="G1073" s="2"/>
      <c r="H1073" s="2"/>
      <c r="I1073" s="2"/>
      <c r="J1073" s="2"/>
      <c r="K1073" s="2"/>
      <c r="L1073" s="2"/>
      <c r="M1073" s="2"/>
      <c r="N1073" s="21"/>
      <c r="O1073" s="21"/>
      <c r="P1073" s="21"/>
      <c r="Q1073" s="13"/>
      <c r="R1073" s="13"/>
      <c r="S1073" s="13"/>
      <c r="T1073" s="13"/>
      <c r="U1073" s="13"/>
      <c r="V1073" s="13"/>
      <c r="W1073" s="13"/>
      <c r="X1073" s="13"/>
      <c r="Y1073" s="13"/>
      <c r="Z1073" s="13"/>
      <c r="AA1073" s="13"/>
      <c r="AB1073" s="13"/>
      <c r="AC1073" s="13"/>
      <c r="AD1073" s="13"/>
      <c r="AE1073" s="13"/>
      <c r="AF1073" s="13"/>
      <c r="AG1073" s="13"/>
      <c r="AH1073" s="13"/>
      <c r="AI1073" s="13"/>
      <c r="AJ1073" s="13"/>
      <c r="AK1073" s="13"/>
      <c r="AL1073" s="13"/>
      <c r="AM1073" s="13"/>
      <c r="AN1073" s="13"/>
      <c r="AO1073" s="13"/>
      <c r="AP1073" s="13"/>
      <c r="AQ1073" s="13"/>
      <c r="AR1073" s="13"/>
      <c r="AS1073" s="13"/>
      <c r="AT1073" s="13"/>
      <c r="AU1073" s="13"/>
      <c r="AV1073" s="13"/>
      <c r="AW1073" s="13"/>
      <c r="AX1073" s="13"/>
      <c r="AY1073" s="13"/>
      <c r="AZ1073" s="13"/>
      <c r="BA1073" s="13"/>
      <c r="BB1073" s="13"/>
      <c r="BC1073" s="13"/>
      <c r="BD1073" s="13"/>
      <c r="BE1073" s="13"/>
      <c r="BF1073" s="13"/>
      <c r="BG1073" s="13"/>
      <c r="BH1073" s="13"/>
      <c r="BI1073" s="13"/>
      <c r="BJ1073" s="13"/>
      <c r="BK1073" s="13"/>
      <c r="BL1073" s="13"/>
      <c r="BM1073" s="13"/>
      <c r="BN1073" s="13"/>
      <c r="BO1073" s="13"/>
      <c r="BP1073" s="13"/>
      <c r="BQ1073" s="13"/>
      <c r="BR1073" s="13"/>
      <c r="BS1073" s="13"/>
      <c r="BT1073" s="13"/>
      <c r="BU1073" s="13"/>
      <c r="BV1073" s="13"/>
      <c r="BW1073" s="13"/>
      <c r="BX1073" s="13"/>
      <c r="BY1073" s="13"/>
      <c r="BZ1073" s="13"/>
      <c r="CA1073" s="13"/>
      <c r="CB1073" s="13"/>
      <c r="CC1073" s="13"/>
      <c r="CD1073" s="13"/>
      <c r="CE1073" s="13"/>
      <c r="CF1073" s="13"/>
      <c r="CG1073" s="13"/>
      <c r="CH1073" s="13"/>
      <c r="CI1073" s="13"/>
      <c r="CJ1073" s="13"/>
      <c r="CK1073" s="13"/>
      <c r="CL1073" s="13"/>
      <c r="CM1073" s="13"/>
      <c r="CN1073" s="13"/>
      <c r="CO1073" s="13"/>
      <c r="CP1073" s="13"/>
      <c r="CQ1073" s="13"/>
      <c r="CR1073" s="13"/>
      <c r="CS1073" s="13"/>
      <c r="CT1073" s="13"/>
      <c r="CU1073" s="13"/>
      <c r="CV1073" s="13"/>
      <c r="CW1073" s="13"/>
      <c r="CX1073" s="13"/>
    </row>
    <row r="1074" spans="1:102" ht="11.25">
      <c r="A1074" s="1"/>
      <c r="B1074" s="1"/>
      <c r="C1074" s="1"/>
      <c r="D1074" s="2"/>
      <c r="E1074" s="2"/>
      <c r="F1074" s="2"/>
      <c r="G1074" s="2"/>
      <c r="H1074" s="2"/>
      <c r="I1074" s="2"/>
      <c r="J1074" s="2"/>
      <c r="K1074" s="2"/>
      <c r="L1074" s="2"/>
      <c r="M1074" s="2"/>
      <c r="N1074" s="21"/>
      <c r="O1074" s="21"/>
      <c r="P1074" s="21"/>
      <c r="Q1074" s="13"/>
      <c r="R1074" s="13"/>
      <c r="S1074" s="13"/>
      <c r="T1074" s="13"/>
      <c r="U1074" s="13"/>
      <c r="V1074" s="13"/>
      <c r="W1074" s="13"/>
      <c r="X1074" s="13"/>
      <c r="Y1074" s="13"/>
      <c r="Z1074" s="13"/>
      <c r="AA1074" s="13"/>
      <c r="AB1074" s="13"/>
      <c r="AC1074" s="13"/>
      <c r="AD1074" s="13"/>
      <c r="AE1074" s="13"/>
      <c r="AF1074" s="13"/>
      <c r="AG1074" s="13"/>
      <c r="AH1074" s="13"/>
      <c r="AI1074" s="13"/>
      <c r="AJ1074" s="13"/>
      <c r="AK1074" s="13"/>
      <c r="AL1074" s="13"/>
      <c r="AM1074" s="13"/>
      <c r="AN1074" s="13"/>
      <c r="AO1074" s="13"/>
      <c r="AP1074" s="13"/>
      <c r="AQ1074" s="13"/>
      <c r="AR1074" s="13"/>
      <c r="AS1074" s="13"/>
      <c r="AT1074" s="13"/>
      <c r="AU1074" s="13"/>
      <c r="AV1074" s="13"/>
      <c r="AW1074" s="13"/>
      <c r="AX1074" s="13"/>
      <c r="AY1074" s="13"/>
      <c r="AZ1074" s="13"/>
      <c r="BA1074" s="13"/>
      <c r="BB1074" s="13"/>
      <c r="BC1074" s="13"/>
      <c r="BD1074" s="13"/>
      <c r="BE1074" s="13"/>
      <c r="BF1074" s="13"/>
      <c r="BG1074" s="13"/>
      <c r="BH1074" s="13"/>
      <c r="BI1074" s="13"/>
      <c r="BJ1074" s="13"/>
      <c r="BK1074" s="13"/>
      <c r="BL1074" s="13"/>
      <c r="BM1074" s="13"/>
      <c r="BN1074" s="13"/>
      <c r="BO1074" s="13"/>
      <c r="BP1074" s="13"/>
      <c r="BQ1074" s="13"/>
      <c r="BR1074" s="13"/>
      <c r="BS1074" s="13"/>
      <c r="BT1074" s="13"/>
      <c r="BU1074" s="13"/>
      <c r="BV1074" s="13"/>
      <c r="BW1074" s="13"/>
      <c r="BX1074" s="13"/>
      <c r="BY1074" s="13"/>
      <c r="BZ1074" s="13"/>
      <c r="CA1074" s="13"/>
      <c r="CB1074" s="13"/>
      <c r="CC1074" s="13"/>
      <c r="CD1074" s="13"/>
      <c r="CE1074" s="13"/>
      <c r="CF1074" s="13"/>
      <c r="CG1074" s="13"/>
      <c r="CH1074" s="13"/>
      <c r="CI1074" s="13"/>
      <c r="CJ1074" s="13"/>
      <c r="CK1074" s="13"/>
      <c r="CL1074" s="13"/>
      <c r="CM1074" s="13"/>
      <c r="CN1074" s="13"/>
      <c r="CO1074" s="13"/>
      <c r="CP1074" s="13"/>
      <c r="CQ1074" s="13"/>
      <c r="CR1074" s="13"/>
      <c r="CS1074" s="13"/>
      <c r="CT1074" s="13"/>
      <c r="CU1074" s="13"/>
      <c r="CV1074" s="13"/>
      <c r="CW1074" s="13"/>
      <c r="CX1074" s="13"/>
    </row>
    <row r="1075" spans="1:102" ht="11.25">
      <c r="A1075" s="1"/>
      <c r="B1075" s="1"/>
      <c r="C1075" s="1"/>
      <c r="D1075" s="2"/>
      <c r="E1075" s="2"/>
      <c r="F1075" s="2"/>
      <c r="G1075" s="2"/>
      <c r="H1075" s="2"/>
      <c r="I1075" s="2"/>
      <c r="J1075" s="2"/>
      <c r="K1075" s="2"/>
      <c r="L1075" s="2"/>
      <c r="M1075" s="2"/>
      <c r="N1075" s="21"/>
      <c r="O1075" s="21"/>
      <c r="P1075" s="21"/>
      <c r="Q1075" s="13"/>
      <c r="R1075" s="13"/>
      <c r="S1075" s="13"/>
      <c r="T1075" s="13"/>
      <c r="U1075" s="13"/>
      <c r="V1075" s="13"/>
      <c r="W1075" s="13"/>
      <c r="X1075" s="13"/>
      <c r="Y1075" s="13"/>
      <c r="Z1075" s="13"/>
      <c r="AA1075" s="13"/>
      <c r="AB1075" s="13"/>
      <c r="AC1075" s="13"/>
      <c r="AD1075" s="13"/>
      <c r="AE1075" s="13"/>
      <c r="AF1075" s="13"/>
      <c r="AG1075" s="13"/>
      <c r="AH1075" s="13"/>
      <c r="AI1075" s="13"/>
      <c r="AJ1075" s="13"/>
      <c r="AK1075" s="13"/>
      <c r="AL1075" s="13"/>
      <c r="AM1075" s="13"/>
      <c r="AN1075" s="13"/>
      <c r="AO1075" s="13"/>
      <c r="AP1075" s="13"/>
      <c r="AQ1075" s="13"/>
      <c r="AR1075" s="13"/>
      <c r="AS1075" s="13"/>
      <c r="AT1075" s="13"/>
      <c r="AU1075" s="13"/>
      <c r="AV1075" s="13"/>
      <c r="AW1075" s="13"/>
      <c r="AX1075" s="13"/>
      <c r="AY1075" s="13"/>
      <c r="AZ1075" s="13"/>
      <c r="BA1075" s="13"/>
      <c r="BB1075" s="13"/>
      <c r="BC1075" s="13"/>
      <c r="BD1075" s="13"/>
      <c r="BE1075" s="13"/>
      <c r="BF1075" s="13"/>
      <c r="BG1075" s="13"/>
      <c r="BH1075" s="13"/>
      <c r="BI1075" s="13"/>
      <c r="BJ1075" s="13"/>
      <c r="BK1075" s="13"/>
      <c r="BL1075" s="13"/>
      <c r="BM1075" s="13"/>
      <c r="BN1075" s="13"/>
      <c r="BO1075" s="13"/>
      <c r="BP1075" s="13"/>
      <c r="BQ1075" s="13"/>
      <c r="BR1075" s="13"/>
      <c r="BS1075" s="13"/>
      <c r="BT1075" s="13"/>
      <c r="BU1075" s="13"/>
      <c r="BV1075" s="13"/>
      <c r="BW1075" s="13"/>
      <c r="BX1075" s="13"/>
      <c r="BY1075" s="13"/>
      <c r="BZ1075" s="13"/>
      <c r="CA1075" s="13"/>
      <c r="CB1075" s="13"/>
      <c r="CC1075" s="13"/>
      <c r="CD1075" s="13"/>
      <c r="CE1075" s="13"/>
      <c r="CF1075" s="13"/>
      <c r="CG1075" s="13"/>
      <c r="CH1075" s="13"/>
      <c r="CI1075" s="13"/>
      <c r="CJ1075" s="13"/>
      <c r="CK1075" s="13"/>
      <c r="CL1075" s="13"/>
      <c r="CM1075" s="13"/>
      <c r="CN1075" s="13"/>
      <c r="CO1075" s="13"/>
      <c r="CP1075" s="13"/>
      <c r="CQ1075" s="13"/>
      <c r="CR1075" s="13"/>
      <c r="CS1075" s="13"/>
      <c r="CT1075" s="13"/>
      <c r="CU1075" s="13"/>
      <c r="CV1075" s="13"/>
      <c r="CW1075" s="13"/>
      <c r="CX1075" s="13"/>
    </row>
    <row r="1076" spans="1:102" ht="11.25">
      <c r="A1076" s="1"/>
      <c r="B1076" s="1"/>
      <c r="C1076" s="1"/>
      <c r="D1076" s="2"/>
      <c r="E1076" s="2"/>
      <c r="F1076" s="2"/>
      <c r="G1076" s="2"/>
      <c r="H1076" s="2"/>
      <c r="I1076" s="2"/>
      <c r="J1076" s="2"/>
      <c r="K1076" s="2"/>
      <c r="L1076" s="2"/>
      <c r="M1076" s="2"/>
      <c r="N1076" s="21"/>
      <c r="O1076" s="21"/>
      <c r="P1076" s="21"/>
      <c r="Q1076" s="13"/>
      <c r="R1076" s="13"/>
      <c r="S1076" s="13"/>
      <c r="T1076" s="13"/>
      <c r="U1076" s="13"/>
      <c r="V1076" s="13"/>
      <c r="W1076" s="13"/>
      <c r="X1076" s="13"/>
      <c r="Y1076" s="13"/>
      <c r="Z1076" s="13"/>
      <c r="AA1076" s="13"/>
      <c r="AB1076" s="13"/>
      <c r="AC1076" s="13"/>
      <c r="AD1076" s="13"/>
      <c r="AE1076" s="13"/>
      <c r="AF1076" s="13"/>
      <c r="AG1076" s="13"/>
      <c r="AH1076" s="13"/>
      <c r="AI1076" s="13"/>
      <c r="AJ1076" s="13"/>
      <c r="AK1076" s="13"/>
      <c r="AL1076" s="13"/>
      <c r="AM1076" s="13"/>
      <c r="AN1076" s="13"/>
      <c r="AO1076" s="13"/>
      <c r="AP1076" s="13"/>
      <c r="AQ1076" s="13"/>
      <c r="AR1076" s="13"/>
      <c r="AS1076" s="13"/>
      <c r="AT1076" s="13"/>
      <c r="AU1076" s="13"/>
      <c r="AV1076" s="13"/>
      <c r="AW1076" s="13"/>
      <c r="AX1076" s="13"/>
      <c r="AY1076" s="13"/>
      <c r="AZ1076" s="13"/>
      <c r="BA1076" s="13"/>
      <c r="BB1076" s="13"/>
      <c r="BC1076" s="13"/>
      <c r="BD1076" s="13"/>
      <c r="BE1076" s="13"/>
      <c r="BF1076" s="13"/>
      <c r="BG1076" s="13"/>
      <c r="BH1076" s="13"/>
      <c r="BI1076" s="13"/>
      <c r="BJ1076" s="13"/>
      <c r="BK1076" s="13"/>
      <c r="BL1076" s="13"/>
      <c r="BM1076" s="13"/>
      <c r="BN1076" s="13"/>
      <c r="BO1076" s="13"/>
      <c r="BP1076" s="13"/>
      <c r="BQ1076" s="13"/>
      <c r="BR1076" s="13"/>
      <c r="BS1076" s="13"/>
      <c r="BT1076" s="13"/>
      <c r="BU1076" s="13"/>
      <c r="BV1076" s="13"/>
      <c r="BW1076" s="13"/>
      <c r="BX1076" s="13"/>
      <c r="BY1076" s="13"/>
      <c r="BZ1076" s="13"/>
      <c r="CA1076" s="13"/>
      <c r="CB1076" s="13"/>
      <c r="CC1076" s="13"/>
      <c r="CD1076" s="13"/>
      <c r="CE1076" s="13"/>
      <c r="CF1076" s="13"/>
      <c r="CG1076" s="13"/>
      <c r="CH1076" s="13"/>
      <c r="CI1076" s="13"/>
      <c r="CJ1076" s="13"/>
      <c r="CK1076" s="13"/>
      <c r="CL1076" s="13"/>
      <c r="CM1076" s="13"/>
      <c r="CN1076" s="13"/>
      <c r="CO1076" s="13"/>
      <c r="CP1076" s="13"/>
      <c r="CQ1076" s="13"/>
      <c r="CR1076" s="13"/>
      <c r="CS1076" s="13"/>
      <c r="CT1076" s="13"/>
      <c r="CU1076" s="13"/>
      <c r="CV1076" s="13"/>
      <c r="CW1076" s="13"/>
      <c r="CX1076" s="13"/>
    </row>
    <row r="1077" spans="1:102" ht="11.25">
      <c r="A1077" s="1"/>
      <c r="B1077" s="1"/>
      <c r="C1077" s="1"/>
      <c r="D1077" s="2"/>
      <c r="E1077" s="2"/>
      <c r="F1077" s="2"/>
      <c r="G1077" s="2"/>
      <c r="H1077" s="2"/>
      <c r="I1077" s="2"/>
      <c r="J1077" s="2"/>
      <c r="K1077" s="2"/>
      <c r="L1077" s="2"/>
      <c r="M1077" s="2"/>
      <c r="N1077" s="21"/>
      <c r="O1077" s="21"/>
      <c r="P1077" s="21"/>
      <c r="Q1077" s="13"/>
      <c r="R1077" s="13"/>
      <c r="S1077" s="13"/>
      <c r="T1077" s="13"/>
      <c r="U1077" s="13"/>
      <c r="V1077" s="13"/>
      <c r="W1077" s="13"/>
      <c r="X1077" s="13"/>
      <c r="Y1077" s="13"/>
      <c r="Z1077" s="13"/>
      <c r="AA1077" s="13"/>
      <c r="AB1077" s="13"/>
      <c r="AC1077" s="13"/>
      <c r="AD1077" s="13"/>
      <c r="AE1077" s="13"/>
      <c r="AF1077" s="13"/>
      <c r="AG1077" s="13"/>
      <c r="AH1077" s="13"/>
      <c r="AI1077" s="13"/>
      <c r="AJ1077" s="13"/>
      <c r="AK1077" s="13"/>
      <c r="AL1077" s="13"/>
      <c r="AM1077" s="13"/>
      <c r="AN1077" s="13"/>
      <c r="AO1077" s="13"/>
      <c r="AP1077" s="13"/>
      <c r="AQ1077" s="13"/>
      <c r="AR1077" s="13"/>
      <c r="AS1077" s="13"/>
      <c r="AT1077" s="13"/>
      <c r="AU1077" s="13"/>
      <c r="AV1077" s="13"/>
      <c r="AW1077" s="13"/>
      <c r="AX1077" s="13"/>
      <c r="AY1077" s="13"/>
      <c r="AZ1077" s="13"/>
      <c r="BA1077" s="13"/>
      <c r="BB1077" s="13"/>
      <c r="BC1077" s="13"/>
      <c r="BD1077" s="13"/>
      <c r="BE1077" s="13"/>
      <c r="BF1077" s="13"/>
      <c r="BG1077" s="13"/>
      <c r="BH1077" s="13"/>
      <c r="BI1077" s="13"/>
      <c r="BJ1077" s="13"/>
      <c r="BK1077" s="13"/>
      <c r="BL1077" s="13"/>
      <c r="BM1077" s="13"/>
      <c r="BN1077" s="13"/>
      <c r="BO1077" s="13"/>
      <c r="BP1077" s="13"/>
      <c r="BQ1077" s="13"/>
      <c r="BR1077" s="13"/>
      <c r="BS1077" s="13"/>
      <c r="BT1077" s="13"/>
      <c r="BU1077" s="13"/>
      <c r="BV1077" s="13"/>
      <c r="BW1077" s="13"/>
      <c r="BX1077" s="13"/>
      <c r="BY1077" s="13"/>
      <c r="BZ1077" s="13"/>
      <c r="CA1077" s="13"/>
      <c r="CB1077" s="13"/>
      <c r="CC1077" s="13"/>
      <c r="CD1077" s="13"/>
      <c r="CE1077" s="13"/>
      <c r="CF1077" s="13"/>
      <c r="CG1077" s="13"/>
      <c r="CH1077" s="13"/>
      <c r="CI1077" s="13"/>
      <c r="CJ1077" s="13"/>
      <c r="CK1077" s="13"/>
      <c r="CL1077" s="13"/>
      <c r="CM1077" s="13"/>
      <c r="CN1077" s="13"/>
      <c r="CO1077" s="13"/>
      <c r="CP1077" s="13"/>
      <c r="CQ1077" s="13"/>
      <c r="CR1077" s="13"/>
      <c r="CS1077" s="13"/>
      <c r="CT1077" s="13"/>
      <c r="CU1077" s="13"/>
      <c r="CV1077" s="13"/>
      <c r="CW1077" s="13"/>
      <c r="CX1077" s="13"/>
    </row>
    <row r="1078" spans="1:102" ht="11.25">
      <c r="A1078" s="1"/>
      <c r="B1078" s="1"/>
      <c r="C1078" s="1"/>
      <c r="D1078" s="2"/>
      <c r="E1078" s="2"/>
      <c r="F1078" s="2"/>
      <c r="G1078" s="2"/>
      <c r="H1078" s="2"/>
      <c r="I1078" s="2"/>
      <c r="J1078" s="2"/>
      <c r="K1078" s="2"/>
      <c r="L1078" s="2"/>
      <c r="M1078" s="2"/>
      <c r="N1078" s="21"/>
      <c r="O1078" s="21"/>
      <c r="P1078" s="21"/>
      <c r="Q1078" s="13"/>
      <c r="R1078" s="13"/>
      <c r="S1078" s="13"/>
      <c r="T1078" s="13"/>
      <c r="U1078" s="13"/>
      <c r="V1078" s="13"/>
      <c r="W1078" s="13"/>
      <c r="X1078" s="13"/>
      <c r="Y1078" s="13"/>
      <c r="Z1078" s="13"/>
      <c r="AA1078" s="13"/>
      <c r="AB1078" s="13"/>
      <c r="AC1078" s="13"/>
      <c r="AD1078" s="13"/>
      <c r="AE1078" s="13"/>
      <c r="AF1078" s="13"/>
      <c r="AG1078" s="13"/>
      <c r="AH1078" s="13"/>
      <c r="AI1078" s="13"/>
      <c r="AJ1078" s="13"/>
      <c r="AK1078" s="13"/>
      <c r="AL1078" s="13"/>
      <c r="AM1078" s="13"/>
      <c r="AN1078" s="13"/>
      <c r="AO1078" s="13"/>
      <c r="AP1078" s="13"/>
      <c r="AQ1078" s="13"/>
      <c r="AR1078" s="13"/>
      <c r="AS1078" s="13"/>
      <c r="AT1078" s="13"/>
      <c r="AU1078" s="13"/>
      <c r="AV1078" s="13"/>
      <c r="AW1078" s="13"/>
      <c r="AX1078" s="13"/>
      <c r="AY1078" s="13"/>
      <c r="AZ1078" s="13"/>
      <c r="BA1078" s="13"/>
      <c r="BB1078" s="13"/>
      <c r="BC1078" s="13"/>
      <c r="BD1078" s="13"/>
      <c r="BE1078" s="13"/>
      <c r="BF1078" s="13"/>
      <c r="BG1078" s="13"/>
      <c r="BH1078" s="13"/>
      <c r="BI1078" s="13"/>
      <c r="BJ1078" s="13"/>
      <c r="BK1078" s="13"/>
      <c r="BL1078" s="13"/>
      <c r="BM1078" s="13"/>
      <c r="BN1078" s="13"/>
      <c r="BO1078" s="13"/>
      <c r="BP1078" s="13"/>
      <c r="BQ1078" s="13"/>
      <c r="BR1078" s="13"/>
      <c r="BS1078" s="13"/>
      <c r="BT1078" s="13"/>
      <c r="BU1078" s="13"/>
      <c r="BV1078" s="13"/>
      <c r="BW1078" s="13"/>
      <c r="BX1078" s="13"/>
      <c r="BY1078" s="13"/>
      <c r="BZ1078" s="13"/>
      <c r="CA1078" s="13"/>
      <c r="CB1078" s="13"/>
      <c r="CC1078" s="13"/>
      <c r="CD1078" s="13"/>
      <c r="CE1078" s="13"/>
      <c r="CF1078" s="13"/>
      <c r="CG1078" s="13"/>
      <c r="CH1078" s="13"/>
      <c r="CI1078" s="13"/>
      <c r="CJ1078" s="13"/>
      <c r="CK1078" s="13"/>
      <c r="CL1078" s="13"/>
      <c r="CM1078" s="13"/>
      <c r="CN1078" s="13"/>
      <c r="CO1078" s="13"/>
      <c r="CP1078" s="13"/>
      <c r="CQ1078" s="13"/>
      <c r="CR1078" s="13"/>
      <c r="CS1078" s="13"/>
      <c r="CT1078" s="13"/>
      <c r="CU1078" s="13"/>
      <c r="CV1078" s="13"/>
      <c r="CW1078" s="13"/>
      <c r="CX1078" s="13"/>
    </row>
    <row r="1079" spans="1:102" ht="11.25">
      <c r="A1079" s="1"/>
      <c r="B1079" s="1"/>
      <c r="C1079" s="1"/>
      <c r="D1079" s="2"/>
      <c r="E1079" s="2"/>
      <c r="F1079" s="2"/>
      <c r="G1079" s="2"/>
      <c r="H1079" s="2"/>
      <c r="I1079" s="2"/>
      <c r="J1079" s="2"/>
      <c r="K1079" s="2"/>
      <c r="L1079" s="2"/>
      <c r="M1079" s="2"/>
      <c r="N1079" s="21"/>
      <c r="O1079" s="21"/>
      <c r="P1079" s="21"/>
      <c r="Q1079" s="13"/>
      <c r="R1079" s="13"/>
      <c r="S1079" s="13"/>
      <c r="T1079" s="13"/>
      <c r="U1079" s="13"/>
      <c r="V1079" s="13"/>
      <c r="W1079" s="13"/>
      <c r="X1079" s="13"/>
      <c r="Y1079" s="13"/>
      <c r="Z1079" s="13"/>
      <c r="AA1079" s="13"/>
      <c r="AB1079" s="13"/>
      <c r="AC1079" s="13"/>
      <c r="AD1079" s="13"/>
      <c r="AE1079" s="13"/>
      <c r="AF1079" s="13"/>
      <c r="AG1079" s="13"/>
      <c r="AH1079" s="13"/>
      <c r="AI1079" s="13"/>
      <c r="AJ1079" s="13"/>
      <c r="AK1079" s="13"/>
      <c r="AL1079" s="13"/>
      <c r="AM1079" s="13"/>
      <c r="AN1079" s="13"/>
      <c r="AO1079" s="13"/>
      <c r="AP1079" s="13"/>
      <c r="AQ1079" s="13"/>
      <c r="AR1079" s="13"/>
      <c r="AS1079" s="13"/>
      <c r="AT1079" s="13"/>
      <c r="AU1079" s="13"/>
      <c r="AV1079" s="13"/>
      <c r="AW1079" s="13"/>
      <c r="AX1079" s="13"/>
      <c r="AY1079" s="13"/>
      <c r="AZ1079" s="13"/>
      <c r="BA1079" s="13"/>
      <c r="BB1079" s="13"/>
      <c r="BC1079" s="13"/>
      <c r="BD1079" s="13"/>
      <c r="BE1079" s="13"/>
      <c r="BF1079" s="13"/>
      <c r="BG1079" s="13"/>
      <c r="BH1079" s="13"/>
      <c r="BI1079" s="13"/>
      <c r="BJ1079" s="13"/>
      <c r="BK1079" s="13"/>
      <c r="BL1079" s="13"/>
      <c r="BM1079" s="13"/>
      <c r="BN1079" s="13"/>
      <c r="BO1079" s="13"/>
      <c r="BP1079" s="13"/>
      <c r="BQ1079" s="13"/>
      <c r="BR1079" s="13"/>
      <c r="BS1079" s="13"/>
      <c r="BT1079" s="13"/>
      <c r="BU1079" s="13"/>
      <c r="BV1079" s="13"/>
      <c r="BW1079" s="13"/>
      <c r="BX1079" s="13"/>
      <c r="BY1079" s="13"/>
      <c r="BZ1079" s="13"/>
      <c r="CA1079" s="13"/>
      <c r="CB1079" s="13"/>
      <c r="CC1079" s="13"/>
      <c r="CD1079" s="13"/>
      <c r="CE1079" s="13"/>
      <c r="CF1079" s="13"/>
      <c r="CG1079" s="13"/>
      <c r="CH1079" s="13"/>
      <c r="CI1079" s="13"/>
      <c r="CJ1079" s="13"/>
      <c r="CK1079" s="13"/>
      <c r="CL1079" s="13"/>
      <c r="CM1079" s="13"/>
      <c r="CN1079" s="13"/>
      <c r="CO1079" s="13"/>
      <c r="CP1079" s="13"/>
      <c r="CQ1079" s="13"/>
      <c r="CR1079" s="13"/>
      <c r="CS1079" s="13"/>
      <c r="CT1079" s="13"/>
      <c r="CU1079" s="13"/>
      <c r="CV1079" s="13"/>
      <c r="CW1079" s="13"/>
      <c r="CX1079" s="13"/>
    </row>
    <row r="1080" spans="1:102" ht="11.25">
      <c r="A1080" s="1"/>
      <c r="B1080" s="1"/>
      <c r="C1080" s="1"/>
      <c r="D1080" s="2"/>
      <c r="E1080" s="2"/>
      <c r="F1080" s="2"/>
      <c r="G1080" s="2"/>
      <c r="H1080" s="2"/>
      <c r="I1080" s="2"/>
      <c r="J1080" s="2"/>
      <c r="K1080" s="2"/>
      <c r="L1080" s="2"/>
      <c r="M1080" s="2"/>
      <c r="N1080" s="21"/>
      <c r="O1080" s="21"/>
      <c r="P1080" s="21"/>
      <c r="Q1080" s="13"/>
      <c r="R1080" s="13"/>
      <c r="S1080" s="13"/>
      <c r="T1080" s="13"/>
      <c r="U1080" s="13"/>
      <c r="V1080" s="13"/>
      <c r="W1080" s="13"/>
      <c r="X1080" s="13"/>
      <c r="Y1080" s="13"/>
      <c r="Z1080" s="13"/>
      <c r="AA1080" s="13"/>
      <c r="AB1080" s="13"/>
      <c r="AC1080" s="13"/>
      <c r="AD1080" s="13"/>
      <c r="AE1080" s="13"/>
      <c r="AF1080" s="13"/>
      <c r="AG1080" s="13"/>
      <c r="AH1080" s="13"/>
      <c r="AI1080" s="13"/>
      <c r="AJ1080" s="13"/>
      <c r="AK1080" s="13"/>
      <c r="AL1080" s="13"/>
      <c r="AM1080" s="13"/>
      <c r="AN1080" s="13"/>
      <c r="AO1080" s="13"/>
      <c r="AP1080" s="13"/>
      <c r="AQ1080" s="13"/>
      <c r="AR1080" s="13"/>
      <c r="AS1080" s="13"/>
      <c r="AT1080" s="13"/>
      <c r="AU1080" s="13"/>
      <c r="AV1080" s="13"/>
      <c r="AW1080" s="13"/>
      <c r="AX1080" s="13"/>
      <c r="AY1080" s="13"/>
      <c r="AZ1080" s="13"/>
      <c r="BA1080" s="13"/>
      <c r="BB1080" s="13"/>
      <c r="BC1080" s="13"/>
      <c r="BD1080" s="13"/>
      <c r="BE1080" s="13"/>
      <c r="BF1080" s="13"/>
      <c r="BG1080" s="13"/>
      <c r="BH1080" s="13"/>
      <c r="BI1080" s="13"/>
      <c r="BJ1080" s="13"/>
      <c r="BK1080" s="13"/>
      <c r="BL1080" s="13"/>
      <c r="BM1080" s="13"/>
      <c r="BN1080" s="13"/>
      <c r="BO1080" s="13"/>
      <c r="BP1080" s="13"/>
      <c r="BQ1080" s="13"/>
      <c r="BR1080" s="13"/>
      <c r="BS1080" s="13"/>
      <c r="BT1080" s="13"/>
      <c r="BU1080" s="13"/>
      <c r="BV1080" s="13"/>
      <c r="BW1080" s="13"/>
      <c r="BX1080" s="13"/>
      <c r="BY1080" s="13"/>
      <c r="BZ1080" s="13"/>
      <c r="CA1080" s="13"/>
      <c r="CB1080" s="13"/>
      <c r="CC1080" s="13"/>
      <c r="CD1080" s="13"/>
      <c r="CE1080" s="13"/>
      <c r="CF1080" s="13"/>
      <c r="CG1080" s="13"/>
      <c r="CH1080" s="13"/>
      <c r="CI1080" s="13"/>
      <c r="CJ1080" s="13"/>
      <c r="CK1080" s="13"/>
      <c r="CL1080" s="13"/>
      <c r="CM1080" s="13"/>
      <c r="CN1080" s="13"/>
      <c r="CO1080" s="13"/>
      <c r="CP1080" s="13"/>
      <c r="CQ1080" s="13"/>
      <c r="CR1080" s="13"/>
      <c r="CS1080" s="13"/>
      <c r="CT1080" s="13"/>
      <c r="CU1080" s="13"/>
      <c r="CV1080" s="13"/>
      <c r="CW1080" s="13"/>
      <c r="CX1080" s="13"/>
    </row>
    <row r="1081" spans="1:102" ht="11.25">
      <c r="A1081" s="1"/>
      <c r="B1081" s="1"/>
      <c r="C1081" s="1"/>
      <c r="D1081" s="2"/>
      <c r="E1081" s="2"/>
      <c r="F1081" s="2"/>
      <c r="G1081" s="2"/>
      <c r="H1081" s="2"/>
      <c r="I1081" s="2"/>
      <c r="J1081" s="2"/>
      <c r="K1081" s="2"/>
      <c r="L1081" s="2"/>
      <c r="M1081" s="2"/>
      <c r="N1081" s="21"/>
      <c r="O1081" s="21"/>
      <c r="P1081" s="21"/>
      <c r="Q1081" s="13"/>
      <c r="R1081" s="13"/>
      <c r="S1081" s="13"/>
      <c r="T1081" s="13"/>
      <c r="U1081" s="13"/>
      <c r="V1081" s="13"/>
      <c r="W1081" s="13"/>
      <c r="X1081" s="13"/>
      <c r="Y1081" s="13"/>
      <c r="Z1081" s="13"/>
      <c r="AA1081" s="13"/>
      <c r="AB1081" s="13"/>
      <c r="AC1081" s="13"/>
      <c r="AD1081" s="13"/>
      <c r="AE1081" s="13"/>
      <c r="AF1081" s="13"/>
      <c r="AG1081" s="13"/>
      <c r="AH1081" s="13"/>
      <c r="AI1081" s="13"/>
      <c r="AJ1081" s="13"/>
      <c r="AK1081" s="13"/>
      <c r="AL1081" s="13"/>
      <c r="AM1081" s="13"/>
      <c r="AN1081" s="13"/>
      <c r="AO1081" s="13"/>
      <c r="AP1081" s="13"/>
      <c r="AQ1081" s="13"/>
      <c r="AR1081" s="13"/>
      <c r="AS1081" s="13"/>
      <c r="AT1081" s="13"/>
      <c r="AU1081" s="13"/>
      <c r="AV1081" s="13"/>
      <c r="AW1081" s="13"/>
      <c r="AX1081" s="13"/>
      <c r="AY1081" s="13"/>
      <c r="AZ1081" s="13"/>
      <c r="BA1081" s="13"/>
      <c r="BB1081" s="13"/>
      <c r="BC1081" s="13"/>
      <c r="BD1081" s="13"/>
      <c r="BE1081" s="13"/>
      <c r="BF1081" s="13"/>
      <c r="BG1081" s="13"/>
      <c r="BH1081" s="13"/>
      <c r="BI1081" s="13"/>
      <c r="BJ1081" s="13"/>
      <c r="BK1081" s="13"/>
      <c r="BL1081" s="13"/>
      <c r="BM1081" s="13"/>
      <c r="BN1081" s="13"/>
      <c r="BO1081" s="13"/>
      <c r="BP1081" s="13"/>
      <c r="BQ1081" s="13"/>
      <c r="BR1081" s="13"/>
      <c r="BS1081" s="13"/>
      <c r="BT1081" s="13"/>
      <c r="BU1081" s="13"/>
      <c r="BV1081" s="13"/>
      <c r="BW1081" s="13"/>
      <c r="BX1081" s="13"/>
      <c r="BY1081" s="13"/>
      <c r="BZ1081" s="13"/>
      <c r="CA1081" s="13"/>
      <c r="CB1081" s="13"/>
      <c r="CC1081" s="13"/>
      <c r="CD1081" s="13"/>
      <c r="CE1081" s="13"/>
      <c r="CF1081" s="13"/>
      <c r="CG1081" s="13"/>
      <c r="CH1081" s="13"/>
      <c r="CI1081" s="13"/>
      <c r="CJ1081" s="13"/>
      <c r="CK1081" s="13"/>
      <c r="CL1081" s="13"/>
      <c r="CM1081" s="13"/>
      <c r="CN1081" s="13"/>
      <c r="CO1081" s="13"/>
      <c r="CP1081" s="13"/>
      <c r="CQ1081" s="13"/>
      <c r="CR1081" s="13"/>
      <c r="CS1081" s="13"/>
      <c r="CT1081" s="13"/>
      <c r="CU1081" s="13"/>
      <c r="CV1081" s="13"/>
      <c r="CW1081" s="13"/>
      <c r="CX1081" s="13"/>
    </row>
    <row r="1082" spans="1:102" ht="11.25">
      <c r="A1082" s="1"/>
      <c r="B1082" s="1"/>
      <c r="C1082" s="1"/>
      <c r="D1082" s="2"/>
      <c r="E1082" s="2"/>
      <c r="F1082" s="2"/>
      <c r="G1082" s="2"/>
      <c r="H1082" s="2"/>
      <c r="I1082" s="2"/>
      <c r="J1082" s="2"/>
      <c r="K1082" s="2"/>
      <c r="L1082" s="2"/>
      <c r="M1082" s="2"/>
      <c r="N1082" s="21"/>
      <c r="O1082" s="21"/>
      <c r="P1082" s="21"/>
      <c r="Q1082" s="13"/>
      <c r="R1082" s="13"/>
      <c r="S1082" s="13"/>
      <c r="T1082" s="13"/>
      <c r="U1082" s="13"/>
      <c r="V1082" s="13"/>
      <c r="W1082" s="13"/>
      <c r="X1082" s="13"/>
      <c r="Y1082" s="13"/>
      <c r="Z1082" s="13"/>
      <c r="AA1082" s="13"/>
      <c r="AB1082" s="13"/>
      <c r="AC1082" s="13"/>
      <c r="AD1082" s="13"/>
      <c r="AE1082" s="13"/>
      <c r="AF1082" s="13"/>
      <c r="AG1082" s="13"/>
      <c r="AH1082" s="13"/>
      <c r="AI1082" s="13"/>
      <c r="AJ1082" s="13"/>
      <c r="AK1082" s="13"/>
      <c r="AL1082" s="13"/>
      <c r="AM1082" s="13"/>
      <c r="AN1082" s="13"/>
      <c r="AO1082" s="13"/>
      <c r="AP1082" s="13"/>
      <c r="AQ1082" s="13"/>
      <c r="AR1082" s="13"/>
      <c r="AS1082" s="13"/>
      <c r="AT1082" s="13"/>
      <c r="AU1082" s="13"/>
      <c r="AV1082" s="13"/>
      <c r="AW1082" s="13"/>
      <c r="AX1082" s="13"/>
      <c r="AY1082" s="13"/>
      <c r="AZ1082" s="13"/>
      <c r="BA1082" s="13"/>
      <c r="BB1082" s="13"/>
      <c r="BC1082" s="13"/>
      <c r="BD1082" s="13"/>
      <c r="BE1082" s="13"/>
      <c r="BF1082" s="13"/>
      <c r="BG1082" s="13"/>
      <c r="BH1082" s="13"/>
      <c r="BI1082" s="13"/>
      <c r="BJ1082" s="13"/>
      <c r="BK1082" s="13"/>
      <c r="BL1082" s="13"/>
      <c r="BM1082" s="13"/>
      <c r="BN1082" s="13"/>
      <c r="BO1082" s="13"/>
      <c r="BP1082" s="13"/>
      <c r="BQ1082" s="13"/>
      <c r="BR1082" s="13"/>
      <c r="BS1082" s="13"/>
      <c r="BT1082" s="13"/>
      <c r="BU1082" s="13"/>
      <c r="BV1082" s="13"/>
      <c r="BW1082" s="13"/>
      <c r="BX1082" s="13"/>
      <c r="BY1082" s="13"/>
      <c r="BZ1082" s="13"/>
      <c r="CA1082" s="13"/>
      <c r="CB1082" s="13"/>
      <c r="CC1082" s="13"/>
      <c r="CD1082" s="13"/>
      <c r="CE1082" s="13"/>
      <c r="CF1082" s="13"/>
      <c r="CG1082" s="13"/>
      <c r="CH1082" s="13"/>
      <c r="CI1082" s="13"/>
      <c r="CJ1082" s="13"/>
      <c r="CK1082" s="13"/>
      <c r="CL1082" s="13"/>
      <c r="CM1082" s="13"/>
      <c r="CN1082" s="13"/>
      <c r="CO1082" s="13"/>
      <c r="CP1082" s="13"/>
      <c r="CQ1082" s="13"/>
      <c r="CR1082" s="13"/>
      <c r="CS1082" s="13"/>
      <c r="CT1082" s="13"/>
      <c r="CU1082" s="13"/>
      <c r="CV1082" s="13"/>
      <c r="CW1082" s="13"/>
      <c r="CX1082" s="13"/>
    </row>
    <row r="1083" spans="1:102" ht="11.25">
      <c r="A1083" s="1"/>
      <c r="B1083" s="1"/>
      <c r="C1083" s="1"/>
      <c r="D1083" s="2"/>
      <c r="E1083" s="2"/>
      <c r="F1083" s="2"/>
      <c r="G1083" s="2"/>
      <c r="H1083" s="2"/>
      <c r="I1083" s="2"/>
      <c r="J1083" s="2"/>
      <c r="K1083" s="2"/>
      <c r="L1083" s="2"/>
      <c r="M1083" s="2"/>
      <c r="N1083" s="21"/>
      <c r="O1083" s="21"/>
      <c r="P1083" s="21"/>
      <c r="Q1083" s="13"/>
      <c r="R1083" s="13"/>
      <c r="S1083" s="13"/>
      <c r="T1083" s="13"/>
      <c r="U1083" s="13"/>
      <c r="V1083" s="13"/>
      <c r="W1083" s="13"/>
      <c r="X1083" s="13"/>
      <c r="Y1083" s="13"/>
      <c r="Z1083" s="13"/>
      <c r="AA1083" s="13"/>
      <c r="AB1083" s="13"/>
      <c r="AC1083" s="13"/>
      <c r="AD1083" s="13"/>
      <c r="AE1083" s="13"/>
      <c r="AF1083" s="13"/>
      <c r="AG1083" s="13"/>
      <c r="AH1083" s="13"/>
      <c r="AI1083" s="13"/>
      <c r="AJ1083" s="13"/>
      <c r="AK1083" s="13"/>
      <c r="AL1083" s="13"/>
      <c r="AM1083" s="13"/>
      <c r="AN1083" s="13"/>
      <c r="AO1083" s="13"/>
      <c r="AP1083" s="13"/>
      <c r="AQ1083" s="13"/>
      <c r="AR1083" s="13"/>
      <c r="AS1083" s="13"/>
      <c r="AT1083" s="13"/>
      <c r="AU1083" s="13"/>
      <c r="AV1083" s="13"/>
      <c r="AW1083" s="13"/>
      <c r="AX1083" s="13"/>
      <c r="AY1083" s="13"/>
      <c r="AZ1083" s="13"/>
      <c r="BA1083" s="13"/>
      <c r="BB1083" s="13"/>
      <c r="BC1083" s="13"/>
      <c r="BD1083" s="13"/>
      <c r="BE1083" s="13"/>
      <c r="BF1083" s="13"/>
      <c r="BG1083" s="13"/>
      <c r="BH1083" s="13"/>
      <c r="BI1083" s="13"/>
      <c r="BJ1083" s="13"/>
      <c r="BK1083" s="13"/>
      <c r="BL1083" s="13"/>
      <c r="BM1083" s="13"/>
      <c r="BN1083" s="13"/>
      <c r="BO1083" s="13"/>
      <c r="BP1083" s="13"/>
      <c r="BQ1083" s="13"/>
      <c r="BR1083" s="13"/>
      <c r="BS1083" s="13"/>
      <c r="BT1083" s="13"/>
      <c r="BU1083" s="13"/>
      <c r="BV1083" s="13"/>
      <c r="BW1083" s="13"/>
      <c r="BX1083" s="13"/>
      <c r="BY1083" s="13"/>
      <c r="BZ1083" s="13"/>
      <c r="CA1083" s="13"/>
      <c r="CB1083" s="13"/>
      <c r="CC1083" s="13"/>
      <c r="CD1083" s="13"/>
      <c r="CE1083" s="13"/>
      <c r="CF1083" s="13"/>
      <c r="CG1083" s="13"/>
      <c r="CH1083" s="13"/>
      <c r="CI1083" s="13"/>
      <c r="CJ1083" s="13"/>
      <c r="CK1083" s="13"/>
      <c r="CL1083" s="13"/>
      <c r="CM1083" s="13"/>
      <c r="CN1083" s="13"/>
      <c r="CO1083" s="13"/>
      <c r="CP1083" s="13"/>
      <c r="CQ1083" s="13"/>
      <c r="CR1083" s="13"/>
      <c r="CS1083" s="13"/>
      <c r="CT1083" s="13"/>
      <c r="CU1083" s="13"/>
      <c r="CV1083" s="13"/>
      <c r="CW1083" s="13"/>
      <c r="CX1083" s="13"/>
    </row>
    <row r="1084" spans="1:102" ht="11.25">
      <c r="A1084" s="1"/>
      <c r="B1084" s="1"/>
      <c r="C1084" s="1"/>
      <c r="D1084" s="2"/>
      <c r="E1084" s="2"/>
      <c r="F1084" s="2"/>
      <c r="G1084" s="2"/>
      <c r="H1084" s="2"/>
      <c r="I1084" s="2"/>
      <c r="J1084" s="2"/>
      <c r="K1084" s="2"/>
      <c r="L1084" s="2"/>
      <c r="M1084" s="2"/>
      <c r="N1084" s="21"/>
      <c r="O1084" s="21"/>
      <c r="P1084" s="21"/>
      <c r="Q1084" s="13"/>
      <c r="R1084" s="13"/>
      <c r="S1084" s="13"/>
      <c r="T1084" s="13"/>
      <c r="U1084" s="13"/>
      <c r="V1084" s="13"/>
      <c r="W1084" s="13"/>
      <c r="X1084" s="13"/>
      <c r="Y1084" s="13"/>
      <c r="Z1084" s="13"/>
      <c r="AA1084" s="13"/>
      <c r="AB1084" s="13"/>
      <c r="AC1084" s="13"/>
      <c r="AD1084" s="13"/>
      <c r="AE1084" s="13"/>
      <c r="AF1084" s="13"/>
      <c r="AG1084" s="13"/>
      <c r="AH1084" s="13"/>
      <c r="AI1084" s="13"/>
      <c r="AJ1084" s="13"/>
      <c r="AK1084" s="13"/>
      <c r="AL1084" s="13"/>
      <c r="AM1084" s="13"/>
      <c r="AN1084" s="13"/>
      <c r="AO1084" s="13"/>
      <c r="AP1084" s="13"/>
      <c r="AQ1084" s="13"/>
      <c r="AR1084" s="13"/>
      <c r="AS1084" s="13"/>
      <c r="AT1084" s="13"/>
      <c r="AU1084" s="13"/>
      <c r="AV1084" s="13"/>
      <c r="AW1084" s="13"/>
      <c r="AX1084" s="13"/>
      <c r="AY1084" s="13"/>
      <c r="AZ1084" s="13"/>
      <c r="BA1084" s="13"/>
      <c r="BB1084" s="13"/>
      <c r="BC1084" s="13"/>
      <c r="BD1084" s="13"/>
      <c r="BE1084" s="13"/>
      <c r="BF1084" s="13"/>
      <c r="BG1084" s="13"/>
      <c r="BH1084" s="13"/>
      <c r="BI1084" s="13"/>
      <c r="BJ1084" s="13"/>
      <c r="BK1084" s="13"/>
      <c r="BL1084" s="13"/>
      <c r="BM1084" s="13"/>
      <c r="BN1084" s="13"/>
      <c r="BO1084" s="13"/>
      <c r="BP1084" s="13"/>
      <c r="BQ1084" s="13"/>
      <c r="BR1084" s="13"/>
      <c r="BS1084" s="13"/>
      <c r="BT1084" s="13"/>
      <c r="BU1084" s="13"/>
      <c r="BV1084" s="13"/>
      <c r="BW1084" s="13"/>
      <c r="BX1084" s="13"/>
      <c r="BY1084" s="13"/>
      <c r="BZ1084" s="13"/>
      <c r="CA1084" s="13"/>
      <c r="CB1084" s="13"/>
      <c r="CC1084" s="13"/>
      <c r="CD1084" s="13"/>
      <c r="CE1084" s="13"/>
      <c r="CF1084" s="13"/>
      <c r="CG1084" s="13"/>
      <c r="CH1084" s="13"/>
      <c r="CI1084" s="13"/>
      <c r="CJ1084" s="13"/>
      <c r="CK1084" s="13"/>
      <c r="CL1084" s="13"/>
      <c r="CM1084" s="13"/>
      <c r="CN1084" s="13"/>
      <c r="CO1084" s="13"/>
      <c r="CP1084" s="13"/>
      <c r="CQ1084" s="13"/>
      <c r="CR1084" s="13"/>
      <c r="CS1084" s="13"/>
      <c r="CT1084" s="13"/>
      <c r="CU1084" s="13"/>
      <c r="CV1084" s="13"/>
      <c r="CW1084" s="13"/>
      <c r="CX1084" s="13"/>
    </row>
    <row r="1085" spans="1:102" ht="11.25">
      <c r="A1085" s="1"/>
      <c r="B1085" s="1"/>
      <c r="C1085" s="1"/>
      <c r="D1085" s="2"/>
      <c r="E1085" s="2"/>
      <c r="F1085" s="2"/>
      <c r="G1085" s="2"/>
      <c r="H1085" s="2"/>
      <c r="I1085" s="2"/>
      <c r="J1085" s="2"/>
      <c r="K1085" s="2"/>
      <c r="L1085" s="2"/>
      <c r="M1085" s="2"/>
      <c r="N1085" s="21"/>
      <c r="O1085" s="21"/>
      <c r="P1085" s="21"/>
      <c r="Q1085" s="13"/>
      <c r="R1085" s="13"/>
      <c r="S1085" s="13"/>
      <c r="T1085" s="13"/>
      <c r="U1085" s="13"/>
      <c r="V1085" s="13"/>
      <c r="W1085" s="13"/>
      <c r="X1085" s="13"/>
      <c r="Y1085" s="13"/>
      <c r="Z1085" s="13"/>
      <c r="AA1085" s="13"/>
      <c r="AB1085" s="13"/>
      <c r="AC1085" s="13"/>
      <c r="AD1085" s="13"/>
      <c r="AE1085" s="13"/>
      <c r="AF1085" s="13"/>
      <c r="AG1085" s="13"/>
      <c r="AH1085" s="13"/>
      <c r="AI1085" s="13"/>
      <c r="AJ1085" s="13"/>
      <c r="AK1085" s="13"/>
      <c r="AL1085" s="13"/>
      <c r="AM1085" s="13"/>
      <c r="AN1085" s="13"/>
      <c r="AO1085" s="13"/>
      <c r="AP1085" s="13"/>
      <c r="AQ1085" s="13"/>
      <c r="AR1085" s="13"/>
      <c r="AS1085" s="13"/>
      <c r="AT1085" s="13"/>
      <c r="AU1085" s="13"/>
      <c r="AV1085" s="13"/>
      <c r="AW1085" s="13"/>
      <c r="AX1085" s="13"/>
      <c r="AY1085" s="13"/>
      <c r="AZ1085" s="13"/>
      <c r="BA1085" s="13"/>
      <c r="BB1085" s="13"/>
      <c r="BC1085" s="13"/>
      <c r="BD1085" s="13"/>
      <c r="BE1085" s="13"/>
      <c r="BF1085" s="13"/>
      <c r="BG1085" s="13"/>
      <c r="BH1085" s="13"/>
      <c r="BI1085" s="13"/>
      <c r="BJ1085" s="13"/>
      <c r="BK1085" s="13"/>
      <c r="BL1085" s="13"/>
      <c r="BM1085" s="13"/>
      <c r="BN1085" s="13"/>
      <c r="BO1085" s="13"/>
      <c r="BP1085" s="13"/>
      <c r="BQ1085" s="13"/>
      <c r="BR1085" s="13"/>
      <c r="BS1085" s="13"/>
      <c r="BT1085" s="13"/>
      <c r="BU1085" s="13"/>
      <c r="BV1085" s="13"/>
      <c r="BW1085" s="13"/>
      <c r="BX1085" s="13"/>
      <c r="BY1085" s="13"/>
      <c r="BZ1085" s="13"/>
      <c r="CA1085" s="13"/>
      <c r="CB1085" s="13"/>
      <c r="CC1085" s="13"/>
      <c r="CD1085" s="13"/>
      <c r="CE1085" s="13"/>
      <c r="CF1085" s="13"/>
      <c r="CG1085" s="13"/>
      <c r="CH1085" s="13"/>
      <c r="CI1085" s="13"/>
      <c r="CJ1085" s="13"/>
      <c r="CK1085" s="13"/>
      <c r="CL1085" s="13"/>
      <c r="CM1085" s="13"/>
      <c r="CN1085" s="13"/>
      <c r="CO1085" s="13"/>
      <c r="CP1085" s="13"/>
      <c r="CQ1085" s="13"/>
      <c r="CR1085" s="13"/>
      <c r="CS1085" s="13"/>
      <c r="CT1085" s="13"/>
      <c r="CU1085" s="13"/>
      <c r="CV1085" s="13"/>
      <c r="CW1085" s="13"/>
      <c r="CX1085" s="13"/>
    </row>
    <row r="1086" spans="1:102" ht="11.25">
      <c r="A1086" s="1"/>
      <c r="B1086" s="1"/>
      <c r="C1086" s="1"/>
      <c r="D1086" s="2"/>
      <c r="E1086" s="2"/>
      <c r="F1086" s="2"/>
      <c r="G1086" s="2"/>
      <c r="H1086" s="2"/>
      <c r="I1086" s="2"/>
      <c r="J1086" s="2"/>
      <c r="K1086" s="2"/>
      <c r="L1086" s="2"/>
      <c r="M1086" s="2"/>
      <c r="N1086" s="21"/>
      <c r="O1086" s="21"/>
      <c r="P1086" s="21"/>
      <c r="Q1086" s="13"/>
      <c r="R1086" s="13"/>
      <c r="S1086" s="13"/>
      <c r="T1086" s="13"/>
      <c r="U1086" s="13"/>
      <c r="V1086" s="13"/>
      <c r="W1086" s="13"/>
      <c r="X1086" s="13"/>
      <c r="Y1086" s="13"/>
      <c r="Z1086" s="13"/>
      <c r="AA1086" s="13"/>
      <c r="AB1086" s="13"/>
      <c r="AC1086" s="13"/>
      <c r="AD1086" s="13"/>
      <c r="AE1086" s="13"/>
      <c r="AF1086" s="13"/>
      <c r="AG1086" s="13"/>
      <c r="AH1086" s="13"/>
      <c r="AI1086" s="13"/>
      <c r="AJ1086" s="13"/>
      <c r="AK1086" s="13"/>
      <c r="AL1086" s="13"/>
      <c r="AM1086" s="13"/>
      <c r="AN1086" s="13"/>
      <c r="AO1086" s="13"/>
      <c r="AP1086" s="13"/>
      <c r="AQ1086" s="13"/>
      <c r="AR1086" s="13"/>
      <c r="AS1086" s="13"/>
      <c r="AT1086" s="13"/>
      <c r="AU1086" s="13"/>
      <c r="AV1086" s="13"/>
      <c r="AW1086" s="13"/>
      <c r="AX1086" s="13"/>
      <c r="AY1086" s="13"/>
      <c r="AZ1086" s="13"/>
      <c r="BA1086" s="13"/>
      <c r="BB1086" s="13"/>
      <c r="BC1086" s="13"/>
      <c r="BD1086" s="13"/>
      <c r="BE1086" s="13"/>
      <c r="BF1086" s="13"/>
      <c r="BG1086" s="13"/>
      <c r="BH1086" s="13"/>
      <c r="BI1086" s="13"/>
      <c r="BJ1086" s="13"/>
      <c r="BK1086" s="13"/>
      <c r="BL1086" s="13"/>
      <c r="BM1086" s="13"/>
      <c r="BN1086" s="13"/>
      <c r="BO1086" s="13"/>
      <c r="BP1086" s="13"/>
      <c r="BQ1086" s="13"/>
      <c r="BR1086" s="13"/>
      <c r="BS1086" s="13"/>
      <c r="BT1086" s="13"/>
      <c r="BU1086" s="13"/>
      <c r="BV1086" s="13"/>
      <c r="BW1086" s="13"/>
      <c r="BX1086" s="13"/>
      <c r="BY1086" s="13"/>
      <c r="BZ1086" s="13"/>
      <c r="CA1086" s="13"/>
      <c r="CB1086" s="13"/>
      <c r="CC1086" s="13"/>
      <c r="CD1086" s="13"/>
      <c r="CE1086" s="13"/>
      <c r="CF1086" s="13"/>
      <c r="CG1086" s="13"/>
      <c r="CH1086" s="13"/>
      <c r="CI1086" s="13"/>
      <c r="CJ1086" s="13"/>
      <c r="CK1086" s="13"/>
      <c r="CL1086" s="13"/>
      <c r="CM1086" s="13"/>
      <c r="CN1086" s="13"/>
      <c r="CO1086" s="13"/>
      <c r="CP1086" s="13"/>
      <c r="CQ1086" s="13"/>
      <c r="CR1086" s="13"/>
      <c r="CS1086" s="13"/>
      <c r="CT1086" s="13"/>
      <c r="CU1086" s="13"/>
      <c r="CV1086" s="13"/>
      <c r="CW1086" s="13"/>
      <c r="CX1086" s="13"/>
    </row>
    <row r="1087" spans="1:102" ht="11.25">
      <c r="A1087" s="1"/>
      <c r="B1087" s="1"/>
      <c r="C1087" s="1"/>
      <c r="D1087" s="2"/>
      <c r="E1087" s="2"/>
      <c r="F1087" s="2"/>
      <c r="G1087" s="2"/>
      <c r="H1087" s="2"/>
      <c r="I1087" s="2"/>
      <c r="J1087" s="2"/>
      <c r="K1087" s="2"/>
      <c r="L1087" s="2"/>
      <c r="M1087" s="2"/>
      <c r="N1087" s="21"/>
      <c r="O1087" s="21"/>
      <c r="P1087" s="21"/>
      <c r="Q1087" s="13"/>
      <c r="R1087" s="13"/>
      <c r="S1087" s="13"/>
      <c r="T1087" s="13"/>
      <c r="U1087" s="13"/>
      <c r="V1087" s="13"/>
      <c r="W1087" s="13"/>
      <c r="X1087" s="13"/>
      <c r="Y1087" s="13"/>
      <c r="Z1087" s="13"/>
      <c r="AA1087" s="13"/>
      <c r="AB1087" s="13"/>
      <c r="AC1087" s="13"/>
      <c r="AD1087" s="13"/>
      <c r="AE1087" s="13"/>
      <c r="AF1087" s="13"/>
      <c r="AG1087" s="13"/>
      <c r="AH1087" s="13"/>
      <c r="AI1087" s="13"/>
      <c r="AJ1087" s="13"/>
      <c r="AK1087" s="13"/>
      <c r="AL1087" s="13"/>
      <c r="AM1087" s="13"/>
      <c r="AN1087" s="13"/>
      <c r="AO1087" s="13"/>
      <c r="AP1087" s="13"/>
      <c r="AQ1087" s="13"/>
      <c r="AR1087" s="13"/>
      <c r="AS1087" s="13"/>
      <c r="AT1087" s="13"/>
      <c r="AU1087" s="13"/>
      <c r="AV1087" s="13"/>
      <c r="AW1087" s="13"/>
      <c r="AX1087" s="13"/>
      <c r="AY1087" s="13"/>
      <c r="AZ1087" s="13"/>
      <c r="BA1087" s="13"/>
      <c r="BB1087" s="13"/>
      <c r="BC1087" s="13"/>
      <c r="BD1087" s="13"/>
      <c r="BE1087" s="13"/>
      <c r="BF1087" s="13"/>
      <c r="BG1087" s="13"/>
      <c r="BH1087" s="13"/>
      <c r="BI1087" s="13"/>
      <c r="BJ1087" s="13"/>
      <c r="BK1087" s="13"/>
      <c r="BL1087" s="13"/>
      <c r="BM1087" s="13"/>
      <c r="BN1087" s="13"/>
      <c r="BO1087" s="13"/>
      <c r="BP1087" s="13"/>
      <c r="BQ1087" s="13"/>
      <c r="BR1087" s="13"/>
      <c r="BS1087" s="13"/>
      <c r="BT1087" s="13"/>
      <c r="BU1087" s="13"/>
      <c r="BV1087" s="13"/>
      <c r="BW1087" s="13"/>
      <c r="BX1087" s="13"/>
      <c r="BY1087" s="13"/>
      <c r="BZ1087" s="13"/>
      <c r="CA1087" s="13"/>
      <c r="CB1087" s="13"/>
      <c r="CC1087" s="13"/>
      <c r="CD1087" s="13"/>
      <c r="CE1087" s="13"/>
      <c r="CF1087" s="13"/>
      <c r="CG1087" s="13"/>
      <c r="CH1087" s="13"/>
      <c r="CI1087" s="13"/>
      <c r="CJ1087" s="13"/>
      <c r="CK1087" s="13"/>
      <c r="CL1087" s="13"/>
      <c r="CM1087" s="13"/>
      <c r="CN1087" s="13"/>
      <c r="CO1087" s="13"/>
      <c r="CP1087" s="13"/>
      <c r="CQ1087" s="13"/>
      <c r="CR1087" s="13"/>
      <c r="CS1087" s="13"/>
      <c r="CT1087" s="13"/>
      <c r="CU1087" s="13"/>
      <c r="CV1087" s="13"/>
      <c r="CW1087" s="13"/>
      <c r="CX1087" s="13"/>
    </row>
    <row r="1088" spans="1:102" ht="11.25">
      <c r="A1088" s="1"/>
      <c r="B1088" s="1"/>
      <c r="C1088" s="1"/>
      <c r="D1088" s="2"/>
      <c r="E1088" s="2"/>
      <c r="F1088" s="2"/>
      <c r="G1088" s="2"/>
      <c r="H1088" s="2"/>
      <c r="I1088" s="2"/>
      <c r="J1088" s="2"/>
      <c r="K1088" s="2"/>
      <c r="L1088" s="2"/>
      <c r="M1088" s="2"/>
      <c r="N1088" s="21"/>
      <c r="O1088" s="21"/>
      <c r="P1088" s="21"/>
      <c r="Q1088" s="13"/>
      <c r="R1088" s="13"/>
      <c r="S1088" s="13"/>
      <c r="T1088" s="13"/>
      <c r="U1088" s="13"/>
      <c r="V1088" s="13"/>
      <c r="W1088" s="13"/>
      <c r="X1088" s="13"/>
      <c r="Y1088" s="13"/>
      <c r="Z1088" s="13"/>
      <c r="AA1088" s="13"/>
      <c r="AB1088" s="13"/>
      <c r="AC1088" s="13"/>
      <c r="AD1088" s="13"/>
      <c r="AE1088" s="13"/>
      <c r="AF1088" s="13"/>
      <c r="AG1088" s="13"/>
      <c r="AH1088" s="13"/>
      <c r="AI1088" s="13"/>
      <c r="AJ1088" s="13"/>
      <c r="AK1088" s="13"/>
      <c r="AL1088" s="13"/>
      <c r="AM1088" s="13"/>
      <c r="AN1088" s="13"/>
      <c r="AO1088" s="13"/>
      <c r="AP1088" s="13"/>
      <c r="AQ1088" s="13"/>
      <c r="AR1088" s="13"/>
      <c r="AS1088" s="13"/>
      <c r="AT1088" s="13"/>
      <c r="AU1088" s="13"/>
      <c r="AV1088" s="13"/>
      <c r="AW1088" s="13"/>
      <c r="AX1088" s="13"/>
      <c r="AY1088" s="13"/>
      <c r="AZ1088" s="13"/>
      <c r="BA1088" s="13"/>
      <c r="BB1088" s="13"/>
      <c r="BC1088" s="13"/>
      <c r="BD1088" s="13"/>
      <c r="BE1088" s="13"/>
      <c r="BF1088" s="13"/>
      <c r="BG1088" s="13"/>
      <c r="BH1088" s="13"/>
      <c r="BI1088" s="13"/>
      <c r="BJ1088" s="13"/>
      <c r="BK1088" s="13"/>
      <c r="BL1088" s="13"/>
      <c r="BM1088" s="13"/>
      <c r="BN1088" s="13"/>
      <c r="BO1088" s="13"/>
      <c r="BP1088" s="13"/>
      <c r="BQ1088" s="13"/>
      <c r="BR1088" s="13"/>
      <c r="BS1088" s="13"/>
      <c r="BT1088" s="13"/>
      <c r="BU1088" s="13"/>
      <c r="BV1088" s="13"/>
      <c r="BW1088" s="13"/>
      <c r="BX1088" s="13"/>
      <c r="BY1088" s="13"/>
      <c r="BZ1088" s="13"/>
      <c r="CA1088" s="13"/>
      <c r="CB1088" s="13"/>
      <c r="CC1088" s="13"/>
      <c r="CD1088" s="13"/>
      <c r="CE1088" s="13"/>
      <c r="CF1088" s="13"/>
      <c r="CG1088" s="13"/>
      <c r="CH1088" s="13"/>
      <c r="CI1088" s="13"/>
      <c r="CJ1088" s="13"/>
      <c r="CK1088" s="13"/>
      <c r="CL1088" s="13"/>
      <c r="CM1088" s="13"/>
      <c r="CN1088" s="13"/>
      <c r="CO1088" s="13"/>
      <c r="CP1088" s="13"/>
      <c r="CQ1088" s="13"/>
      <c r="CR1088" s="13"/>
      <c r="CS1088" s="13"/>
      <c r="CT1088" s="13"/>
      <c r="CU1088" s="13"/>
      <c r="CV1088" s="13"/>
      <c r="CW1088" s="13"/>
      <c r="CX1088" s="13"/>
    </row>
    <row r="1089" spans="1:102" ht="11.25">
      <c r="A1089" s="1"/>
      <c r="B1089" s="1"/>
      <c r="C1089" s="1"/>
      <c r="D1089" s="2"/>
      <c r="E1089" s="2"/>
      <c r="F1089" s="2"/>
      <c r="G1089" s="2"/>
      <c r="H1089" s="2"/>
      <c r="I1089" s="2"/>
      <c r="J1089" s="2"/>
      <c r="K1089" s="2"/>
      <c r="L1089" s="2"/>
      <c r="M1089" s="2"/>
      <c r="N1089" s="21"/>
      <c r="O1089" s="21"/>
      <c r="P1089" s="21"/>
      <c r="Q1089" s="13"/>
      <c r="R1089" s="13"/>
      <c r="S1089" s="13"/>
      <c r="T1089" s="13"/>
      <c r="U1089" s="13"/>
      <c r="V1089" s="13"/>
      <c r="W1089" s="13"/>
      <c r="X1089" s="13"/>
      <c r="Y1089" s="13"/>
      <c r="Z1089" s="13"/>
      <c r="AA1089" s="13"/>
      <c r="AB1089" s="13"/>
      <c r="AC1089" s="13"/>
      <c r="AD1089" s="13"/>
      <c r="AE1089" s="13"/>
      <c r="AF1089" s="13"/>
      <c r="AG1089" s="13"/>
      <c r="AH1089" s="13"/>
      <c r="AI1089" s="13"/>
      <c r="AJ1089" s="13"/>
      <c r="AK1089" s="13"/>
      <c r="AL1089" s="13"/>
      <c r="AM1089" s="13"/>
      <c r="AN1089" s="13"/>
      <c r="AO1089" s="13"/>
      <c r="AP1089" s="13"/>
      <c r="AQ1089" s="13"/>
      <c r="AR1089" s="13"/>
      <c r="AS1089" s="13"/>
      <c r="AT1089" s="13"/>
      <c r="AU1089" s="13"/>
      <c r="AV1089" s="13"/>
      <c r="AW1089" s="13"/>
      <c r="AX1089" s="13"/>
      <c r="AY1089" s="13"/>
      <c r="AZ1089" s="13"/>
      <c r="BA1089" s="13"/>
      <c r="BB1089" s="13"/>
      <c r="BC1089" s="13"/>
      <c r="BD1089" s="13"/>
      <c r="BE1089" s="13"/>
      <c r="BF1089" s="13"/>
      <c r="BG1089" s="13"/>
      <c r="BH1089" s="13"/>
      <c r="BI1089" s="13"/>
      <c r="BJ1089" s="13"/>
      <c r="BK1089" s="13"/>
      <c r="BL1089" s="13"/>
      <c r="BM1089" s="13"/>
      <c r="BN1089" s="13"/>
      <c r="BO1089" s="13"/>
      <c r="BP1089" s="13"/>
      <c r="BQ1089" s="13"/>
      <c r="BR1089" s="13"/>
      <c r="BS1089" s="13"/>
      <c r="BT1089" s="13"/>
      <c r="BU1089" s="13"/>
      <c r="BV1089" s="13"/>
      <c r="BW1089" s="13"/>
      <c r="BX1089" s="13"/>
      <c r="BY1089" s="13"/>
      <c r="BZ1089" s="13"/>
      <c r="CA1089" s="13"/>
      <c r="CB1089" s="13"/>
      <c r="CC1089" s="13"/>
      <c r="CD1089" s="13"/>
      <c r="CE1089" s="13"/>
      <c r="CF1089" s="13"/>
      <c r="CG1089" s="13"/>
      <c r="CH1089" s="13"/>
      <c r="CI1089" s="13"/>
      <c r="CJ1089" s="13"/>
      <c r="CK1089" s="13"/>
      <c r="CL1089" s="13"/>
      <c r="CM1089" s="13"/>
      <c r="CN1089" s="13"/>
      <c r="CO1089" s="13"/>
      <c r="CP1089" s="13"/>
      <c r="CQ1089" s="13"/>
      <c r="CR1089" s="13"/>
      <c r="CS1089" s="13"/>
      <c r="CT1089" s="13"/>
      <c r="CU1089" s="13"/>
      <c r="CV1089" s="13"/>
      <c r="CW1089" s="13"/>
      <c r="CX1089" s="13"/>
    </row>
    <row r="1090" spans="1:102" ht="11.25">
      <c r="A1090" s="1"/>
      <c r="B1090" s="1"/>
      <c r="C1090" s="1"/>
      <c r="D1090" s="2"/>
      <c r="E1090" s="2"/>
      <c r="F1090" s="2"/>
      <c r="G1090" s="2"/>
      <c r="H1090" s="2"/>
      <c r="I1090" s="2"/>
      <c r="J1090" s="2"/>
      <c r="K1090" s="2"/>
      <c r="L1090" s="2"/>
      <c r="M1090" s="2"/>
      <c r="N1090" s="21"/>
      <c r="O1090" s="21"/>
      <c r="P1090" s="21"/>
      <c r="Q1090" s="13"/>
      <c r="R1090" s="13"/>
      <c r="S1090" s="13"/>
      <c r="T1090" s="13"/>
      <c r="U1090" s="13"/>
      <c r="V1090" s="13"/>
      <c r="W1090" s="13"/>
      <c r="X1090" s="13"/>
      <c r="Y1090" s="13"/>
      <c r="Z1090" s="13"/>
      <c r="AA1090" s="13"/>
      <c r="AB1090" s="13"/>
      <c r="AC1090" s="13"/>
      <c r="AD1090" s="13"/>
      <c r="AE1090" s="13"/>
      <c r="AF1090" s="13"/>
      <c r="AG1090" s="13"/>
      <c r="AH1090" s="13"/>
      <c r="AI1090" s="13"/>
      <c r="AJ1090" s="13"/>
      <c r="AK1090" s="13"/>
      <c r="AL1090" s="13"/>
      <c r="AM1090" s="13"/>
      <c r="AN1090" s="13"/>
      <c r="AO1090" s="13"/>
      <c r="AP1090" s="13"/>
      <c r="AQ1090" s="13"/>
      <c r="AR1090" s="13"/>
      <c r="AS1090" s="13"/>
      <c r="AT1090" s="13"/>
      <c r="AU1090" s="13"/>
      <c r="AV1090" s="13"/>
      <c r="AW1090" s="13"/>
      <c r="AX1090" s="13"/>
      <c r="AY1090" s="13"/>
      <c r="AZ1090" s="13"/>
      <c r="BA1090" s="13"/>
      <c r="BB1090" s="13"/>
      <c r="BC1090" s="13"/>
      <c r="BD1090" s="13"/>
      <c r="BE1090" s="13"/>
      <c r="BF1090" s="13"/>
      <c r="BG1090" s="13"/>
      <c r="BH1090" s="13"/>
      <c r="BI1090" s="13"/>
      <c r="BJ1090" s="13"/>
      <c r="BK1090" s="13"/>
      <c r="BL1090" s="13"/>
      <c r="BM1090" s="13"/>
      <c r="BN1090" s="13"/>
      <c r="BO1090" s="13"/>
      <c r="BP1090" s="13"/>
      <c r="BQ1090" s="13"/>
      <c r="BR1090" s="13"/>
      <c r="BS1090" s="13"/>
      <c r="BT1090" s="13"/>
      <c r="BU1090" s="13"/>
      <c r="BV1090" s="13"/>
      <c r="BW1090" s="13"/>
      <c r="BX1090" s="13"/>
      <c r="BY1090" s="13"/>
      <c r="BZ1090" s="13"/>
      <c r="CA1090" s="13"/>
      <c r="CB1090" s="13"/>
      <c r="CC1090" s="13"/>
      <c r="CD1090" s="13"/>
      <c r="CE1090" s="13"/>
      <c r="CF1090" s="13"/>
      <c r="CG1090" s="13"/>
      <c r="CH1090" s="13"/>
      <c r="CI1090" s="13"/>
      <c r="CJ1090" s="13"/>
      <c r="CK1090" s="13"/>
      <c r="CL1090" s="13"/>
      <c r="CM1090" s="13"/>
      <c r="CN1090" s="13"/>
      <c r="CO1090" s="13"/>
      <c r="CP1090" s="13"/>
      <c r="CQ1090" s="13"/>
      <c r="CR1090" s="13"/>
      <c r="CS1090" s="13"/>
      <c r="CT1090" s="13"/>
      <c r="CU1090" s="13"/>
      <c r="CV1090" s="13"/>
      <c r="CW1090" s="13"/>
      <c r="CX1090" s="13"/>
    </row>
    <row r="1091" spans="1:102" ht="11.25">
      <c r="A1091" s="1"/>
      <c r="B1091" s="1"/>
      <c r="C1091" s="1"/>
      <c r="D1091" s="2"/>
      <c r="E1091" s="2"/>
      <c r="F1091" s="2"/>
      <c r="G1091" s="2"/>
      <c r="H1091" s="2"/>
      <c r="I1091" s="2"/>
      <c r="J1091" s="2"/>
      <c r="K1091" s="2"/>
      <c r="L1091" s="2"/>
      <c r="M1091" s="2"/>
      <c r="N1091" s="21"/>
      <c r="O1091" s="21"/>
      <c r="P1091" s="21"/>
      <c r="Q1091" s="13"/>
      <c r="R1091" s="13"/>
      <c r="S1091" s="13"/>
      <c r="T1091" s="13"/>
      <c r="U1091" s="13"/>
      <c r="V1091" s="13"/>
      <c r="W1091" s="13"/>
      <c r="X1091" s="13"/>
      <c r="Y1091" s="13"/>
      <c r="Z1091" s="13"/>
      <c r="AA1091" s="13"/>
      <c r="AB1091" s="13"/>
      <c r="AC1091" s="13"/>
      <c r="AD1091" s="13"/>
      <c r="AE1091" s="13"/>
      <c r="AF1091" s="13"/>
      <c r="AG1091" s="13"/>
      <c r="AH1091" s="13"/>
      <c r="AI1091" s="13"/>
      <c r="AJ1091" s="13"/>
      <c r="AK1091" s="13"/>
      <c r="AL1091" s="13"/>
      <c r="AM1091" s="13"/>
      <c r="AN1091" s="13"/>
      <c r="AO1091" s="13"/>
      <c r="AP1091" s="13"/>
      <c r="AQ1091" s="13"/>
      <c r="AR1091" s="13"/>
      <c r="AS1091" s="13"/>
      <c r="AT1091" s="13"/>
      <c r="AU1091" s="13"/>
      <c r="AV1091" s="13"/>
      <c r="AW1091" s="13"/>
      <c r="AX1091" s="13"/>
      <c r="AY1091" s="13"/>
      <c r="AZ1091" s="13"/>
      <c r="BA1091" s="13"/>
      <c r="BB1091" s="13"/>
      <c r="BC1091" s="13"/>
      <c r="BD1091" s="13"/>
      <c r="BE1091" s="13"/>
      <c r="BF1091" s="13"/>
      <c r="BG1091" s="13"/>
      <c r="BH1091" s="13"/>
      <c r="BI1091" s="13"/>
      <c r="BJ1091" s="13"/>
      <c r="BK1091" s="13"/>
      <c r="BL1091" s="13"/>
      <c r="BM1091" s="13"/>
      <c r="BN1091" s="13"/>
      <c r="BO1091" s="13"/>
      <c r="BP1091" s="13"/>
      <c r="BQ1091" s="13"/>
      <c r="BR1091" s="13"/>
      <c r="BS1091" s="13"/>
      <c r="BT1091" s="13"/>
      <c r="BU1091" s="13"/>
      <c r="BV1091" s="13"/>
      <c r="BW1091" s="13"/>
      <c r="BX1091" s="13"/>
      <c r="BY1091" s="13"/>
      <c r="BZ1091" s="13"/>
      <c r="CA1091" s="13"/>
      <c r="CB1091" s="13"/>
      <c r="CC1091" s="13"/>
      <c r="CD1091" s="13"/>
      <c r="CE1091" s="13"/>
      <c r="CF1091" s="13"/>
      <c r="CG1091" s="13"/>
      <c r="CH1091" s="13"/>
      <c r="CI1091" s="13"/>
      <c r="CJ1091" s="13"/>
      <c r="CK1091" s="13"/>
      <c r="CL1091" s="13"/>
      <c r="CM1091" s="13"/>
      <c r="CN1091" s="13"/>
      <c r="CO1091" s="13"/>
      <c r="CP1091" s="13"/>
      <c r="CQ1091" s="13"/>
      <c r="CR1091" s="13"/>
      <c r="CS1091" s="13"/>
      <c r="CT1091" s="13"/>
      <c r="CU1091" s="13"/>
      <c r="CV1091" s="13"/>
      <c r="CW1091" s="13"/>
      <c r="CX1091" s="13"/>
    </row>
    <row r="1092" spans="1:102" ht="11.25">
      <c r="A1092" s="1"/>
      <c r="B1092" s="1"/>
      <c r="C1092" s="1"/>
      <c r="D1092" s="2"/>
      <c r="E1092" s="2"/>
      <c r="F1092" s="2"/>
      <c r="G1092" s="2"/>
      <c r="H1092" s="2"/>
      <c r="I1092" s="2"/>
      <c r="J1092" s="2"/>
      <c r="K1092" s="2"/>
      <c r="L1092" s="2"/>
      <c r="M1092" s="2"/>
      <c r="N1092" s="21"/>
      <c r="O1092" s="21"/>
      <c r="P1092" s="21"/>
      <c r="Q1092" s="13"/>
      <c r="R1092" s="13"/>
      <c r="S1092" s="13"/>
      <c r="T1092" s="13"/>
      <c r="U1092" s="13"/>
      <c r="V1092" s="13"/>
      <c r="W1092" s="13"/>
      <c r="X1092" s="13"/>
      <c r="Y1092" s="13"/>
      <c r="Z1092" s="13"/>
      <c r="AA1092" s="13"/>
      <c r="AB1092" s="13"/>
      <c r="AC1092" s="13"/>
      <c r="AD1092" s="13"/>
      <c r="AE1092" s="13"/>
      <c r="AF1092" s="13"/>
      <c r="AG1092" s="13"/>
      <c r="AH1092" s="13"/>
      <c r="AI1092" s="13"/>
      <c r="AJ1092" s="13"/>
      <c r="AK1092" s="13"/>
      <c r="AL1092" s="13"/>
      <c r="AM1092" s="13"/>
      <c r="AN1092" s="13"/>
      <c r="AO1092" s="13"/>
      <c r="AP1092" s="13"/>
      <c r="AQ1092" s="13"/>
      <c r="AR1092" s="13"/>
      <c r="AS1092" s="13"/>
      <c r="AT1092" s="13"/>
      <c r="AU1092" s="13"/>
      <c r="AV1092" s="13"/>
      <c r="AW1092" s="13"/>
      <c r="AX1092" s="13"/>
      <c r="AY1092" s="13"/>
      <c r="AZ1092" s="13"/>
      <c r="BA1092" s="13"/>
      <c r="BB1092" s="13"/>
      <c r="BC1092" s="13"/>
      <c r="BD1092" s="13"/>
      <c r="BE1092" s="13"/>
      <c r="BF1092" s="13"/>
      <c r="BG1092" s="13"/>
      <c r="BH1092" s="13"/>
      <c r="BI1092" s="13"/>
      <c r="BJ1092" s="13"/>
      <c r="BK1092" s="13"/>
      <c r="BL1092" s="13"/>
      <c r="BM1092" s="13"/>
      <c r="BN1092" s="13"/>
      <c r="BO1092" s="13"/>
      <c r="BP1092" s="13"/>
      <c r="BQ1092" s="13"/>
      <c r="BR1092" s="13"/>
      <c r="BS1092" s="13"/>
      <c r="BT1092" s="13"/>
      <c r="BU1092" s="13"/>
      <c r="BV1092" s="13"/>
      <c r="BW1092" s="13"/>
      <c r="BX1092" s="13"/>
      <c r="BY1092" s="13"/>
      <c r="BZ1092" s="13"/>
      <c r="CA1092" s="13"/>
      <c r="CB1092" s="13"/>
      <c r="CC1092" s="13"/>
      <c r="CD1092" s="13"/>
      <c r="CE1092" s="13"/>
      <c r="CF1092" s="13"/>
      <c r="CG1092" s="13"/>
      <c r="CH1092" s="13"/>
      <c r="CI1092" s="13"/>
      <c r="CJ1092" s="13"/>
      <c r="CK1092" s="13"/>
      <c r="CL1092" s="13"/>
      <c r="CM1092" s="13"/>
      <c r="CN1092" s="13"/>
      <c r="CO1092" s="13"/>
      <c r="CP1092" s="13"/>
      <c r="CQ1092" s="13"/>
      <c r="CR1092" s="13"/>
      <c r="CS1092" s="13"/>
      <c r="CT1092" s="13"/>
      <c r="CU1092" s="13"/>
      <c r="CV1092" s="13"/>
      <c r="CW1092" s="13"/>
      <c r="CX1092" s="13"/>
    </row>
    <row r="1093" spans="1:102" ht="11.25">
      <c r="A1093" s="1"/>
      <c r="B1093" s="1"/>
      <c r="C1093" s="1"/>
      <c r="D1093" s="2"/>
      <c r="E1093" s="2"/>
      <c r="F1093" s="2"/>
      <c r="G1093" s="2"/>
      <c r="H1093" s="2"/>
      <c r="I1093" s="2"/>
      <c r="J1093" s="2"/>
      <c r="K1093" s="2"/>
      <c r="L1093" s="2"/>
      <c r="M1093" s="2"/>
      <c r="N1093" s="21"/>
      <c r="O1093" s="21"/>
      <c r="P1093" s="21"/>
      <c r="Q1093" s="13"/>
      <c r="R1093" s="13"/>
      <c r="S1093" s="13"/>
      <c r="T1093" s="13"/>
      <c r="U1093" s="13"/>
      <c r="V1093" s="13"/>
      <c r="W1093" s="13"/>
      <c r="X1093" s="13"/>
      <c r="Y1093" s="13"/>
      <c r="Z1093" s="13"/>
      <c r="AA1093" s="13"/>
      <c r="AB1093" s="13"/>
      <c r="AC1093" s="13"/>
      <c r="AD1093" s="13"/>
      <c r="AE1093" s="13"/>
      <c r="AF1093" s="13"/>
      <c r="AG1093" s="13"/>
      <c r="AH1093" s="13"/>
      <c r="AI1093" s="13"/>
      <c r="AJ1093" s="13"/>
      <c r="AK1093" s="13"/>
      <c r="AL1093" s="13"/>
      <c r="AM1093" s="13"/>
      <c r="AN1093" s="13"/>
      <c r="AO1093" s="13"/>
      <c r="AP1093" s="13"/>
      <c r="AQ1093" s="13"/>
      <c r="AR1093" s="13"/>
      <c r="AS1093" s="13"/>
      <c r="AT1093" s="13"/>
      <c r="AU1093" s="13"/>
      <c r="AV1093" s="13"/>
      <c r="AW1093" s="13"/>
      <c r="AX1093" s="13"/>
      <c r="AY1093" s="13"/>
      <c r="AZ1093" s="13"/>
      <c r="BA1093" s="13"/>
      <c r="BB1093" s="13"/>
      <c r="BC1093" s="13"/>
      <c r="BD1093" s="13"/>
      <c r="BE1093" s="13"/>
      <c r="BF1093" s="13"/>
      <c r="BG1093" s="13"/>
      <c r="BH1093" s="13"/>
      <c r="BI1093" s="13"/>
      <c r="BJ1093" s="13"/>
      <c r="BK1093" s="13"/>
      <c r="BL1093" s="13"/>
      <c r="BM1093" s="13"/>
      <c r="BN1093" s="13"/>
      <c r="BO1093" s="13"/>
      <c r="BP1093" s="13"/>
      <c r="BQ1093" s="13"/>
      <c r="BR1093" s="13"/>
      <c r="BS1093" s="13"/>
      <c r="BT1093" s="13"/>
      <c r="BU1093" s="13"/>
      <c r="BV1093" s="13"/>
      <c r="BW1093" s="13"/>
      <c r="BX1093" s="13"/>
      <c r="BY1093" s="13"/>
      <c r="BZ1093" s="13"/>
      <c r="CA1093" s="13"/>
      <c r="CB1093" s="13"/>
      <c r="CC1093" s="13"/>
      <c r="CD1093" s="13"/>
      <c r="CE1093" s="13"/>
      <c r="CF1093" s="13"/>
      <c r="CG1093" s="13"/>
      <c r="CH1093" s="13"/>
      <c r="CI1093" s="13"/>
      <c r="CJ1093" s="13"/>
      <c r="CK1093" s="13"/>
      <c r="CL1093" s="13"/>
      <c r="CM1093" s="13"/>
      <c r="CN1093" s="13"/>
      <c r="CO1093" s="13"/>
      <c r="CP1093" s="13"/>
      <c r="CQ1093" s="13"/>
      <c r="CR1093" s="13"/>
      <c r="CS1093" s="13"/>
      <c r="CT1093" s="13"/>
      <c r="CU1093" s="13"/>
      <c r="CV1093" s="13"/>
      <c r="CW1093" s="13"/>
      <c r="CX1093" s="13"/>
    </row>
    <row r="1094" spans="1:102" ht="11.25">
      <c r="A1094" s="1"/>
      <c r="B1094" s="1"/>
      <c r="C1094" s="1"/>
      <c r="D1094" s="2"/>
      <c r="E1094" s="2"/>
      <c r="F1094" s="2"/>
      <c r="G1094" s="2"/>
      <c r="H1094" s="2"/>
      <c r="I1094" s="2"/>
      <c r="J1094" s="2"/>
      <c r="K1094" s="2"/>
      <c r="L1094" s="2"/>
      <c r="M1094" s="2"/>
      <c r="N1094" s="21"/>
      <c r="O1094" s="21"/>
      <c r="P1094" s="21"/>
      <c r="Q1094" s="13"/>
      <c r="R1094" s="13"/>
      <c r="S1094" s="13"/>
      <c r="T1094" s="13"/>
      <c r="U1094" s="13"/>
      <c r="V1094" s="13"/>
      <c r="W1094" s="13"/>
      <c r="X1094" s="13"/>
      <c r="Y1094" s="13"/>
      <c r="Z1094" s="13"/>
      <c r="AA1094" s="13"/>
      <c r="AB1094" s="13"/>
      <c r="AC1094" s="13"/>
      <c r="AD1094" s="13"/>
      <c r="AE1094" s="13"/>
      <c r="AF1094" s="13"/>
      <c r="AG1094" s="13"/>
      <c r="AH1094" s="13"/>
      <c r="AI1094" s="13"/>
      <c r="AJ1094" s="13"/>
      <c r="AK1094" s="13"/>
      <c r="AL1094" s="13"/>
      <c r="AM1094" s="13"/>
      <c r="AN1094" s="13"/>
      <c r="AO1094" s="13"/>
      <c r="AP1094" s="13"/>
      <c r="AQ1094" s="13"/>
      <c r="AR1094" s="13"/>
      <c r="AS1094" s="13"/>
      <c r="AT1094" s="13"/>
      <c r="AU1094" s="13"/>
      <c r="AV1094" s="13"/>
      <c r="AW1094" s="13"/>
      <c r="AX1094" s="13"/>
      <c r="AY1094" s="13"/>
      <c r="AZ1094" s="13"/>
      <c r="BA1094" s="13"/>
      <c r="BB1094" s="13"/>
      <c r="BC1094" s="13"/>
      <c r="BD1094" s="13"/>
      <c r="BE1094" s="13"/>
      <c r="BF1094" s="13"/>
      <c r="BG1094" s="13"/>
      <c r="BH1094" s="13"/>
      <c r="BI1094" s="13"/>
      <c r="BJ1094" s="13"/>
      <c r="BK1094" s="13"/>
      <c r="BL1094" s="13"/>
      <c r="BM1094" s="13"/>
      <c r="BN1094" s="13"/>
      <c r="BO1094" s="13"/>
      <c r="BP1094" s="13"/>
      <c r="BQ1094" s="13"/>
      <c r="BR1094" s="13"/>
      <c r="BS1094" s="13"/>
      <c r="BT1094" s="13"/>
      <c r="BU1094" s="13"/>
      <c r="BV1094" s="13"/>
      <c r="BW1094" s="13"/>
      <c r="BX1094" s="13"/>
      <c r="BY1094" s="13"/>
      <c r="BZ1094" s="13"/>
      <c r="CA1094" s="13"/>
      <c r="CB1094" s="13"/>
      <c r="CC1094" s="13"/>
      <c r="CD1094" s="13"/>
      <c r="CE1094" s="13"/>
      <c r="CF1094" s="13"/>
      <c r="CG1094" s="13"/>
      <c r="CH1094" s="13"/>
      <c r="CI1094" s="13"/>
      <c r="CJ1094" s="13"/>
      <c r="CK1094" s="13"/>
      <c r="CL1094" s="13"/>
      <c r="CM1094" s="13"/>
      <c r="CN1094" s="13"/>
      <c r="CO1094" s="13"/>
      <c r="CP1094" s="13"/>
      <c r="CQ1094" s="13"/>
      <c r="CR1094" s="13"/>
      <c r="CS1094" s="13"/>
      <c r="CT1094" s="13"/>
      <c r="CU1094" s="13"/>
      <c r="CV1094" s="13"/>
      <c r="CW1094" s="13"/>
      <c r="CX1094" s="13"/>
    </row>
    <row r="1095" spans="1:102" ht="11.25">
      <c r="A1095" s="1"/>
      <c r="B1095" s="1"/>
      <c r="C1095" s="1"/>
      <c r="D1095" s="2"/>
      <c r="E1095" s="2"/>
      <c r="F1095" s="2"/>
      <c r="G1095" s="2"/>
      <c r="H1095" s="2"/>
      <c r="I1095" s="2"/>
      <c r="J1095" s="2"/>
      <c r="K1095" s="2"/>
      <c r="L1095" s="2"/>
      <c r="M1095" s="2"/>
      <c r="N1095" s="21"/>
      <c r="O1095" s="21"/>
      <c r="P1095" s="21"/>
      <c r="Q1095" s="13"/>
      <c r="R1095" s="13"/>
      <c r="S1095" s="13"/>
      <c r="T1095" s="13"/>
      <c r="U1095" s="13"/>
      <c r="V1095" s="13"/>
      <c r="W1095" s="13"/>
      <c r="X1095" s="13"/>
      <c r="Y1095" s="13"/>
      <c r="Z1095" s="13"/>
      <c r="AA1095" s="13"/>
      <c r="AB1095" s="13"/>
      <c r="AC1095" s="13"/>
      <c r="AD1095" s="13"/>
      <c r="AE1095" s="13"/>
      <c r="AF1095" s="13"/>
      <c r="AG1095" s="13"/>
      <c r="AH1095" s="13"/>
      <c r="AI1095" s="13"/>
      <c r="AJ1095" s="13"/>
      <c r="AK1095" s="13"/>
      <c r="AL1095" s="13"/>
      <c r="AM1095" s="13"/>
      <c r="AN1095" s="13"/>
      <c r="AO1095" s="13"/>
      <c r="AP1095" s="13"/>
      <c r="AQ1095" s="13"/>
      <c r="AR1095" s="13"/>
      <c r="AS1095" s="13"/>
      <c r="AT1095" s="13"/>
      <c r="AU1095" s="13"/>
      <c r="AV1095" s="13"/>
      <c r="AW1095" s="13"/>
      <c r="AX1095" s="13"/>
      <c r="AY1095" s="13"/>
      <c r="AZ1095" s="13"/>
      <c r="BA1095" s="13"/>
      <c r="BB1095" s="13"/>
      <c r="BC1095" s="13"/>
      <c r="BD1095" s="13"/>
      <c r="BE1095" s="13"/>
      <c r="BF1095" s="13"/>
      <c r="BG1095" s="13"/>
      <c r="BH1095" s="13"/>
      <c r="BI1095" s="13"/>
      <c r="BJ1095" s="13"/>
      <c r="BK1095" s="13"/>
      <c r="BL1095" s="13"/>
      <c r="BM1095" s="13"/>
      <c r="BN1095" s="13"/>
      <c r="BO1095" s="13"/>
      <c r="BP1095" s="13"/>
      <c r="BQ1095" s="13"/>
      <c r="BR1095" s="13"/>
      <c r="BS1095" s="13"/>
      <c r="BT1095" s="13"/>
      <c r="BU1095" s="13"/>
      <c r="BV1095" s="13"/>
      <c r="BW1095" s="13"/>
      <c r="BX1095" s="13"/>
      <c r="BY1095" s="13"/>
      <c r="BZ1095" s="13"/>
      <c r="CA1095" s="13"/>
      <c r="CB1095" s="13"/>
      <c r="CC1095" s="13"/>
      <c r="CD1095" s="13"/>
      <c r="CE1095" s="13"/>
      <c r="CF1095" s="13"/>
      <c r="CG1095" s="13"/>
      <c r="CH1095" s="13"/>
      <c r="CI1095" s="13"/>
      <c r="CJ1095" s="13"/>
      <c r="CK1095" s="13"/>
      <c r="CL1095" s="13"/>
      <c r="CM1095" s="13"/>
      <c r="CN1095" s="13"/>
      <c r="CO1095" s="13"/>
      <c r="CP1095" s="13"/>
      <c r="CQ1095" s="13"/>
      <c r="CR1095" s="13"/>
      <c r="CS1095" s="13"/>
      <c r="CT1095" s="13"/>
      <c r="CU1095" s="13"/>
      <c r="CV1095" s="13"/>
      <c r="CW1095" s="13"/>
      <c r="CX1095" s="13"/>
    </row>
    <row r="1096" spans="1:102" ht="11.25">
      <c r="A1096" s="1"/>
      <c r="B1096" s="1"/>
      <c r="C1096" s="1"/>
      <c r="D1096" s="2"/>
      <c r="E1096" s="2"/>
      <c r="F1096" s="2"/>
      <c r="G1096" s="2"/>
      <c r="H1096" s="2"/>
      <c r="I1096" s="2"/>
      <c r="J1096" s="2"/>
      <c r="K1096" s="2"/>
      <c r="L1096" s="2"/>
      <c r="M1096" s="2"/>
      <c r="N1096" s="21"/>
      <c r="O1096" s="21"/>
      <c r="P1096" s="21"/>
      <c r="Q1096" s="13"/>
      <c r="R1096" s="13"/>
      <c r="S1096" s="13"/>
      <c r="T1096" s="13"/>
      <c r="U1096" s="13"/>
      <c r="V1096" s="13"/>
      <c r="W1096" s="13"/>
      <c r="X1096" s="13"/>
      <c r="Y1096" s="13"/>
      <c r="Z1096" s="13"/>
      <c r="AA1096" s="13"/>
      <c r="AB1096" s="13"/>
      <c r="AC1096" s="13"/>
      <c r="AD1096" s="13"/>
      <c r="AE1096" s="13"/>
      <c r="AF1096" s="13"/>
      <c r="AG1096" s="13"/>
      <c r="AH1096" s="13"/>
      <c r="AI1096" s="13"/>
      <c r="AJ1096" s="13"/>
      <c r="AK1096" s="13"/>
      <c r="AL1096" s="13"/>
      <c r="AM1096" s="13"/>
      <c r="AN1096" s="13"/>
      <c r="AO1096" s="13"/>
      <c r="AP1096" s="13"/>
      <c r="AQ1096" s="13"/>
      <c r="AR1096" s="13"/>
      <c r="AS1096" s="13"/>
      <c r="AT1096" s="13"/>
      <c r="AU1096" s="13"/>
      <c r="AV1096" s="13"/>
      <c r="AW1096" s="13"/>
      <c r="AX1096" s="13"/>
      <c r="AY1096" s="13"/>
      <c r="AZ1096" s="13"/>
      <c r="BA1096" s="13"/>
      <c r="BB1096" s="13"/>
      <c r="BC1096" s="13"/>
      <c r="BD1096" s="13"/>
      <c r="BE1096" s="13"/>
      <c r="BF1096" s="13"/>
      <c r="BG1096" s="13"/>
      <c r="BH1096" s="13"/>
      <c r="BI1096" s="13"/>
      <c r="BJ1096" s="13"/>
      <c r="BK1096" s="13"/>
      <c r="BL1096" s="13"/>
      <c r="BM1096" s="13"/>
      <c r="BN1096" s="13"/>
      <c r="BO1096" s="13"/>
      <c r="BP1096" s="13"/>
      <c r="BQ1096" s="13"/>
      <c r="BR1096" s="13"/>
      <c r="BS1096" s="13"/>
      <c r="BT1096" s="13"/>
      <c r="BU1096" s="13"/>
      <c r="BV1096" s="13"/>
      <c r="BW1096" s="13"/>
      <c r="BX1096" s="13"/>
      <c r="BY1096" s="13"/>
      <c r="BZ1096" s="13"/>
      <c r="CA1096" s="13"/>
      <c r="CB1096" s="13"/>
      <c r="CC1096" s="13"/>
      <c r="CD1096" s="13"/>
      <c r="CE1096" s="13"/>
      <c r="CF1096" s="13"/>
      <c r="CG1096" s="13"/>
      <c r="CH1096" s="13"/>
      <c r="CI1096" s="13"/>
      <c r="CJ1096" s="13"/>
      <c r="CK1096" s="13"/>
      <c r="CL1096" s="13"/>
      <c r="CM1096" s="13"/>
      <c r="CN1096" s="13"/>
      <c r="CO1096" s="13"/>
      <c r="CP1096" s="13"/>
      <c r="CQ1096" s="13"/>
      <c r="CR1096" s="13"/>
      <c r="CS1096" s="13"/>
      <c r="CT1096" s="13"/>
      <c r="CU1096" s="13"/>
      <c r="CV1096" s="13"/>
      <c r="CW1096" s="13"/>
      <c r="CX1096" s="13"/>
    </row>
    <row r="1097" spans="1:102" ht="11.25">
      <c r="A1097" s="1"/>
      <c r="B1097" s="1"/>
      <c r="C1097" s="1"/>
      <c r="D1097" s="2"/>
      <c r="E1097" s="2"/>
      <c r="F1097" s="2"/>
      <c r="G1097" s="2"/>
      <c r="H1097" s="2"/>
      <c r="I1097" s="2"/>
      <c r="J1097" s="2"/>
      <c r="K1097" s="2"/>
      <c r="L1097" s="2"/>
      <c r="M1097" s="2"/>
      <c r="N1097" s="21"/>
      <c r="O1097" s="21"/>
      <c r="P1097" s="21"/>
      <c r="Q1097" s="13"/>
      <c r="R1097" s="13"/>
      <c r="S1097" s="13"/>
      <c r="T1097" s="13"/>
      <c r="U1097" s="13"/>
      <c r="V1097" s="13"/>
      <c r="W1097" s="13"/>
      <c r="X1097" s="13"/>
      <c r="Y1097" s="13"/>
      <c r="Z1097" s="13"/>
      <c r="AA1097" s="13"/>
      <c r="AB1097" s="13"/>
      <c r="AC1097" s="13"/>
      <c r="AD1097" s="13"/>
      <c r="AE1097" s="13"/>
      <c r="AF1097" s="13"/>
      <c r="AG1097" s="13"/>
      <c r="AH1097" s="13"/>
      <c r="AI1097" s="13"/>
      <c r="AJ1097" s="13"/>
      <c r="AK1097" s="13"/>
      <c r="AL1097" s="13"/>
      <c r="AM1097" s="13"/>
      <c r="AN1097" s="13"/>
      <c r="AO1097" s="13"/>
      <c r="AP1097" s="13"/>
      <c r="AQ1097" s="13"/>
      <c r="AR1097" s="13"/>
      <c r="AS1097" s="13"/>
      <c r="AT1097" s="13"/>
      <c r="AU1097" s="13"/>
      <c r="AV1097" s="13"/>
      <c r="AW1097" s="13"/>
      <c r="AX1097" s="13"/>
      <c r="AY1097" s="13"/>
      <c r="AZ1097" s="13"/>
      <c r="BA1097" s="13"/>
      <c r="BB1097" s="13"/>
      <c r="BC1097" s="13"/>
      <c r="BD1097" s="13"/>
      <c r="BE1097" s="13"/>
      <c r="BF1097" s="13"/>
      <c r="BG1097" s="13"/>
      <c r="BH1097" s="13"/>
      <c r="BI1097" s="13"/>
      <c r="BJ1097" s="13"/>
      <c r="BK1097" s="13"/>
      <c r="BL1097" s="13"/>
      <c r="BM1097" s="13"/>
      <c r="BN1097" s="13"/>
      <c r="BO1097" s="13"/>
      <c r="BP1097" s="13"/>
      <c r="BQ1097" s="13"/>
      <c r="BR1097" s="13"/>
      <c r="BS1097" s="13"/>
      <c r="BT1097" s="13"/>
      <c r="BU1097" s="13"/>
      <c r="BV1097" s="13"/>
      <c r="BW1097" s="13"/>
      <c r="BX1097" s="13"/>
      <c r="BY1097" s="13"/>
      <c r="BZ1097" s="13"/>
      <c r="CA1097" s="13"/>
      <c r="CB1097" s="13"/>
      <c r="CC1097" s="13"/>
      <c r="CD1097" s="13"/>
      <c r="CE1097" s="13"/>
      <c r="CF1097" s="13"/>
      <c r="CG1097" s="13"/>
      <c r="CH1097" s="13"/>
      <c r="CI1097" s="13"/>
      <c r="CJ1097" s="13"/>
      <c r="CK1097" s="13"/>
      <c r="CL1097" s="13"/>
      <c r="CM1097" s="13"/>
      <c r="CN1097" s="13"/>
      <c r="CO1097" s="13"/>
      <c r="CP1097" s="13"/>
      <c r="CQ1097" s="13"/>
      <c r="CR1097" s="13"/>
      <c r="CS1097" s="13"/>
      <c r="CT1097" s="13"/>
      <c r="CU1097" s="13"/>
      <c r="CV1097" s="13"/>
      <c r="CW1097" s="13"/>
      <c r="CX1097" s="13"/>
    </row>
    <row r="1098" spans="1:102" ht="11.25">
      <c r="A1098" s="1"/>
      <c r="B1098" s="1"/>
      <c r="C1098" s="1"/>
      <c r="D1098" s="2"/>
      <c r="E1098" s="2"/>
      <c r="F1098" s="2"/>
      <c r="G1098" s="2"/>
      <c r="H1098" s="2"/>
      <c r="I1098" s="2"/>
      <c r="J1098" s="2"/>
      <c r="K1098" s="2"/>
      <c r="L1098" s="2"/>
      <c r="M1098" s="2"/>
      <c r="N1098" s="21"/>
      <c r="O1098" s="21"/>
      <c r="P1098" s="21"/>
      <c r="Q1098" s="13"/>
      <c r="R1098" s="13"/>
      <c r="S1098" s="13"/>
      <c r="T1098" s="13"/>
      <c r="U1098" s="13"/>
      <c r="V1098" s="13"/>
      <c r="W1098" s="13"/>
      <c r="X1098" s="13"/>
      <c r="Y1098" s="13"/>
      <c r="Z1098" s="13"/>
      <c r="AA1098" s="13"/>
      <c r="AB1098" s="13"/>
      <c r="AC1098" s="13"/>
      <c r="AD1098" s="13"/>
      <c r="AE1098" s="13"/>
      <c r="AF1098" s="13"/>
      <c r="AG1098" s="13"/>
      <c r="AH1098" s="13"/>
      <c r="AI1098" s="13"/>
      <c r="AJ1098" s="13"/>
      <c r="AK1098" s="13"/>
      <c r="AL1098" s="13"/>
      <c r="AM1098" s="13"/>
      <c r="AN1098" s="13"/>
      <c r="AO1098" s="13"/>
      <c r="AP1098" s="13"/>
      <c r="AQ1098" s="13"/>
      <c r="AR1098" s="13"/>
      <c r="AS1098" s="13"/>
      <c r="AT1098" s="13"/>
      <c r="AU1098" s="13"/>
      <c r="AV1098" s="13"/>
      <c r="AW1098" s="13"/>
      <c r="AX1098" s="13"/>
      <c r="AY1098" s="13"/>
      <c r="AZ1098" s="13"/>
      <c r="BA1098" s="13"/>
      <c r="BB1098" s="13"/>
      <c r="BC1098" s="13"/>
      <c r="BD1098" s="13"/>
      <c r="BE1098" s="13"/>
      <c r="BF1098" s="13"/>
      <c r="BG1098" s="13"/>
      <c r="BH1098" s="13"/>
      <c r="BI1098" s="13"/>
      <c r="BJ1098" s="13"/>
      <c r="BK1098" s="13"/>
      <c r="BL1098" s="13"/>
      <c r="BM1098" s="13"/>
      <c r="BN1098" s="13"/>
      <c r="BO1098" s="13"/>
      <c r="BP1098" s="13"/>
      <c r="BQ1098" s="13"/>
      <c r="BR1098" s="13"/>
      <c r="BS1098" s="13"/>
      <c r="BT1098" s="13"/>
      <c r="BU1098" s="13"/>
      <c r="BV1098" s="13"/>
      <c r="BW1098" s="13"/>
      <c r="BX1098" s="13"/>
      <c r="BY1098" s="13"/>
      <c r="BZ1098" s="13"/>
      <c r="CA1098" s="13"/>
      <c r="CB1098" s="13"/>
      <c r="CC1098" s="13"/>
      <c r="CD1098" s="13"/>
      <c r="CE1098" s="13"/>
      <c r="CF1098" s="13"/>
      <c r="CG1098" s="13"/>
      <c r="CH1098" s="13"/>
      <c r="CI1098" s="13"/>
      <c r="CJ1098" s="13"/>
      <c r="CK1098" s="13"/>
      <c r="CL1098" s="13"/>
      <c r="CM1098" s="13"/>
      <c r="CN1098" s="13"/>
      <c r="CO1098" s="13"/>
      <c r="CP1098" s="13"/>
      <c r="CQ1098" s="13"/>
      <c r="CR1098" s="13"/>
      <c r="CS1098" s="13"/>
      <c r="CT1098" s="13"/>
      <c r="CU1098" s="13"/>
      <c r="CV1098" s="13"/>
      <c r="CW1098" s="13"/>
      <c r="CX1098" s="13"/>
    </row>
    <row r="1099" spans="1:102" ht="11.25">
      <c r="A1099" s="1"/>
      <c r="B1099" s="1"/>
      <c r="C1099" s="1"/>
      <c r="D1099" s="2"/>
      <c r="E1099" s="2"/>
      <c r="F1099" s="2"/>
      <c r="G1099" s="2"/>
      <c r="H1099" s="2"/>
      <c r="I1099" s="2"/>
      <c r="J1099" s="2"/>
      <c r="K1099" s="2"/>
      <c r="L1099" s="2"/>
      <c r="M1099" s="2"/>
      <c r="N1099" s="21"/>
      <c r="O1099" s="21"/>
      <c r="P1099" s="21"/>
      <c r="Q1099" s="13"/>
      <c r="R1099" s="13"/>
      <c r="S1099" s="13"/>
      <c r="T1099" s="13"/>
      <c r="U1099" s="13"/>
      <c r="V1099" s="13"/>
      <c r="W1099" s="13"/>
      <c r="X1099" s="13"/>
      <c r="Y1099" s="13"/>
      <c r="Z1099" s="13"/>
      <c r="AA1099" s="13"/>
      <c r="AB1099" s="13"/>
      <c r="AC1099" s="13"/>
      <c r="AD1099" s="13"/>
      <c r="AE1099" s="13"/>
      <c r="AF1099" s="13"/>
      <c r="AG1099" s="13"/>
      <c r="AH1099" s="13"/>
      <c r="AI1099" s="13"/>
      <c r="AJ1099" s="13"/>
      <c r="AK1099" s="13"/>
      <c r="AL1099" s="13"/>
      <c r="AM1099" s="13"/>
      <c r="AN1099" s="13"/>
      <c r="AO1099" s="13"/>
      <c r="AP1099" s="13"/>
      <c r="AQ1099" s="13"/>
      <c r="AR1099" s="13"/>
      <c r="AS1099" s="13"/>
      <c r="AT1099" s="13"/>
      <c r="AU1099" s="13"/>
      <c r="AV1099" s="13"/>
      <c r="AW1099" s="13"/>
      <c r="AX1099" s="13"/>
      <c r="AY1099" s="13"/>
      <c r="AZ1099" s="13"/>
      <c r="BA1099" s="13"/>
      <c r="BB1099" s="13"/>
      <c r="BC1099" s="13"/>
      <c r="BD1099" s="13"/>
      <c r="BE1099" s="13"/>
      <c r="BF1099" s="13"/>
      <c r="BG1099" s="13"/>
      <c r="BH1099" s="13"/>
      <c r="BI1099" s="13"/>
      <c r="BJ1099" s="13"/>
      <c r="BK1099" s="13"/>
      <c r="BL1099" s="13"/>
      <c r="BM1099" s="13"/>
      <c r="BN1099" s="13"/>
      <c r="BO1099" s="13"/>
      <c r="BP1099" s="13"/>
      <c r="BQ1099" s="13"/>
      <c r="BR1099" s="13"/>
      <c r="BS1099" s="13"/>
      <c r="BT1099" s="13"/>
      <c r="BU1099" s="13"/>
      <c r="BV1099" s="13"/>
      <c r="BW1099" s="13"/>
      <c r="BX1099" s="13"/>
      <c r="BY1099" s="13"/>
      <c r="BZ1099" s="13"/>
      <c r="CA1099" s="13"/>
      <c r="CB1099" s="13"/>
      <c r="CC1099" s="13"/>
      <c r="CD1099" s="13"/>
      <c r="CE1099" s="13"/>
      <c r="CF1099" s="13"/>
      <c r="CG1099" s="13"/>
      <c r="CH1099" s="13"/>
      <c r="CI1099" s="13"/>
      <c r="CJ1099" s="13"/>
      <c r="CK1099" s="13"/>
      <c r="CL1099" s="13"/>
      <c r="CM1099" s="13"/>
      <c r="CN1099" s="13"/>
      <c r="CO1099" s="13"/>
      <c r="CP1099" s="13"/>
      <c r="CQ1099" s="13"/>
      <c r="CR1099" s="13"/>
      <c r="CS1099" s="13"/>
      <c r="CT1099" s="13"/>
      <c r="CU1099" s="13"/>
      <c r="CV1099" s="13"/>
      <c r="CW1099" s="13"/>
      <c r="CX1099" s="13"/>
    </row>
    <row r="1100" spans="1:102" ht="11.25">
      <c r="A1100" s="1"/>
      <c r="B1100" s="1"/>
      <c r="C1100" s="1"/>
      <c r="D1100" s="2"/>
      <c r="E1100" s="2"/>
      <c r="F1100" s="2"/>
      <c r="G1100" s="2"/>
      <c r="H1100" s="2"/>
      <c r="I1100" s="2"/>
      <c r="J1100" s="2"/>
      <c r="K1100" s="2"/>
      <c r="L1100" s="2"/>
      <c r="M1100" s="2"/>
      <c r="N1100" s="21"/>
      <c r="O1100" s="21"/>
      <c r="P1100" s="21"/>
      <c r="Q1100" s="13"/>
      <c r="R1100" s="13"/>
      <c r="S1100" s="13"/>
      <c r="T1100" s="13"/>
      <c r="U1100" s="13"/>
      <c r="V1100" s="13"/>
      <c r="W1100" s="13"/>
      <c r="X1100" s="13"/>
      <c r="Y1100" s="13"/>
      <c r="Z1100" s="13"/>
      <c r="AA1100" s="13"/>
      <c r="AB1100" s="13"/>
      <c r="AC1100" s="13"/>
      <c r="AD1100" s="13"/>
      <c r="AE1100" s="13"/>
      <c r="AF1100" s="13"/>
      <c r="AG1100" s="13"/>
      <c r="AH1100" s="13"/>
      <c r="AI1100" s="13"/>
      <c r="AJ1100" s="13"/>
      <c r="AK1100" s="13"/>
      <c r="AL1100" s="13"/>
      <c r="AM1100" s="13"/>
      <c r="AN1100" s="13"/>
      <c r="AO1100" s="13"/>
      <c r="AP1100" s="13"/>
      <c r="AQ1100" s="13"/>
      <c r="AR1100" s="13"/>
      <c r="AS1100" s="13"/>
      <c r="AT1100" s="13"/>
      <c r="AU1100" s="13"/>
      <c r="AV1100" s="13"/>
      <c r="AW1100" s="13"/>
      <c r="AX1100" s="13"/>
      <c r="AY1100" s="13"/>
      <c r="AZ1100" s="13"/>
      <c r="BA1100" s="13"/>
      <c r="BB1100" s="13"/>
      <c r="BC1100" s="13"/>
      <c r="BD1100" s="13"/>
      <c r="BE1100" s="13"/>
      <c r="BF1100" s="13"/>
      <c r="BG1100" s="13"/>
      <c r="BH1100" s="13"/>
      <c r="BI1100" s="13"/>
      <c r="BJ1100" s="13"/>
      <c r="BK1100" s="13"/>
      <c r="BL1100" s="13"/>
      <c r="BM1100" s="13"/>
      <c r="BN1100" s="13"/>
      <c r="BO1100" s="13"/>
      <c r="BP1100" s="13"/>
      <c r="BQ1100" s="13"/>
      <c r="BR1100" s="13"/>
      <c r="BS1100" s="13"/>
      <c r="BT1100" s="13"/>
      <c r="BU1100" s="13"/>
      <c r="BV1100" s="13"/>
      <c r="BW1100" s="13"/>
      <c r="BX1100" s="13"/>
      <c r="BY1100" s="13"/>
      <c r="BZ1100" s="13"/>
      <c r="CA1100" s="13"/>
      <c r="CB1100" s="13"/>
      <c r="CC1100" s="13"/>
      <c r="CD1100" s="13"/>
      <c r="CE1100" s="13"/>
      <c r="CF1100" s="13"/>
      <c r="CG1100" s="13"/>
      <c r="CH1100" s="13"/>
      <c r="CI1100" s="13"/>
      <c r="CJ1100" s="13"/>
      <c r="CK1100" s="13"/>
      <c r="CL1100" s="13"/>
      <c r="CM1100" s="13"/>
      <c r="CN1100" s="13"/>
      <c r="CO1100" s="13"/>
      <c r="CP1100" s="13"/>
      <c r="CQ1100" s="13"/>
      <c r="CR1100" s="13"/>
      <c r="CS1100" s="13"/>
      <c r="CT1100" s="13"/>
      <c r="CU1100" s="13"/>
      <c r="CV1100" s="13"/>
      <c r="CW1100" s="13"/>
      <c r="CX1100" s="13"/>
    </row>
    <row r="1101" spans="1:102" ht="11.25">
      <c r="A1101" s="1"/>
      <c r="B1101" s="1"/>
      <c r="C1101" s="1"/>
      <c r="D1101" s="2"/>
      <c r="E1101" s="2"/>
      <c r="F1101" s="2"/>
      <c r="G1101" s="2"/>
      <c r="H1101" s="2"/>
      <c r="I1101" s="2"/>
      <c r="J1101" s="2"/>
      <c r="K1101" s="2"/>
      <c r="L1101" s="2"/>
      <c r="M1101" s="2"/>
      <c r="N1101" s="21"/>
      <c r="O1101" s="21"/>
      <c r="P1101" s="21"/>
      <c r="Q1101" s="13"/>
      <c r="R1101" s="13"/>
      <c r="S1101" s="13"/>
      <c r="T1101" s="13"/>
      <c r="U1101" s="13"/>
      <c r="V1101" s="13"/>
      <c r="W1101" s="13"/>
      <c r="X1101" s="13"/>
      <c r="Y1101" s="13"/>
      <c r="Z1101" s="13"/>
      <c r="AA1101" s="13"/>
      <c r="AB1101" s="13"/>
      <c r="AC1101" s="13"/>
      <c r="AD1101" s="13"/>
      <c r="AE1101" s="13"/>
      <c r="AF1101" s="13"/>
      <c r="AG1101" s="13"/>
      <c r="AH1101" s="13"/>
      <c r="AI1101" s="13"/>
      <c r="AJ1101" s="13"/>
      <c r="AK1101" s="13"/>
      <c r="AL1101" s="13"/>
      <c r="AM1101" s="13"/>
      <c r="AN1101" s="13"/>
      <c r="AO1101" s="13"/>
      <c r="AP1101" s="13"/>
      <c r="AQ1101" s="13"/>
      <c r="AR1101" s="13"/>
      <c r="AS1101" s="13"/>
      <c r="AT1101" s="13"/>
      <c r="AU1101" s="13"/>
      <c r="AV1101" s="13"/>
      <c r="AW1101" s="13"/>
      <c r="AX1101" s="13"/>
      <c r="AY1101" s="13"/>
      <c r="AZ1101" s="13"/>
      <c r="BA1101" s="13"/>
      <c r="BB1101" s="13"/>
      <c r="BC1101" s="13"/>
      <c r="BD1101" s="13"/>
      <c r="BE1101" s="13"/>
      <c r="BF1101" s="13"/>
      <c r="BG1101" s="13"/>
      <c r="BH1101" s="13"/>
      <c r="BI1101" s="13"/>
      <c r="BJ1101" s="13"/>
      <c r="BK1101" s="13"/>
      <c r="BL1101" s="13"/>
      <c r="BM1101" s="13"/>
      <c r="BN1101" s="13"/>
      <c r="BO1101" s="13"/>
      <c r="BP1101" s="13"/>
      <c r="BQ1101" s="13"/>
      <c r="BR1101" s="13"/>
      <c r="BS1101" s="13"/>
      <c r="BT1101" s="13"/>
      <c r="BU1101" s="13"/>
      <c r="BV1101" s="13"/>
      <c r="BW1101" s="13"/>
      <c r="BX1101" s="13"/>
      <c r="BY1101" s="13"/>
      <c r="BZ1101" s="13"/>
      <c r="CA1101" s="13"/>
      <c r="CB1101" s="13"/>
      <c r="CC1101" s="13"/>
      <c r="CD1101" s="13"/>
      <c r="CE1101" s="13"/>
      <c r="CF1101" s="13"/>
      <c r="CG1101" s="13"/>
      <c r="CH1101" s="13"/>
      <c r="CI1101" s="13"/>
      <c r="CJ1101" s="13"/>
      <c r="CK1101" s="13"/>
      <c r="CL1101" s="13"/>
      <c r="CM1101" s="13"/>
      <c r="CN1101" s="13"/>
      <c r="CO1101" s="13"/>
      <c r="CP1101" s="13"/>
      <c r="CQ1101" s="13"/>
      <c r="CR1101" s="13"/>
      <c r="CS1101" s="13"/>
      <c r="CT1101" s="13"/>
      <c r="CU1101" s="13"/>
      <c r="CV1101" s="13"/>
      <c r="CW1101" s="13"/>
      <c r="CX1101" s="13"/>
    </row>
    <row r="1102" spans="1:102" ht="11.25">
      <c r="A1102" s="1"/>
      <c r="B1102" s="1"/>
      <c r="C1102" s="1"/>
      <c r="D1102" s="2"/>
      <c r="E1102" s="2"/>
      <c r="F1102" s="2"/>
      <c r="G1102" s="2"/>
      <c r="H1102" s="2"/>
      <c r="I1102" s="2"/>
      <c r="J1102" s="2"/>
      <c r="K1102" s="2"/>
      <c r="L1102" s="2"/>
      <c r="M1102" s="2"/>
      <c r="N1102" s="21"/>
      <c r="O1102" s="21"/>
      <c r="P1102" s="21"/>
      <c r="Q1102" s="13"/>
      <c r="R1102" s="13"/>
      <c r="S1102" s="13"/>
      <c r="T1102" s="13"/>
      <c r="U1102" s="13"/>
      <c r="V1102" s="13"/>
      <c r="W1102" s="13"/>
      <c r="X1102" s="13"/>
      <c r="Y1102" s="13"/>
      <c r="Z1102" s="13"/>
      <c r="AA1102" s="13"/>
      <c r="AB1102" s="13"/>
      <c r="AC1102" s="13"/>
      <c r="AD1102" s="13"/>
      <c r="AE1102" s="13"/>
      <c r="AF1102" s="13"/>
      <c r="AG1102" s="13"/>
      <c r="AH1102" s="13"/>
      <c r="AI1102" s="13"/>
      <c r="AJ1102" s="13"/>
      <c r="AK1102" s="13"/>
      <c r="AL1102" s="13"/>
      <c r="AM1102" s="13"/>
      <c r="AN1102" s="13"/>
      <c r="AO1102" s="13"/>
      <c r="AP1102" s="13"/>
      <c r="AQ1102" s="13"/>
      <c r="AR1102" s="13"/>
      <c r="AS1102" s="13"/>
      <c r="AT1102" s="13"/>
      <c r="AU1102" s="13"/>
      <c r="AV1102" s="13"/>
      <c r="AW1102" s="13"/>
      <c r="AX1102" s="13"/>
      <c r="AY1102" s="13"/>
      <c r="AZ1102" s="13"/>
      <c r="BA1102" s="13"/>
      <c r="BB1102" s="13"/>
      <c r="BC1102" s="13"/>
      <c r="BD1102" s="13"/>
      <c r="BE1102" s="13"/>
      <c r="BF1102" s="13"/>
      <c r="BG1102" s="13"/>
      <c r="BH1102" s="13"/>
      <c r="BI1102" s="13"/>
      <c r="BJ1102" s="13"/>
      <c r="BK1102" s="13"/>
      <c r="BL1102" s="13"/>
      <c r="BM1102" s="13"/>
      <c r="BN1102" s="13"/>
      <c r="BO1102" s="13"/>
      <c r="BP1102" s="13"/>
      <c r="BQ1102" s="13"/>
      <c r="BR1102" s="13"/>
      <c r="BS1102" s="13"/>
      <c r="BT1102" s="13"/>
      <c r="BU1102" s="13"/>
      <c r="BV1102" s="13"/>
      <c r="BW1102" s="13"/>
      <c r="BX1102" s="13"/>
      <c r="BY1102" s="13"/>
      <c r="BZ1102" s="13"/>
      <c r="CA1102" s="13"/>
      <c r="CB1102" s="13"/>
      <c r="CC1102" s="13"/>
      <c r="CD1102" s="13"/>
      <c r="CE1102" s="13"/>
      <c r="CF1102" s="13"/>
      <c r="CG1102" s="13"/>
      <c r="CH1102" s="13"/>
      <c r="CI1102" s="13"/>
      <c r="CJ1102" s="13"/>
      <c r="CK1102" s="13"/>
      <c r="CL1102" s="13"/>
      <c r="CM1102" s="13"/>
      <c r="CN1102" s="13"/>
      <c r="CO1102" s="13"/>
      <c r="CP1102" s="13"/>
      <c r="CQ1102" s="13"/>
      <c r="CR1102" s="13"/>
      <c r="CS1102" s="13"/>
      <c r="CT1102" s="13"/>
      <c r="CU1102" s="13"/>
      <c r="CV1102" s="13"/>
      <c r="CW1102" s="13"/>
      <c r="CX1102" s="13"/>
    </row>
    <row r="1103" spans="1:102" ht="11.25">
      <c r="A1103" s="1"/>
      <c r="B1103" s="1"/>
      <c r="C1103" s="1"/>
      <c r="D1103" s="2"/>
      <c r="E1103" s="2"/>
      <c r="F1103" s="2"/>
      <c r="G1103" s="2"/>
      <c r="H1103" s="2"/>
      <c r="I1103" s="2"/>
      <c r="J1103" s="2"/>
      <c r="K1103" s="2"/>
      <c r="L1103" s="2"/>
      <c r="M1103" s="2"/>
      <c r="N1103" s="21"/>
      <c r="O1103" s="21"/>
      <c r="P1103" s="21"/>
      <c r="Q1103" s="13"/>
      <c r="R1103" s="13"/>
      <c r="S1103" s="13"/>
      <c r="T1103" s="13"/>
      <c r="U1103" s="13"/>
      <c r="V1103" s="13"/>
      <c r="W1103" s="13"/>
      <c r="X1103" s="13"/>
      <c r="Y1103" s="13"/>
      <c r="Z1103" s="13"/>
      <c r="AA1103" s="13"/>
      <c r="AB1103" s="13"/>
      <c r="AC1103" s="13"/>
      <c r="AD1103" s="13"/>
      <c r="AE1103" s="13"/>
      <c r="AF1103" s="13"/>
      <c r="AG1103" s="13"/>
      <c r="AH1103" s="13"/>
      <c r="AI1103" s="13"/>
      <c r="AJ1103" s="13"/>
      <c r="AK1103" s="13"/>
      <c r="AL1103" s="13"/>
      <c r="AM1103" s="13"/>
      <c r="AN1103" s="13"/>
      <c r="AO1103" s="13"/>
      <c r="AP1103" s="13"/>
      <c r="AQ1103" s="13"/>
      <c r="AR1103" s="13"/>
      <c r="AS1103" s="13"/>
      <c r="AT1103" s="13"/>
      <c r="AU1103" s="13"/>
      <c r="AV1103" s="13"/>
      <c r="AW1103" s="13"/>
      <c r="AX1103" s="13"/>
      <c r="AY1103" s="13"/>
      <c r="AZ1103" s="13"/>
      <c r="BA1103" s="13"/>
      <c r="BB1103" s="13"/>
      <c r="BC1103" s="13"/>
      <c r="BD1103" s="13"/>
      <c r="BE1103" s="13"/>
      <c r="BF1103" s="13"/>
      <c r="BG1103" s="13"/>
      <c r="BH1103" s="13"/>
      <c r="BI1103" s="13"/>
      <c r="BJ1103" s="13"/>
      <c r="BK1103" s="13"/>
      <c r="BL1103" s="13"/>
      <c r="BM1103" s="13"/>
      <c r="BN1103" s="13"/>
      <c r="BO1103" s="13"/>
      <c r="BP1103" s="13"/>
      <c r="BQ1103" s="13"/>
      <c r="BR1103" s="13"/>
      <c r="BS1103" s="13"/>
      <c r="BT1103" s="13"/>
      <c r="BU1103" s="13"/>
      <c r="BV1103" s="13"/>
      <c r="BW1103" s="13"/>
      <c r="BX1103" s="13"/>
      <c r="BY1103" s="13"/>
      <c r="BZ1103" s="13"/>
      <c r="CA1103" s="13"/>
      <c r="CB1103" s="13"/>
      <c r="CC1103" s="13"/>
      <c r="CD1103" s="13"/>
      <c r="CE1103" s="13"/>
      <c r="CF1103" s="13"/>
      <c r="CG1103" s="13"/>
      <c r="CH1103" s="13"/>
      <c r="CI1103" s="13"/>
      <c r="CJ1103" s="13"/>
      <c r="CK1103" s="13"/>
      <c r="CL1103" s="13"/>
      <c r="CM1103" s="13"/>
      <c r="CN1103" s="13"/>
      <c r="CO1103" s="13"/>
      <c r="CP1103" s="13"/>
      <c r="CQ1103" s="13"/>
      <c r="CR1103" s="13"/>
      <c r="CS1103" s="13"/>
      <c r="CT1103" s="13"/>
      <c r="CU1103" s="13"/>
      <c r="CV1103" s="13"/>
      <c r="CW1103" s="13"/>
      <c r="CX1103" s="13"/>
    </row>
    <row r="1104" spans="1:102" ht="11.25">
      <c r="A1104" s="1"/>
      <c r="B1104" s="1"/>
      <c r="C1104" s="1"/>
      <c r="D1104" s="2"/>
      <c r="E1104" s="2"/>
      <c r="F1104" s="2"/>
      <c r="G1104" s="2"/>
      <c r="H1104" s="2"/>
      <c r="I1104" s="2"/>
      <c r="J1104" s="2"/>
      <c r="K1104" s="2"/>
      <c r="L1104" s="2"/>
      <c r="M1104" s="2"/>
      <c r="N1104" s="21"/>
      <c r="O1104" s="21"/>
      <c r="P1104" s="21"/>
      <c r="Q1104" s="13"/>
      <c r="R1104" s="13"/>
      <c r="S1104" s="13"/>
      <c r="T1104" s="13"/>
      <c r="U1104" s="13"/>
      <c r="V1104" s="13"/>
      <c r="W1104" s="13"/>
      <c r="X1104" s="13"/>
      <c r="Y1104" s="13"/>
      <c r="Z1104" s="13"/>
      <c r="AA1104" s="13"/>
      <c r="AB1104" s="13"/>
      <c r="AC1104" s="13"/>
      <c r="AD1104" s="13"/>
      <c r="AE1104" s="13"/>
      <c r="AF1104" s="13"/>
      <c r="AG1104" s="13"/>
      <c r="AH1104" s="13"/>
      <c r="AI1104" s="13"/>
      <c r="AJ1104" s="13"/>
      <c r="AK1104" s="13"/>
      <c r="AL1104" s="13"/>
      <c r="AM1104" s="13"/>
      <c r="AN1104" s="13"/>
      <c r="AO1104" s="13"/>
      <c r="AP1104" s="13"/>
      <c r="AQ1104" s="13"/>
      <c r="AR1104" s="13"/>
      <c r="AS1104" s="13"/>
      <c r="AT1104" s="13"/>
      <c r="AU1104" s="13"/>
      <c r="AV1104" s="13"/>
      <c r="AW1104" s="13"/>
      <c r="AX1104" s="13"/>
      <c r="AY1104" s="13"/>
      <c r="AZ1104" s="13"/>
      <c r="BA1104" s="13"/>
      <c r="BB1104" s="13"/>
      <c r="BC1104" s="13"/>
      <c r="BD1104" s="13"/>
      <c r="BE1104" s="13"/>
      <c r="BF1104" s="13"/>
      <c r="BG1104" s="13"/>
      <c r="BH1104" s="13"/>
      <c r="BI1104" s="13"/>
      <c r="BJ1104" s="13"/>
      <c r="BK1104" s="13"/>
      <c r="BL1104" s="13"/>
      <c r="BM1104" s="13"/>
      <c r="BN1104" s="13"/>
      <c r="BO1104" s="13"/>
      <c r="BP1104" s="13"/>
      <c r="BQ1104" s="13"/>
      <c r="BR1104" s="13"/>
      <c r="BS1104" s="13"/>
      <c r="BT1104" s="13"/>
      <c r="BU1104" s="13"/>
      <c r="BV1104" s="13"/>
      <c r="BW1104" s="13"/>
      <c r="BX1104" s="13"/>
      <c r="BY1104" s="13"/>
      <c r="BZ1104" s="13"/>
      <c r="CA1104" s="13"/>
      <c r="CB1104" s="13"/>
      <c r="CC1104" s="13"/>
      <c r="CD1104" s="13"/>
      <c r="CE1104" s="13"/>
      <c r="CF1104" s="13"/>
      <c r="CG1104" s="13"/>
      <c r="CH1104" s="13"/>
      <c r="CI1104" s="13"/>
      <c r="CJ1104" s="13"/>
      <c r="CK1104" s="13"/>
      <c r="CL1104" s="13"/>
      <c r="CM1104" s="13"/>
      <c r="CN1104" s="13"/>
      <c r="CO1104" s="13"/>
      <c r="CP1104" s="13"/>
      <c r="CQ1104" s="13"/>
      <c r="CR1104" s="13"/>
      <c r="CS1104" s="13"/>
      <c r="CT1104" s="13"/>
      <c r="CU1104" s="13"/>
      <c r="CV1104" s="13"/>
      <c r="CW1104" s="13"/>
      <c r="CX1104" s="13"/>
    </row>
    <row r="1105" spans="1:102" ht="11.25">
      <c r="A1105" s="1"/>
      <c r="B1105" s="1"/>
      <c r="C1105" s="1"/>
      <c r="D1105" s="2"/>
      <c r="E1105" s="2"/>
      <c r="F1105" s="2"/>
      <c r="G1105" s="2"/>
      <c r="H1105" s="2"/>
      <c r="I1105" s="2"/>
      <c r="J1105" s="2"/>
      <c r="K1105" s="2"/>
      <c r="L1105" s="2"/>
      <c r="M1105" s="2"/>
      <c r="N1105" s="21"/>
      <c r="O1105" s="21"/>
      <c r="P1105" s="21"/>
      <c r="Q1105" s="13"/>
      <c r="R1105" s="13"/>
      <c r="S1105" s="13"/>
      <c r="T1105" s="13"/>
      <c r="U1105" s="13"/>
      <c r="V1105" s="13"/>
      <c r="W1105" s="13"/>
      <c r="X1105" s="13"/>
      <c r="Y1105" s="13"/>
      <c r="Z1105" s="13"/>
      <c r="AA1105" s="13"/>
      <c r="AB1105" s="13"/>
      <c r="AC1105" s="13"/>
      <c r="AD1105" s="13"/>
      <c r="AE1105" s="13"/>
      <c r="AF1105" s="13"/>
      <c r="AG1105" s="13"/>
      <c r="AH1105" s="13"/>
      <c r="AI1105" s="13"/>
      <c r="AJ1105" s="13"/>
      <c r="AK1105" s="13"/>
      <c r="AL1105" s="13"/>
      <c r="AM1105" s="13"/>
      <c r="AN1105" s="13"/>
      <c r="AO1105" s="13"/>
      <c r="AP1105" s="13"/>
      <c r="AQ1105" s="13"/>
      <c r="AR1105" s="13"/>
      <c r="AS1105" s="13"/>
      <c r="AT1105" s="13"/>
      <c r="AU1105" s="13"/>
      <c r="AV1105" s="13"/>
      <c r="AW1105" s="13"/>
      <c r="AX1105" s="13"/>
      <c r="AY1105" s="13"/>
      <c r="AZ1105" s="13"/>
      <c r="BA1105" s="13"/>
      <c r="BB1105" s="13"/>
      <c r="BC1105" s="13"/>
      <c r="BD1105" s="13"/>
      <c r="BE1105" s="13"/>
      <c r="BF1105" s="13"/>
      <c r="BG1105" s="13"/>
      <c r="BH1105" s="13"/>
      <c r="BI1105" s="13"/>
      <c r="BJ1105" s="13"/>
      <c r="BK1105" s="13"/>
      <c r="BL1105" s="13"/>
      <c r="BM1105" s="13"/>
      <c r="BN1105" s="13"/>
      <c r="BO1105" s="13"/>
      <c r="BP1105" s="13"/>
      <c r="BQ1105" s="13"/>
      <c r="BR1105" s="13"/>
      <c r="BS1105" s="13"/>
      <c r="BT1105" s="13"/>
      <c r="BU1105" s="13"/>
      <c r="BV1105" s="13"/>
      <c r="BW1105" s="13"/>
      <c r="BX1105" s="13"/>
      <c r="BY1105" s="13"/>
      <c r="BZ1105" s="13"/>
      <c r="CA1105" s="13"/>
      <c r="CB1105" s="13"/>
      <c r="CC1105" s="13"/>
      <c r="CD1105" s="13"/>
      <c r="CE1105" s="13"/>
      <c r="CF1105" s="13"/>
      <c r="CG1105" s="13"/>
      <c r="CH1105" s="13"/>
      <c r="CI1105" s="13"/>
      <c r="CJ1105" s="13"/>
      <c r="CK1105" s="13"/>
      <c r="CL1105" s="13"/>
      <c r="CM1105" s="13"/>
      <c r="CN1105" s="13"/>
      <c r="CO1105" s="13"/>
      <c r="CP1105" s="13"/>
      <c r="CQ1105" s="13"/>
      <c r="CR1105" s="13"/>
      <c r="CS1105" s="13"/>
      <c r="CT1105" s="13"/>
      <c r="CU1105" s="13"/>
      <c r="CV1105" s="13"/>
      <c r="CW1105" s="13"/>
      <c r="CX1105" s="13"/>
    </row>
    <row r="1106" spans="1:102" ht="11.25">
      <c r="A1106" s="1"/>
      <c r="B1106" s="1"/>
      <c r="C1106" s="1"/>
      <c r="D1106" s="2"/>
      <c r="E1106" s="2"/>
      <c r="F1106" s="2"/>
      <c r="G1106" s="2"/>
      <c r="H1106" s="2"/>
      <c r="I1106" s="2"/>
      <c r="J1106" s="2"/>
      <c r="K1106" s="2"/>
      <c r="L1106" s="2"/>
      <c r="M1106" s="2"/>
      <c r="N1106" s="21"/>
      <c r="O1106" s="21"/>
      <c r="P1106" s="21"/>
      <c r="Q1106" s="13"/>
      <c r="R1106" s="13"/>
      <c r="S1106" s="13"/>
      <c r="T1106" s="13"/>
      <c r="U1106" s="13"/>
      <c r="V1106" s="13"/>
      <c r="W1106" s="13"/>
      <c r="X1106" s="13"/>
      <c r="Y1106" s="13"/>
      <c r="Z1106" s="13"/>
      <c r="AA1106" s="13"/>
      <c r="AB1106" s="13"/>
      <c r="AC1106" s="13"/>
      <c r="AD1106" s="13"/>
      <c r="AE1106" s="13"/>
      <c r="AF1106" s="13"/>
      <c r="AG1106" s="13"/>
      <c r="AH1106" s="13"/>
      <c r="AI1106" s="13"/>
      <c r="AJ1106" s="13"/>
      <c r="AK1106" s="13"/>
      <c r="AL1106" s="13"/>
      <c r="AM1106" s="13"/>
      <c r="AN1106" s="13"/>
      <c r="AO1106" s="13"/>
      <c r="AP1106" s="13"/>
      <c r="AQ1106" s="13"/>
      <c r="AR1106" s="13"/>
      <c r="AS1106" s="13"/>
      <c r="AT1106" s="13"/>
      <c r="AU1106" s="13"/>
      <c r="AV1106" s="13"/>
      <c r="AW1106" s="13"/>
      <c r="AX1106" s="13"/>
      <c r="AY1106" s="13"/>
      <c r="AZ1106" s="13"/>
      <c r="BA1106" s="13"/>
      <c r="BB1106" s="13"/>
      <c r="BC1106" s="13"/>
      <c r="BD1106" s="13"/>
      <c r="BE1106" s="13"/>
      <c r="BF1106" s="13"/>
      <c r="BG1106" s="13"/>
      <c r="BH1106" s="13"/>
      <c r="BI1106" s="13"/>
      <c r="BJ1106" s="13"/>
      <c r="BK1106" s="13"/>
      <c r="BL1106" s="13"/>
      <c r="BM1106" s="13"/>
      <c r="BN1106" s="13"/>
      <c r="BO1106" s="13"/>
      <c r="BP1106" s="13"/>
      <c r="BQ1106" s="13"/>
      <c r="BR1106" s="13"/>
      <c r="BS1106" s="13"/>
      <c r="BT1106" s="13"/>
      <c r="BU1106" s="13"/>
      <c r="BV1106" s="13"/>
      <c r="BW1106" s="13"/>
      <c r="BX1106" s="13"/>
      <c r="BY1106" s="13"/>
      <c r="BZ1106" s="13"/>
      <c r="CA1106" s="13"/>
      <c r="CB1106" s="13"/>
      <c r="CC1106" s="13"/>
      <c r="CD1106" s="13"/>
      <c r="CE1106" s="13"/>
      <c r="CF1106" s="13"/>
      <c r="CG1106" s="13"/>
      <c r="CH1106" s="13"/>
      <c r="CI1106" s="13"/>
      <c r="CJ1106" s="13"/>
      <c r="CK1106" s="13"/>
      <c r="CL1106" s="13"/>
      <c r="CM1106" s="13"/>
      <c r="CN1106" s="13"/>
      <c r="CO1106" s="13"/>
      <c r="CP1106" s="13"/>
      <c r="CQ1106" s="13"/>
      <c r="CR1106" s="13"/>
      <c r="CS1106" s="13"/>
      <c r="CT1106" s="13"/>
      <c r="CU1106" s="13"/>
      <c r="CV1106" s="13"/>
      <c r="CW1106" s="13"/>
      <c r="CX1106" s="13"/>
    </row>
  </sheetData>
  <sheetProtection/>
  <mergeCells count="22">
    <mergeCell ref="A1008:B1008"/>
    <mergeCell ref="F16:F17"/>
    <mergeCell ref="D15:F15"/>
    <mergeCell ref="G16:I16"/>
    <mergeCell ref="A1005:D1005"/>
    <mergeCell ref="D16:E16"/>
    <mergeCell ref="O1005:P1005"/>
    <mergeCell ref="N15:P15"/>
    <mergeCell ref="N16:O16"/>
    <mergeCell ref="P16:P17"/>
    <mergeCell ref="K16:M16"/>
    <mergeCell ref="N2:P2"/>
    <mergeCell ref="D3:G11"/>
    <mergeCell ref="F14:G14"/>
    <mergeCell ref="J2:L2"/>
    <mergeCell ref="A13:P13"/>
    <mergeCell ref="J16:J17"/>
    <mergeCell ref="G15:J15"/>
    <mergeCell ref="A15:A17"/>
    <mergeCell ref="B15:B17"/>
    <mergeCell ref="C15:C17"/>
    <mergeCell ref="N11:Q11"/>
  </mergeCells>
  <printOptions horizontalCentered="1"/>
  <pageMargins left="0" right="0" top="0.35433070866141736" bottom="0" header="0" footer="0"/>
  <pageSetup fitToHeight="1" fitToWidth="1" horizontalDpi="600" verticalDpi="600" orientation="landscape" paperSize="9" scale="71" r:id="rId1"/>
  <rowBreaks count="2" manualBreakCount="2">
    <brk id="907" max="15" man="1"/>
    <brk id="1008"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Іванченко Яна Юріївна</cp:lastModifiedBy>
  <cp:lastPrinted>2023-11-21T06:18:53Z</cp:lastPrinted>
  <dcterms:created xsi:type="dcterms:W3CDTF">2014-04-22T08:24:49Z</dcterms:created>
  <dcterms:modified xsi:type="dcterms:W3CDTF">2023-11-28T09:33:02Z</dcterms:modified>
  <cp:category/>
  <cp:version/>
  <cp:contentType/>
  <cp:contentStatus/>
</cp:coreProperties>
</file>